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12" windowWidth="9600" windowHeight="11208"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0"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 sheetId="15" r:id="rId24"/>
    <sheet name="结果表-地下商业1" sheetId="87" r:id="rId25"/>
    <sheet name="成本法-地下商业1" sheetId="81" r:id="rId26"/>
    <sheet name="收益法-地下商业1" sheetId="84" r:id="rId27"/>
    <sheet name="结果表-地下商业2" sheetId="88" r:id="rId28"/>
    <sheet name="成本法-地下商业2" sheetId="82" r:id="rId29"/>
    <sheet name="收益法-地下商业2" sheetId="85" r:id="rId30"/>
    <sheet name="结果表-地下车库" sheetId="89" r:id="rId31"/>
    <sheet name="成本法-地下车库" sheetId="83" r:id="rId32"/>
    <sheet name="收益法-地下车库" sheetId="86" r:id="rId33"/>
    <sheet name="收益法 (元)" sheetId="67" state="hidden" r:id="rId34"/>
    <sheet name="收益法-酒店模型" sheetId="77" state="hidden" r:id="rId35"/>
    <sheet name="收益法（汇总）" sheetId="70" state="hidden" r:id="rId36"/>
    <sheet name="比较法-住宅" sheetId="21" state="hidden" r:id="rId37"/>
    <sheet name="比较法-商业" sheetId="33" state="hidden" r:id="rId38"/>
    <sheet name="比较法-办公" sheetId="34" state="hidden" r:id="rId39"/>
    <sheet name="比较法-工业" sheetId="37" state="hidden" r:id="rId40"/>
    <sheet name="比较法-车位" sheetId="35" state="hidden" r:id="rId41"/>
    <sheet name="比较法-仓储" sheetId="36" state="hidden" r:id="rId42"/>
    <sheet name="土地比较法-住宅、综合" sheetId="39" state="hidden" r:id="rId43"/>
    <sheet name="土地比较法-工业" sheetId="40" state="hidden" r:id="rId44"/>
    <sheet name="典型户型修正" sheetId="31" state="hidden" r:id="rId45"/>
    <sheet name="基准地价（汇总）" sheetId="76" state="hidden" r:id="rId46"/>
    <sheet name="修正" sheetId="45" state="hidden" r:id="rId47"/>
    <sheet name="容积率修正" sheetId="46" state="hidden" r:id="rId48"/>
    <sheet name="成本法（废）" sheetId="11" state="hidden" r:id="rId49"/>
    <sheet name="区片价" sheetId="44" state="hidden" r:id="rId50"/>
    <sheet name="因素修正幅度" sheetId="65" state="hidden" r:id="rId51"/>
    <sheet name="区片价（范围）" sheetId="75" state="hidden" r:id="rId52"/>
    <sheet name="地价-分区" sheetId="79" state="hidden" r:id="rId53"/>
    <sheet name="地价" sheetId="71" state="hidden" r:id="rId54"/>
    <sheet name="存贷款利率" sheetId="73" state="hidden" r:id="rId55"/>
  </sheets>
  <externalReferences>
    <externalReference r:id="rId56"/>
    <externalReference r:id="rId57"/>
    <externalReference r:id="rId58"/>
  </externalReferences>
  <definedNames>
    <definedName name="_xlnm._FilterDatabase" localSheetId="38" hidden="1">'比较法-办公'!$A$1:$L$50</definedName>
    <definedName name="_xlnm._FilterDatabase" localSheetId="41" hidden="1">'比较法-仓储'!$A$1:$L$37</definedName>
    <definedName name="_xlnm._FilterDatabase" localSheetId="40" hidden="1">'比较法-车位'!$A$1:$L$39</definedName>
    <definedName name="_xlnm._FilterDatabase" localSheetId="39" hidden="1">'比较法-工业'!$A$1:$L$43</definedName>
    <definedName name="_xlnm._FilterDatabase" localSheetId="37" hidden="1">'比较法-商业'!$A$1:$L$49</definedName>
    <definedName name="_xlnm._FilterDatabase" localSheetId="36" hidden="1">'比较法-住宅'!$A$1:$L$49</definedName>
    <definedName name="_xlnm._FilterDatabase" localSheetId="12" hidden="1">'数据-基础表'!$A$12:$AT$587</definedName>
    <definedName name="_xlnm._FilterDatabase" localSheetId="43" hidden="1">'土地比较法-工业'!$A$1:$L$43</definedName>
    <definedName name="_xlnm._FilterDatabase" localSheetId="42"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9">'比较法-工业'!$A$1:$K$48,'比较法-工业'!$A$51:$M$113</definedName>
    <definedName name="_xlnm.Print_Area" localSheetId="37">'比较法-商业'!$A$1:$K$54,'比较法-商业'!$A$57:$M$131</definedName>
    <definedName name="_xlnm.Print_Area" localSheetId="36">'比较法-住宅'!$A$1:$K$54,'比较法-住宅'!$A$57:$M$131</definedName>
    <definedName name="_xlnm.Print_Area" localSheetId="20">成本法!$A$1:$G$57</definedName>
    <definedName name="_xlnm.Print_Area" localSheetId="21">'成本法 (元)'!$A$1:$G$57</definedName>
    <definedName name="_xlnm.Print_Area" localSheetId="31">'成本法-地下车库'!$A$1:$G$57</definedName>
    <definedName name="_xlnm.Print_Area" localSheetId="25">'成本法-地下商业1'!$A$1:$G$57</definedName>
    <definedName name="_xlnm.Print_Area" localSheetId="28">'成本法-地下商业2'!$A$1:$G$57</definedName>
    <definedName name="_xlnm.Print_Area" localSheetId="16">估价对象房地状况!$A$1:$G$24</definedName>
    <definedName name="_xlnm.Print_Area" localSheetId="8">估价师及机构信息!$A$1:$G$22</definedName>
    <definedName name="_xlnm.Print_Area" localSheetId="45">'基准地价（汇总）'!$A$1:$E$13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8">结果表!$A$1:$I$127</definedName>
    <definedName name="_xlnm.Print_Area" localSheetId="30">'结果表-地下车库'!$A$1:$I$127</definedName>
    <definedName name="_xlnm.Print_Area" localSheetId="24">'结果表-地下商业1'!$A$1:$I$127</definedName>
    <definedName name="_xlnm.Print_Area" localSheetId="27">'结果表-地下商业2'!$A$1:$I$127</definedName>
    <definedName name="_xlnm.Print_Area" localSheetId="23">收益法!$A$1:$F$43,收益法!$H$3:$M$29,收益法!$A$46:$F$71,收益法!$I$46:$N$65</definedName>
    <definedName name="_xlnm.Print_Area" localSheetId="33">'收益法 (元)'!$A$1:$F$43,'收益法 (元)'!$H$3:$M$29,'收益法 (元)'!$A$45:$F$71,'收益法 (元)'!$I$46:$N$65</definedName>
    <definedName name="_xlnm.Print_Area" localSheetId="35">'收益法（汇总）'!$A$1:$F$13</definedName>
    <definedName name="_xlnm.Print_Area" localSheetId="32">'收益法-地下车库'!$A$1:$F$43,'收益法-地下车库'!$H$3:$M$29,'收益法-地下车库'!$A$46:$F$71,'收益法-地下车库'!$I$46:$N$65</definedName>
    <definedName name="_xlnm.Print_Area" localSheetId="26">'收益法-地下商业1'!$A$1:$F$43,'收益法-地下商业1'!$H$3:$M$29,'收益法-地下商业1'!$A$46:$F$71,'收益法-地下商业1'!$I$46:$N$65</definedName>
    <definedName name="_xlnm.Print_Area" localSheetId="29">'收益法-地下商业2'!$A$1:$F$43,'收益法-地下商业2'!$H$3:$M$29,'收益法-地下商业2'!$A$46:$F$71,'收益法-地下商业2'!$I$46:$N$65</definedName>
    <definedName name="_xlnm.Print_Area" localSheetId="14">'数据-汇总表'!$A$1:$P$32</definedName>
    <definedName name="_xlnm.Print_Area" localSheetId="43">'土地比较法-工业'!$A$1:$K$61,'土地比较法-工业'!$A$64:$M$121</definedName>
    <definedName name="_xlnm.Print_Area" localSheetId="4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9" i="1" l="1"/>
  <c r="I7" i="1"/>
  <c r="AK7" i="1" l="1"/>
  <c r="C37" i="74" l="1"/>
  <c r="C15" i="74"/>
  <c r="B15" i="74"/>
  <c r="C14" i="74"/>
  <c r="B14" i="74"/>
  <c r="A126" i="89"/>
  <c r="A122" i="89"/>
  <c r="A120" i="89"/>
  <c r="A118" i="89"/>
  <c r="H111" i="89"/>
  <c r="D126" i="89" s="1"/>
  <c r="D127" i="89" s="1"/>
  <c r="E111" i="89"/>
  <c r="H112" i="89" s="1"/>
  <c r="E109" i="89"/>
  <c r="A124" i="89" s="1"/>
  <c r="E107" i="89"/>
  <c r="H106" i="89"/>
  <c r="H103" i="89" s="1"/>
  <c r="D120" i="89" s="1"/>
  <c r="H105" i="89"/>
  <c r="H104" i="89"/>
  <c r="D101" i="89"/>
  <c r="C101" i="89"/>
  <c r="D93" i="89"/>
  <c r="C91" i="89"/>
  <c r="E90" i="89"/>
  <c r="D89" i="89"/>
  <c r="C89" i="89"/>
  <c r="C87" i="89" s="1"/>
  <c r="D78" i="89"/>
  <c r="H77" i="89"/>
  <c r="D77" i="89"/>
  <c r="C77" i="89" s="1"/>
  <c r="C76" i="89"/>
  <c r="D68" i="89"/>
  <c r="F59" i="89"/>
  <c r="E59" i="89"/>
  <c r="N56" i="89"/>
  <c r="M56" i="89"/>
  <c r="K56" i="89"/>
  <c r="J56" i="89"/>
  <c r="F56" i="89"/>
  <c r="O55" i="89"/>
  <c r="N55" i="89"/>
  <c r="K55" i="89"/>
  <c r="J55" i="89"/>
  <c r="J57" i="89" s="1"/>
  <c r="J59" i="89" s="1"/>
  <c r="J61" i="89" s="1"/>
  <c r="I55" i="89"/>
  <c r="F55" i="89"/>
  <c r="O53" i="89" s="1"/>
  <c r="O54" i="89"/>
  <c r="N54" i="89"/>
  <c r="F54" i="89"/>
  <c r="N53" i="89"/>
  <c r="F53" i="89"/>
  <c r="F52" i="89"/>
  <c r="K49" i="89"/>
  <c r="F48" i="89"/>
  <c r="O52" i="89" s="1"/>
  <c r="E48" i="89"/>
  <c r="N52" i="89" s="1"/>
  <c r="D48" i="89"/>
  <c r="M52" i="89" s="1"/>
  <c r="M47" i="89"/>
  <c r="F33" i="89"/>
  <c r="D27" i="89"/>
  <c r="C25" i="89"/>
  <c r="C24" i="89"/>
  <c r="M19" i="89"/>
  <c r="C118" i="89" s="1"/>
  <c r="C17" i="74" s="1"/>
  <c r="L19" i="89"/>
  <c r="M18" i="89"/>
  <c r="B118" i="89" s="1"/>
  <c r="B17" i="74" s="1"/>
  <c r="L18" i="89"/>
  <c r="D17" i="89"/>
  <c r="C17" i="89"/>
  <c r="C18" i="89" s="1"/>
  <c r="D18" i="89" s="1"/>
  <c r="L4" i="89"/>
  <c r="K4" i="89"/>
  <c r="A2" i="89"/>
  <c r="H1" i="89"/>
  <c r="A126" i="88"/>
  <c r="A122" i="88"/>
  <c r="A120" i="88"/>
  <c r="A118" i="88"/>
  <c r="H111" i="88"/>
  <c r="D126" i="88" s="1"/>
  <c r="D127" i="88" s="1"/>
  <c r="E111" i="88"/>
  <c r="H112" i="88" s="1"/>
  <c r="E109" i="88"/>
  <c r="A124" i="88" s="1"/>
  <c r="E107" i="88"/>
  <c r="H106" i="88"/>
  <c r="H103" i="88" s="1"/>
  <c r="D120" i="88" s="1"/>
  <c r="H105" i="88"/>
  <c r="H104" i="88"/>
  <c r="D101" i="88"/>
  <c r="C101" i="88"/>
  <c r="D93" i="88"/>
  <c r="C91" i="88"/>
  <c r="E90" i="88"/>
  <c r="D89" i="88"/>
  <c r="C89" i="88"/>
  <c r="C87" i="88" s="1"/>
  <c r="D78" i="88"/>
  <c r="H77" i="88"/>
  <c r="D77" i="88"/>
  <c r="C77" i="88" s="1"/>
  <c r="C76" i="88"/>
  <c r="D68" i="88"/>
  <c r="F59" i="88"/>
  <c r="E59" i="88"/>
  <c r="N56" i="88"/>
  <c r="M56" i="88"/>
  <c r="K56" i="88"/>
  <c r="J56" i="88"/>
  <c r="F56" i="88"/>
  <c r="O55" i="88"/>
  <c r="N55" i="88"/>
  <c r="K55" i="88"/>
  <c r="J55" i="88"/>
  <c r="J57" i="88" s="1"/>
  <c r="J59" i="88" s="1"/>
  <c r="J61" i="88" s="1"/>
  <c r="I55" i="88"/>
  <c r="F55" i="88"/>
  <c r="O53" i="88" s="1"/>
  <c r="O54" i="88"/>
  <c r="N54" i="88"/>
  <c r="F54" i="88"/>
  <c r="N53" i="88"/>
  <c r="F53" i="88"/>
  <c r="F52" i="88"/>
  <c r="K49" i="88"/>
  <c r="F48" i="88"/>
  <c r="O52" i="88" s="1"/>
  <c r="E48" i="88"/>
  <c r="N52" i="88" s="1"/>
  <c r="D48" i="88"/>
  <c r="M52" i="88" s="1"/>
  <c r="M47" i="88"/>
  <c r="F33" i="88"/>
  <c r="D27" i="88"/>
  <c r="C25" i="88"/>
  <c r="C24" i="88"/>
  <c r="M19" i="88"/>
  <c r="C118" i="88" s="1"/>
  <c r="C16" i="74" s="1"/>
  <c r="L19" i="88"/>
  <c r="M18" i="88"/>
  <c r="B118" i="88" s="1"/>
  <c r="B16" i="74" s="1"/>
  <c r="L18" i="88"/>
  <c r="D17" i="88"/>
  <c r="C17" i="88"/>
  <c r="L4" i="88"/>
  <c r="K4" i="88"/>
  <c r="A2" i="88"/>
  <c r="H1" i="88"/>
  <c r="A126" i="87"/>
  <c r="A122" i="87"/>
  <c r="A120" i="87"/>
  <c r="A118" i="87"/>
  <c r="H111" i="87"/>
  <c r="D126" i="87" s="1"/>
  <c r="D127" i="87" s="1"/>
  <c r="E111" i="87"/>
  <c r="H112" i="87" s="1"/>
  <c r="E109" i="87"/>
  <c r="A124" i="87" s="1"/>
  <c r="E107" i="87"/>
  <c r="H106" i="87"/>
  <c r="H103" i="87" s="1"/>
  <c r="D120" i="87" s="1"/>
  <c r="H105" i="87"/>
  <c r="H104" i="87"/>
  <c r="D101" i="87"/>
  <c r="C101" i="87"/>
  <c r="D93" i="87"/>
  <c r="C91" i="87"/>
  <c r="E90" i="87"/>
  <c r="D89" i="87"/>
  <c r="C89" i="87"/>
  <c r="C87" i="87" s="1"/>
  <c r="D78" i="87"/>
  <c r="H77" i="87"/>
  <c r="D77" i="87"/>
  <c r="C77" i="87" s="1"/>
  <c r="C76" i="87"/>
  <c r="D68" i="87"/>
  <c r="F59" i="87"/>
  <c r="E59" i="87"/>
  <c r="N56" i="87"/>
  <c r="M56" i="87"/>
  <c r="K56" i="87"/>
  <c r="J56" i="87"/>
  <c r="F56" i="87"/>
  <c r="O55" i="87"/>
  <c r="N55" i="87"/>
  <c r="K55" i="87"/>
  <c r="J55" i="87"/>
  <c r="J57" i="87" s="1"/>
  <c r="J59" i="87" s="1"/>
  <c r="J61" i="87" s="1"/>
  <c r="I55" i="87"/>
  <c r="F55" i="87"/>
  <c r="O53" i="87" s="1"/>
  <c r="O54" i="87"/>
  <c r="N54" i="87"/>
  <c r="F54" i="87"/>
  <c r="N53" i="87"/>
  <c r="F53" i="87"/>
  <c r="F52" i="87"/>
  <c r="K49" i="87"/>
  <c r="F48" i="87"/>
  <c r="O52" i="87" s="1"/>
  <c r="E48" i="87"/>
  <c r="N52" i="87" s="1"/>
  <c r="D48" i="87"/>
  <c r="M52" i="87" s="1"/>
  <c r="M47" i="87"/>
  <c r="F33" i="87"/>
  <c r="D27" i="87"/>
  <c r="C25" i="87"/>
  <c r="C24" i="87"/>
  <c r="M19" i="87"/>
  <c r="C118" i="87" s="1"/>
  <c r="L19" i="87"/>
  <c r="M18" i="87"/>
  <c r="B118" i="87" s="1"/>
  <c r="L18" i="87"/>
  <c r="D17" i="87"/>
  <c r="C17" i="87"/>
  <c r="L4" i="87"/>
  <c r="K4" i="87"/>
  <c r="A2" i="87"/>
  <c r="H1" i="87"/>
  <c r="Q72" i="86"/>
  <c r="Q59" i="86"/>
  <c r="K59" i="86"/>
  <c r="P74" i="86" s="1"/>
  <c r="F59" i="86"/>
  <c r="Q58" i="86"/>
  <c r="Q51" i="86"/>
  <c r="J50" i="86"/>
  <c r="M47" i="86"/>
  <c r="D46" i="86"/>
  <c r="F34" i="86"/>
  <c r="F62" i="86" s="1"/>
  <c r="F33" i="86"/>
  <c r="F61" i="86" s="1"/>
  <c r="F32" i="86"/>
  <c r="F60" i="86" s="1"/>
  <c r="F31" i="86"/>
  <c r="F28" i="86"/>
  <c r="C28" i="86" s="1"/>
  <c r="F23" i="86"/>
  <c r="D23" i="86" s="1"/>
  <c r="F21" i="86"/>
  <c r="M20" i="86"/>
  <c r="F20" i="86"/>
  <c r="M19" i="86"/>
  <c r="M18" i="86"/>
  <c r="F18" i="86"/>
  <c r="M17" i="86"/>
  <c r="F17" i="86"/>
  <c r="F15" i="86"/>
  <c r="G1" i="86"/>
  <c r="Q72" i="85"/>
  <c r="Q59" i="85"/>
  <c r="K59" i="85"/>
  <c r="P74" i="85" s="1"/>
  <c r="F59" i="85"/>
  <c r="Q58" i="85"/>
  <c r="Q51" i="85"/>
  <c r="J50" i="85"/>
  <c r="J51" i="85" s="1"/>
  <c r="M47" i="85"/>
  <c r="D46" i="85"/>
  <c r="F34" i="85"/>
  <c r="F62" i="85" s="1"/>
  <c r="F33" i="85"/>
  <c r="F61" i="85" s="1"/>
  <c r="F32" i="85"/>
  <c r="F60" i="85" s="1"/>
  <c r="F31" i="85"/>
  <c r="F28" i="85"/>
  <c r="C28" i="85"/>
  <c r="F23" i="85"/>
  <c r="D24" i="85" s="1"/>
  <c r="D23" i="85"/>
  <c r="D22" i="85"/>
  <c r="F21" i="85"/>
  <c r="M20" i="85"/>
  <c r="F20" i="85"/>
  <c r="M19" i="85"/>
  <c r="M18" i="85"/>
  <c r="F18" i="85"/>
  <c r="M17" i="85"/>
  <c r="F17" i="85"/>
  <c r="F15" i="85"/>
  <c r="G1" i="85"/>
  <c r="Q72" i="84"/>
  <c r="Q59" i="84"/>
  <c r="K59" i="84"/>
  <c r="P74" i="84" s="1"/>
  <c r="F59" i="84"/>
  <c r="Q58" i="84"/>
  <c r="Q51" i="84"/>
  <c r="J50" i="84"/>
  <c r="M47" i="84"/>
  <c r="D46" i="84"/>
  <c r="F34" i="84"/>
  <c r="F62" i="84" s="1"/>
  <c r="F33" i="84"/>
  <c r="F61" i="84" s="1"/>
  <c r="F32" i="84"/>
  <c r="F60" i="84" s="1"/>
  <c r="F31" i="84"/>
  <c r="F28" i="84"/>
  <c r="C28" i="84" s="1"/>
  <c r="F23" i="84"/>
  <c r="D23" i="84" s="1"/>
  <c r="F21" i="84"/>
  <c r="M20" i="84"/>
  <c r="F20" i="84"/>
  <c r="M19" i="84"/>
  <c r="M18" i="84"/>
  <c r="F18" i="84"/>
  <c r="M17" i="84"/>
  <c r="F17" i="84"/>
  <c r="F15" i="84"/>
  <c r="G1" i="84"/>
  <c r="F48" i="83"/>
  <c r="G41" i="83"/>
  <c r="F38" i="83"/>
  <c r="E37" i="83"/>
  <c r="F36" i="83"/>
  <c r="F35" i="83"/>
  <c r="F34" i="83"/>
  <c r="F30" i="83"/>
  <c r="C48" i="83" s="1"/>
  <c r="C30" i="83"/>
  <c r="G22" i="83"/>
  <c r="F21" i="83"/>
  <c r="F40" i="83" s="1"/>
  <c r="F20" i="83"/>
  <c r="F39" i="83" s="1"/>
  <c r="E19" i="83"/>
  <c r="E10" i="83"/>
  <c r="E9" i="83"/>
  <c r="F7" i="83"/>
  <c r="G1" i="83"/>
  <c r="F48" i="82"/>
  <c r="G41" i="82"/>
  <c r="F38" i="82"/>
  <c r="E37" i="82"/>
  <c r="F36" i="82"/>
  <c r="F35" i="82"/>
  <c r="F34" i="82"/>
  <c r="F30" i="82"/>
  <c r="C48" i="82" s="1"/>
  <c r="C30" i="82"/>
  <c r="G22" i="82"/>
  <c r="F21" i="82"/>
  <c r="F20" i="82"/>
  <c r="F39" i="82" s="1"/>
  <c r="E19" i="82"/>
  <c r="E10" i="82"/>
  <c r="E9" i="82"/>
  <c r="F7" i="82"/>
  <c r="G1" i="82"/>
  <c r="F48" i="81"/>
  <c r="G41" i="81"/>
  <c r="F38" i="81"/>
  <c r="E37" i="81"/>
  <c r="F36" i="81"/>
  <c r="F35" i="81"/>
  <c r="F34" i="81"/>
  <c r="F30" i="81"/>
  <c r="C48" i="81" s="1"/>
  <c r="C30" i="81"/>
  <c r="G22" i="81"/>
  <c r="F21" i="81"/>
  <c r="C40" i="81" s="1"/>
  <c r="F20" i="81"/>
  <c r="F39" i="81" s="1"/>
  <c r="E19" i="81"/>
  <c r="E10" i="81"/>
  <c r="E9" i="81"/>
  <c r="F7" i="81"/>
  <c r="G1" i="81"/>
  <c r="U3" i="43"/>
  <c r="U2" i="43"/>
  <c r="G51" i="43"/>
  <c r="G52" i="43"/>
  <c r="G53" i="43"/>
  <c r="G54" i="43"/>
  <c r="G55" i="43"/>
  <c r="G56" i="43"/>
  <c r="G57" i="43"/>
  <c r="G58" i="43"/>
  <c r="G50" i="43"/>
  <c r="G44" i="43"/>
  <c r="D42" i="43"/>
  <c r="D38" i="43"/>
  <c r="D37" i="43"/>
  <c r="AL7" i="1"/>
  <c r="AM7" i="1"/>
  <c r="AL8" i="1"/>
  <c r="AM8" i="1"/>
  <c r="AL9" i="1"/>
  <c r="AM9" i="1"/>
  <c r="AK9" i="1"/>
  <c r="N9" i="1"/>
  <c r="N8" i="1"/>
  <c r="N7" i="1"/>
  <c r="Y9" i="1"/>
  <c r="Y8" i="1"/>
  <c r="Y7" i="1"/>
  <c r="Y6" i="1"/>
  <c r="U7" i="1"/>
  <c r="V27" i="1"/>
  <c r="V26" i="1"/>
  <c r="V22" i="1"/>
  <c r="V21" i="1"/>
  <c r="V23" i="1" s="1"/>
  <c r="X27" i="1"/>
  <c r="X26" i="1"/>
  <c r="V28" i="1"/>
  <c r="X22" i="1"/>
  <c r="N6" i="1"/>
  <c r="L8" i="1"/>
  <c r="L9" i="1" s="1"/>
  <c r="G22" i="6"/>
  <c r="G21" i="6"/>
  <c r="G20" i="6"/>
  <c r="F19" i="6"/>
  <c r="M13" i="3"/>
  <c r="K13" i="3"/>
  <c r="I13" i="3"/>
  <c r="H12" i="80"/>
  <c r="C12" i="80"/>
  <c r="E11" i="80"/>
  <c r="C11" i="80"/>
  <c r="H11" i="80" s="1"/>
  <c r="E10" i="80"/>
  <c r="C10" i="80" s="1"/>
  <c r="H10" i="80" s="1"/>
  <c r="H9" i="80"/>
  <c r="C9" i="80"/>
  <c r="D8" i="80"/>
  <c r="C8" i="80"/>
  <c r="C18" i="80" s="1"/>
  <c r="C21" i="80" s="1"/>
  <c r="D34" i="89"/>
  <c r="D34" i="87"/>
  <c r="C76" i="86"/>
  <c r="E2" i="82"/>
  <c r="D35" i="89"/>
  <c r="D35" i="87"/>
  <c r="F27" i="83"/>
  <c r="E2" i="83"/>
  <c r="D34" i="88"/>
  <c r="F27" i="82"/>
  <c r="C76" i="84"/>
  <c r="E2" i="81"/>
  <c r="D35" i="88"/>
  <c r="F27" i="81"/>
  <c r="C76" i="85"/>
  <c r="C18" i="87" l="1"/>
  <c r="D18" i="87" s="1"/>
  <c r="C18" i="88"/>
  <c r="D18" i="88" s="1"/>
  <c r="K120" i="89"/>
  <c r="D121" i="89"/>
  <c r="C74" i="89"/>
  <c r="C92" i="89"/>
  <c r="C94" i="89"/>
  <c r="H109" i="89"/>
  <c r="K120" i="88"/>
  <c r="D121" i="88"/>
  <c r="C74" i="88"/>
  <c r="C92" i="88"/>
  <c r="C94" i="88"/>
  <c r="H109" i="88"/>
  <c r="K120" i="87"/>
  <c r="D121" i="87"/>
  <c r="C74" i="87"/>
  <c r="C92" i="87"/>
  <c r="C94" i="87"/>
  <c r="H109" i="87"/>
  <c r="F45" i="81"/>
  <c r="F45" i="82"/>
  <c r="F45" i="83"/>
  <c r="Q71" i="86"/>
  <c r="D24" i="86"/>
  <c r="P61" i="86"/>
  <c r="D22" i="86"/>
  <c r="J51" i="86"/>
  <c r="Q71" i="85"/>
  <c r="P61" i="85"/>
  <c r="Q71" i="84"/>
  <c r="D24" i="84"/>
  <c r="P61" i="84"/>
  <c r="D22" i="84"/>
  <c r="J51" i="84"/>
  <c r="C21" i="83"/>
  <c r="C29" i="83" s="1"/>
  <c r="D27" i="83" s="1"/>
  <c r="C40" i="83"/>
  <c r="F40" i="82"/>
  <c r="C21" i="82"/>
  <c r="C29" i="82" s="1"/>
  <c r="D27" i="82" s="1"/>
  <c r="C40" i="82"/>
  <c r="C47" i="81"/>
  <c r="D45" i="81" s="1"/>
  <c r="F40" i="81"/>
  <c r="C21" i="81"/>
  <c r="C29" i="81" s="1"/>
  <c r="D27" i="81" s="1"/>
  <c r="X28" i="1"/>
  <c r="Y22" i="1"/>
  <c r="Y21" i="1"/>
  <c r="X23" i="1" s="1"/>
  <c r="U6" i="1" s="1"/>
  <c r="Y26" i="1"/>
  <c r="Y27" i="1" s="1"/>
  <c r="H8" i="80"/>
  <c r="H13" i="80" s="1"/>
  <c r="C36" i="81"/>
  <c r="D9" i="83"/>
  <c r="J15" i="86"/>
  <c r="F38" i="86"/>
  <c r="F42" i="86"/>
  <c r="M27" i="86"/>
  <c r="M24" i="86"/>
  <c r="F6" i="85"/>
  <c r="F26" i="85"/>
  <c r="F7" i="85"/>
  <c r="F40" i="85"/>
  <c r="M9" i="85"/>
  <c r="M26" i="85"/>
  <c r="M28" i="85"/>
  <c r="M9" i="84"/>
  <c r="F26" i="84"/>
  <c r="M22" i="84"/>
  <c r="L48" i="84"/>
  <c r="J15" i="84"/>
  <c r="F38" i="84"/>
  <c r="F42" i="84"/>
  <c r="L47" i="84"/>
  <c r="D10" i="81"/>
  <c r="D9" i="82"/>
  <c r="C36" i="83"/>
  <c r="F13" i="86"/>
  <c r="F36" i="86"/>
  <c r="M28" i="86"/>
  <c r="M9" i="86"/>
  <c r="F26" i="86"/>
  <c r="M22" i="86"/>
  <c r="L48" i="86"/>
  <c r="J15" i="85"/>
  <c r="F38" i="85"/>
  <c r="M24" i="85"/>
  <c r="M6" i="85"/>
  <c r="M23" i="85"/>
  <c r="F8" i="85"/>
  <c r="M6" i="84"/>
  <c r="M23" i="84"/>
  <c r="F8" i="84"/>
  <c r="F43" i="84"/>
  <c r="F13" i="84"/>
  <c r="F36" i="84"/>
  <c r="C36" i="82"/>
  <c r="M8" i="86"/>
  <c r="M29" i="86"/>
  <c r="F9" i="86"/>
  <c r="M6" i="86"/>
  <c r="M23" i="86"/>
  <c r="F8" i="86"/>
  <c r="F43" i="86"/>
  <c r="F13" i="85"/>
  <c r="F36" i="85"/>
  <c r="M22" i="85"/>
  <c r="L48" i="85"/>
  <c r="F16" i="85"/>
  <c r="F37" i="85"/>
  <c r="L47" i="85"/>
  <c r="F16" i="84"/>
  <c r="F37" i="84"/>
  <c r="F40" i="84"/>
  <c r="M8" i="84"/>
  <c r="M29" i="84"/>
  <c r="F9" i="84"/>
  <c r="M28" i="84"/>
  <c r="D9" i="81"/>
  <c r="D10" i="82"/>
  <c r="D10" i="83"/>
  <c r="F6" i="86"/>
  <c r="M26" i="86"/>
  <c r="F7" i="86"/>
  <c r="L47" i="86"/>
  <c r="F16" i="86"/>
  <c r="F37" i="86"/>
  <c r="F40" i="86"/>
  <c r="M8" i="85"/>
  <c r="M27" i="85"/>
  <c r="F9" i="85"/>
  <c r="F43" i="85"/>
  <c r="M29" i="85"/>
  <c r="F42" i="85"/>
  <c r="M27" i="84"/>
  <c r="M24" i="84"/>
  <c r="F6" i="84"/>
  <c r="M26" i="84"/>
  <c r="F7" i="84"/>
  <c r="D124" i="89" l="1"/>
  <c r="D125" i="89" s="1"/>
  <c r="H110" i="89"/>
  <c r="D124" i="88"/>
  <c r="D125" i="88" s="1"/>
  <c r="H110" i="88"/>
  <c r="D124" i="87"/>
  <c r="D125" i="87" s="1"/>
  <c r="H110" i="87"/>
  <c r="C10" i="81"/>
  <c r="D19" i="81"/>
  <c r="C9" i="81"/>
  <c r="C8" i="81" s="1"/>
  <c r="D19" i="82"/>
  <c r="C9" i="82"/>
  <c r="C10" i="82"/>
  <c r="D19" i="83"/>
  <c r="C9" i="83"/>
  <c r="C10" i="83"/>
  <c r="F71" i="86"/>
  <c r="F68" i="86"/>
  <c r="F51" i="86"/>
  <c r="F65" i="86"/>
  <c r="C27" i="86"/>
  <c r="N59" i="86"/>
  <c r="L59" i="86"/>
  <c r="L58" i="86"/>
  <c r="M59" i="86"/>
  <c r="F50" i="86"/>
  <c r="M7" i="86"/>
  <c r="J6" i="86" s="1"/>
  <c r="F66" i="86"/>
  <c r="F64" i="86"/>
  <c r="C6" i="86"/>
  <c r="J57" i="86"/>
  <c r="J55" i="86" s="1"/>
  <c r="J58" i="86" s="1"/>
  <c r="Q50" i="86" s="1"/>
  <c r="J53" i="86"/>
  <c r="I54" i="86"/>
  <c r="N59" i="85"/>
  <c r="L59" i="85"/>
  <c r="L58" i="85"/>
  <c r="M59" i="85"/>
  <c r="F51" i="85"/>
  <c r="F65" i="85"/>
  <c r="I54" i="85"/>
  <c r="J53" i="85"/>
  <c r="L56" i="85" s="1"/>
  <c r="J57" i="85"/>
  <c r="J55" i="85" s="1"/>
  <c r="J58" i="85" s="1"/>
  <c r="Q50" i="85" s="1"/>
  <c r="F71" i="85"/>
  <c r="F68" i="85"/>
  <c r="F50" i="85"/>
  <c r="M7" i="85"/>
  <c r="J6" i="85" s="1"/>
  <c r="F66" i="85"/>
  <c r="F64" i="85"/>
  <c r="C27" i="85"/>
  <c r="C6" i="85"/>
  <c r="N59" i="84"/>
  <c r="L59" i="84"/>
  <c r="L58" i="84"/>
  <c r="M59" i="84"/>
  <c r="F50" i="84"/>
  <c r="M7" i="84"/>
  <c r="J6" i="84" s="1"/>
  <c r="F66" i="84"/>
  <c r="F64" i="84"/>
  <c r="C6" i="84"/>
  <c r="J53" i="84"/>
  <c r="J57" i="84"/>
  <c r="J55" i="84" s="1"/>
  <c r="J58" i="84" s="1"/>
  <c r="Q50" i="84" s="1"/>
  <c r="F71" i="84"/>
  <c r="F68" i="84"/>
  <c r="F51" i="84"/>
  <c r="F65" i="84"/>
  <c r="C27" i="84"/>
  <c r="I54" i="84"/>
  <c r="C47" i="83"/>
  <c r="D45" i="83" s="1"/>
  <c r="C47" i="82"/>
  <c r="D45" i="82" s="1"/>
  <c r="C17" i="84"/>
  <c r="C17" i="86"/>
  <c r="C17" i="85"/>
  <c r="C8" i="82" l="1"/>
  <c r="C19" i="81"/>
  <c r="D37" i="81"/>
  <c r="C37" i="81" s="1"/>
  <c r="C19" i="82"/>
  <c r="D37" i="82"/>
  <c r="C37" i="82" s="1"/>
  <c r="C8" i="83"/>
  <c r="D37" i="83"/>
  <c r="C37" i="83" s="1"/>
  <c r="C19" i="83"/>
  <c r="J19" i="86"/>
  <c r="J18" i="86"/>
  <c r="F1" i="86"/>
  <c r="Q52" i="86"/>
  <c r="C33" i="86"/>
  <c r="C32" i="86"/>
  <c r="Q60" i="86"/>
  <c r="Q73" i="86"/>
  <c r="C49" i="86"/>
  <c r="L56" i="86"/>
  <c r="Q61" i="86"/>
  <c r="Q74" i="86"/>
  <c r="C49" i="85"/>
  <c r="C61" i="85" s="1"/>
  <c r="J19" i="85"/>
  <c r="J18" i="85"/>
  <c r="F1" i="85"/>
  <c r="Q52" i="85"/>
  <c r="Q61" i="85"/>
  <c r="Q74" i="85"/>
  <c r="C33" i="85"/>
  <c r="C32" i="85"/>
  <c r="Q60" i="85"/>
  <c r="Q73" i="85"/>
  <c r="C49" i="84"/>
  <c r="Q61" i="84"/>
  <c r="Q74" i="84"/>
  <c r="J19" i="84"/>
  <c r="J18" i="84"/>
  <c r="F1" i="84"/>
  <c r="Q52" i="84"/>
  <c r="L56" i="84"/>
  <c r="C33" i="84"/>
  <c r="C32" i="84"/>
  <c r="Q60" i="84"/>
  <c r="Q73" i="84"/>
  <c r="C61" i="86" l="1"/>
  <c r="C61" i="84"/>
  <c r="J16" i="74" l="1"/>
  <c r="J15" i="74"/>
  <c r="J14" i="74" l="1"/>
  <c r="J24" i="74" s="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R8" i="79"/>
  <c r="R7" i="79"/>
  <c r="R6" i="79"/>
  <c r="P9" i="79"/>
  <c r="T8" i="79"/>
  <c r="W8" i="79" s="1"/>
  <c r="T6" i="79"/>
  <c r="W6" i="79" s="1"/>
  <c r="T7" i="79"/>
  <c r="W7" i="79" s="1"/>
  <c r="V9" i="79"/>
  <c r="V8" i="79"/>
  <c r="V6" i="79"/>
  <c r="V7" i="79"/>
  <c r="T26" i="79"/>
  <c r="W26" i="79" s="1"/>
  <c r="T27" i="79"/>
  <c r="W27" i="79" s="1"/>
  <c r="T28" i="79"/>
  <c r="W28" i="79" s="1"/>
  <c r="K3" i="79"/>
  <c r="M3" i="79"/>
  <c r="P3" i="79" s="1"/>
  <c r="O3" i="79"/>
  <c r="T3" i="79"/>
  <c r="W3" i="79" s="1"/>
  <c r="V3" i="79"/>
  <c r="S5" i="79"/>
  <c r="U5" i="79"/>
  <c r="P5" i="79"/>
  <c r="S9" i="79"/>
  <c r="S7" i="79"/>
  <c r="S6" i="79"/>
  <c r="S8" i="79"/>
  <c r="U9" i="79"/>
  <c r="U6" i="79"/>
  <c r="U8" i="79"/>
  <c r="U7" i="79"/>
  <c r="R10" i="79"/>
  <c r="T10" i="79"/>
  <c r="W10" i="79" s="1"/>
  <c r="V10" i="79"/>
  <c r="S11" i="79"/>
  <c r="U11" i="79"/>
  <c r="R12" i="79"/>
  <c r="T12" i="79"/>
  <c r="W12" i="79" s="1"/>
  <c r="V12" i="79"/>
  <c r="R13" i="79"/>
  <c r="V13" i="79"/>
  <c r="M23" i="79"/>
  <c r="P23" i="79" s="1"/>
  <c r="T23" i="79"/>
  <c r="W23" i="79" s="1"/>
  <c r="T25" i="79"/>
  <c r="W25" i="79" s="1"/>
  <c r="S27" i="79"/>
  <c r="S28" i="79"/>
  <c r="S26" i="79"/>
  <c r="U29" i="79"/>
  <c r="U26" i="79"/>
  <c r="U27" i="79"/>
  <c r="U28"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c r="AB29" i="71"/>
  <c r="X30" i="71"/>
  <c r="AA30" i="71"/>
  <c r="X31" i="71"/>
  <c r="AA31" i="71"/>
  <c r="X32" i="71"/>
  <c r="AA32" i="71"/>
  <c r="C34" i="71"/>
  <c r="C35" i="7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s="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5" i="71"/>
  <c r="D54" i="71"/>
  <c r="C59" i="71"/>
  <c r="D58" i="71"/>
  <c r="C63" i="71"/>
  <c r="D62" i="71"/>
  <c r="N67" i="71"/>
  <c r="B66"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s="1"/>
  <c r="AB25" i="71"/>
  <c r="AB26" i="71"/>
  <c r="AB27"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N66" i="71"/>
  <c r="D87" i="71"/>
  <c r="C86" i="71"/>
  <c r="D86" i="71"/>
  <c r="D79" i="71"/>
  <c r="C78" i="71"/>
  <c r="D78" i="71" s="1"/>
  <c r="D71" i="71"/>
  <c r="C70" i="71"/>
  <c r="D70" i="71"/>
  <c r="C60" i="71"/>
  <c r="D59" i="71"/>
  <c r="C56" i="71"/>
  <c r="D55" i="71"/>
  <c r="P67" i="71"/>
  <c r="E66" i="71"/>
  <c r="P65" i="71" s="1"/>
  <c r="C52" i="71"/>
  <c r="D51" i="71"/>
  <c r="C40" i="71"/>
  <c r="D39" i="71"/>
  <c r="C36" i="71"/>
  <c r="D35" i="71"/>
  <c r="C32" i="71"/>
  <c r="D31" i="71"/>
  <c r="C26" i="71"/>
  <c r="D26" i="71"/>
  <c r="D27" i="71"/>
  <c r="V28" i="71"/>
  <c r="P66" i="71"/>
  <c r="O66" i="71"/>
  <c r="D66" i="71"/>
  <c r="O65" i="71"/>
  <c r="T32" i="71"/>
  <c r="D32" i="71"/>
  <c r="T36" i="71"/>
  <c r="D36" i="71"/>
  <c r="T40" i="71"/>
  <c r="D40"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F83" i="21" s="1"/>
  <c r="S21" i="21"/>
  <c r="H1" i="69"/>
  <c r="W25" i="40"/>
  <c r="U25" i="40"/>
  <c r="U29" i="39"/>
  <c r="W29" i="39"/>
  <c r="W18" i="36"/>
  <c r="AB21" i="37"/>
  <c r="U21" i="37"/>
  <c r="U21" i="34"/>
  <c r="AB21" i="33"/>
  <c r="AA21" i="33"/>
  <c r="S21" i="33"/>
  <c r="U18" i="35"/>
  <c r="AC18" i="35"/>
  <c r="W18" i="35"/>
  <c r="J21" i="37"/>
  <c r="G84" i="34"/>
  <c r="J21" i="34"/>
  <c r="J21" i="33"/>
  <c r="AC21" i="33" s="1"/>
  <c r="H21" i="21"/>
  <c r="F38" i="69"/>
  <c r="E37" i="69"/>
  <c r="F36" i="69"/>
  <c r="F35" i="69"/>
  <c r="F21" i="69"/>
  <c r="F40" i="69" s="1"/>
  <c r="F20" i="69"/>
  <c r="F39" i="69" s="1"/>
  <c r="E10" i="69"/>
  <c r="E9" i="69"/>
  <c r="C7" i="69"/>
  <c r="AC21" i="37"/>
  <c r="W21" i="37"/>
  <c r="AC21" i="34"/>
  <c r="W21" i="34"/>
  <c r="W21" i="33"/>
  <c r="AB21" i="21"/>
  <c r="U21" i="21"/>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D5" i="3" s="1"/>
  <c r="BE493" i="3"/>
  <c r="BF493" i="3"/>
  <c r="BG493" i="3"/>
  <c r="BH493" i="3"/>
  <c r="BI493" i="3"/>
  <c r="BJ493" i="3"/>
  <c r="BK493" i="3"/>
  <c r="BM493" i="3"/>
  <c r="BM5" i="3" s="1"/>
  <c r="BN493" i="3"/>
  <c r="BO493" i="3"/>
  <c r="BP493" i="3"/>
  <c r="BR493" i="3"/>
  <c r="BR5" i="3" s="1"/>
  <c r="BS493" i="3"/>
  <c r="BT493" i="3"/>
  <c r="H494" i="3"/>
  <c r="AC494" i="3"/>
  <c r="BB494" i="3"/>
  <c r="BC494" i="3"/>
  <c r="BD494" i="3"/>
  <c r="BE494" i="3"/>
  <c r="BE5" i="3" s="1"/>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L496" i="3" s="1"/>
  <c r="AZ496"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A498" i="3" s="1"/>
  <c r="AZ498" i="3" s="1"/>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A501" i="3" s="1"/>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A504" i="3" s="1"/>
  <c r="AZ504" i="3" s="1"/>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A509" i="3" s="1"/>
  <c r="BD509" i="3"/>
  <c r="BE509" i="3"/>
  <c r="BF509" i="3"/>
  <c r="BG509" i="3"/>
  <c r="BH509" i="3"/>
  <c r="BI509" i="3"/>
  <c r="BJ509" i="3"/>
  <c r="BK509" i="3"/>
  <c r="BM509" i="3"/>
  <c r="BN509" i="3"/>
  <c r="BO509" i="3"/>
  <c r="BP509" i="3"/>
  <c r="BR509" i="3"/>
  <c r="BS509" i="3"/>
  <c r="BT509" i="3"/>
  <c r="H510" i="3"/>
  <c r="G510" i="3" s="1"/>
  <c r="AC510" i="3"/>
  <c r="BB510" i="3"/>
  <c r="BA510" i="3" s="1"/>
  <c r="BC510" i="3"/>
  <c r="BD510" i="3"/>
  <c r="BE510" i="3"/>
  <c r="BF510" i="3"/>
  <c r="BG510" i="3"/>
  <c r="BH510" i="3"/>
  <c r="BI510" i="3"/>
  <c r="BJ510" i="3"/>
  <c r="BK510" i="3"/>
  <c r="BM510" i="3"/>
  <c r="BN510" i="3"/>
  <c r="BO510" i="3"/>
  <c r="BP510" i="3"/>
  <c r="BQ510" i="3"/>
  <c r="BR510" i="3"/>
  <c r="BS510" i="3"/>
  <c r="BT510" i="3"/>
  <c r="H511" i="3"/>
  <c r="AC511" i="3"/>
  <c r="BB511" i="3"/>
  <c r="BA511" i="3" s="1"/>
  <c r="AZ511" i="3" s="1"/>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L514" i="3" s="1"/>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AZ519" i="3" s="1"/>
  <c r="BC519" i="3"/>
  <c r="BD519" i="3"/>
  <c r="BE519" i="3"/>
  <c r="BF519" i="3"/>
  <c r="BG519" i="3"/>
  <c r="BH519" i="3"/>
  <c r="BI519" i="3"/>
  <c r="BJ519" i="3"/>
  <c r="BK519" i="3"/>
  <c r="BM519" i="3"/>
  <c r="BN519" i="3"/>
  <c r="BO519" i="3"/>
  <c r="BP519" i="3"/>
  <c r="BR519" i="3"/>
  <c r="BS519" i="3"/>
  <c r="BT519" i="3"/>
  <c r="H520" i="3"/>
  <c r="AC520" i="3"/>
  <c r="G520" i="3" s="1"/>
  <c r="BB520" i="3"/>
  <c r="BC520" i="3"/>
  <c r="BA520" i="3" s="1"/>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L523" i="3" s="1"/>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s="1"/>
  <c r="G87" i="35" s="1"/>
  <c r="H87" i="35"/>
  <c r="I87" i="35" s="1"/>
  <c r="J87" i="35" s="1"/>
  <c r="K87" i="35" s="1"/>
  <c r="L87" i="35" s="1"/>
  <c r="M87" i="35" s="1"/>
  <c r="H34" i="37"/>
  <c r="D101" i="37"/>
  <c r="F34" i="37"/>
  <c r="D99" i="37"/>
  <c r="E99" i="37"/>
  <c r="F99" i="37" s="1"/>
  <c r="G99" i="37"/>
  <c r="H99" i="37" s="1"/>
  <c r="I99" i="37" s="1"/>
  <c r="J99" i="37" s="1"/>
  <c r="K99" i="37"/>
  <c r="L99" i="37" s="1"/>
  <c r="M99" i="37" s="1"/>
  <c r="H42" i="34"/>
  <c r="J42" i="34"/>
  <c r="W42" i="34" s="1"/>
  <c r="F42" i="34"/>
  <c r="AA42" i="34" s="1"/>
  <c r="J38" i="34"/>
  <c r="W38" i="34"/>
  <c r="D114" i="34"/>
  <c r="F38" i="34"/>
  <c r="S38" i="34" s="1"/>
  <c r="D112" i="34"/>
  <c r="E112" i="34" s="1"/>
  <c r="F112" i="34"/>
  <c r="G112" i="34" s="1"/>
  <c r="H112" i="34" s="1"/>
  <c r="I112" i="34" s="1"/>
  <c r="J112" i="34"/>
  <c r="K112" i="34" s="1"/>
  <c r="L112" i="34" s="1"/>
  <c r="M112" i="34" s="1"/>
  <c r="F40" i="33"/>
  <c r="AA40" i="33" s="1"/>
  <c r="J41" i="33"/>
  <c r="D113" i="33"/>
  <c r="E113" i="33" s="1"/>
  <c r="F113" i="33" s="1"/>
  <c r="F37" i="33"/>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E71" i="37" s="1"/>
  <c r="F71" i="37" s="1"/>
  <c r="G71" i="37" s="1"/>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c r="F81" i="36" s="1"/>
  <c r="G81" i="36" s="1"/>
  <c r="H81" i="36" s="1"/>
  <c r="I81" i="36"/>
  <c r="J81" i="36" s="1"/>
  <c r="K81" i="36" s="1"/>
  <c r="L81" i="36" s="1"/>
  <c r="M81" i="36" s="1"/>
  <c r="F79" i="36"/>
  <c r="E79" i="36"/>
  <c r="D79" i="36"/>
  <c r="C79" i="36"/>
  <c r="B93" i="36"/>
  <c r="H33" i="36"/>
  <c r="B91" i="36"/>
  <c r="F32" i="36"/>
  <c r="B95" i="36"/>
  <c r="H34" i="36"/>
  <c r="D83" i="36"/>
  <c r="E83" i="36"/>
  <c r="F83" i="36" s="1"/>
  <c r="G83" i="36" s="1"/>
  <c r="H83" i="36" s="1"/>
  <c r="I83" i="36"/>
  <c r="J83" i="36" s="1"/>
  <c r="K83" i="36" s="1"/>
  <c r="L83" i="36" s="1"/>
  <c r="M83" i="36" s="1"/>
  <c r="D78" i="36"/>
  <c r="E78" i="36"/>
  <c r="F78" i="36" s="1"/>
  <c r="G78" i="36" s="1"/>
  <c r="H78" i="36" s="1"/>
  <c r="I78" i="36"/>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c r="I94" i="35" s="1"/>
  <c r="J94" i="35" s="1"/>
  <c r="K94" i="35" s="1"/>
  <c r="L94" i="35" s="1"/>
  <c r="M94" i="35" s="1"/>
  <c r="D84" i="35"/>
  <c r="E84" i="35" s="1"/>
  <c r="F84" i="35"/>
  <c r="G84" i="35" s="1"/>
  <c r="H84" i="35" s="1"/>
  <c r="I84" i="35" s="1"/>
  <c r="J84" i="35"/>
  <c r="K84" i="35" s="1"/>
  <c r="L84" i="35" s="1"/>
  <c r="M84" i="35" s="1"/>
  <c r="D80" i="35"/>
  <c r="E80" i="35" s="1"/>
  <c r="F80" i="35" s="1"/>
  <c r="G80" i="35" s="1"/>
  <c r="H80" i="35"/>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c r="C15" i="34"/>
  <c r="D126" i="34"/>
  <c r="E126" i="34" s="1"/>
  <c r="F126" i="34" s="1"/>
  <c r="G126" i="34" s="1"/>
  <c r="D124" i="34"/>
  <c r="E124" i="34" s="1"/>
  <c r="F124" i="34" s="1"/>
  <c r="G124" i="34" s="1"/>
  <c r="H124" i="34"/>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c r="M116" i="34" s="1"/>
  <c r="F110" i="34"/>
  <c r="E110" i="34"/>
  <c r="D110" i="34"/>
  <c r="C110" i="34"/>
  <c r="D109" i="34"/>
  <c r="E109" i="34" s="1"/>
  <c r="F109" i="34"/>
  <c r="G109" i="34" s="1"/>
  <c r="H109" i="34" s="1"/>
  <c r="I109" i="34" s="1"/>
  <c r="J109" i="34" s="1"/>
  <c r="K109" i="34" s="1"/>
  <c r="L109" i="34" s="1"/>
  <c r="M109" i="34" s="1"/>
  <c r="D107" i="34"/>
  <c r="E107" i="34" s="1"/>
  <c r="F107" i="34"/>
  <c r="G107" i="34" s="1"/>
  <c r="H107" i="34" s="1"/>
  <c r="I107" i="34" s="1"/>
  <c r="J107" i="34"/>
  <c r="K107" i="34" s="1"/>
  <c r="L107" i="34" s="1"/>
  <c r="M107" i="34" s="1"/>
  <c r="F35" i="34"/>
  <c r="M103" i="34"/>
  <c r="L103" i="34"/>
  <c r="K103" i="34"/>
  <c r="J103" i="34"/>
  <c r="I103" i="34"/>
  <c r="H103" i="34"/>
  <c r="G103" i="34"/>
  <c r="F103" i="34"/>
  <c r="E103" i="34"/>
  <c r="D103" i="34"/>
  <c r="C103" i="34"/>
  <c r="D102" i="34"/>
  <c r="E102" i="34"/>
  <c r="F102" i="34" s="1"/>
  <c r="G102" i="34"/>
  <c r="H102" i="34" s="1"/>
  <c r="I102" i="34" s="1"/>
  <c r="J102" i="34" s="1"/>
  <c r="K102" i="34"/>
  <c r="L102" i="34" s="1"/>
  <c r="M102" i="34" s="1"/>
  <c r="D92" i="34"/>
  <c r="E92" i="34"/>
  <c r="F92" i="34" s="1"/>
  <c r="G92" i="34"/>
  <c r="H92" i="34" s="1"/>
  <c r="I92" i="34" s="1"/>
  <c r="J92" i="34" s="1"/>
  <c r="K92" i="34"/>
  <c r="L92" i="34" s="1"/>
  <c r="M92" i="34" s="1"/>
  <c r="B91" i="34"/>
  <c r="B89" i="34"/>
  <c r="D88" i="34"/>
  <c r="E88" i="34" s="1"/>
  <c r="F88" i="34" s="1"/>
  <c r="G88" i="34" s="1"/>
  <c r="H88" i="34"/>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F12" i="34"/>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F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C63" i="33"/>
  <c r="F9" i="33" s="1"/>
  <c r="AA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c r="L110" i="21" s="1"/>
  <c r="M110" i="21" s="1"/>
  <c r="J36" i="21"/>
  <c r="AC36" i="21"/>
  <c r="D108" i="21"/>
  <c r="E108" i="21"/>
  <c r="F108" i="21" s="1"/>
  <c r="G108" i="21"/>
  <c r="H108" i="21" s="1"/>
  <c r="I108" i="21" s="1"/>
  <c r="J108" i="21" s="1"/>
  <c r="K108" i="21"/>
  <c r="L108" i="21" s="1"/>
  <c r="M108" i="21" s="1"/>
  <c r="D106" i="21"/>
  <c r="E106" i="21"/>
  <c r="F106" i="21" s="1"/>
  <c r="G106" i="21"/>
  <c r="H106" i="21" s="1"/>
  <c r="I106" i="21" s="1"/>
  <c r="J106" i="21" s="1"/>
  <c r="K106" i="21"/>
  <c r="L106" i="21" s="1"/>
  <c r="M106" i="21" s="1"/>
  <c r="D101" i="21"/>
  <c r="E101" i="21"/>
  <c r="F101" i="21" s="1"/>
  <c r="G101" i="21"/>
  <c r="H101" i="21" s="1"/>
  <c r="D89" i="21"/>
  <c r="E89" i="21" s="1"/>
  <c r="F89" i="21"/>
  <c r="G89" i="21" s="1"/>
  <c r="H89" i="21" s="1"/>
  <c r="I89" i="21" s="1"/>
  <c r="J89" i="21"/>
  <c r="K89" i="21" s="1"/>
  <c r="L89" i="21" s="1"/>
  <c r="M89" i="21" s="1"/>
  <c r="D67" i="21"/>
  <c r="E67" i="21"/>
  <c r="F67" i="21"/>
  <c r="G67" i="21"/>
  <c r="H67" i="21"/>
  <c r="I67" i="21"/>
  <c r="J67" i="21"/>
  <c r="K67" i="21"/>
  <c r="L67" i="21"/>
  <c r="M67" i="21"/>
  <c r="C67" i="21"/>
  <c r="D69" i="21"/>
  <c r="E69" i="21"/>
  <c r="F69" i="21" s="1"/>
  <c r="G69" i="21" s="1"/>
  <c r="H69" i="21" s="1"/>
  <c r="I69" i="2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c r="B126" i="21"/>
  <c r="B98" i="21"/>
  <c r="B96" i="21"/>
  <c r="B94" i="21"/>
  <c r="J29" i="21"/>
  <c r="AC29" i="21" s="1"/>
  <c r="B92" i="21"/>
  <c r="B90" i="21"/>
  <c r="J27" i="21"/>
  <c r="B74" i="21"/>
  <c r="J14" i="21" s="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AZ587" i="3" s="1"/>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J34" i="21"/>
  <c r="W34" i="21" s="1"/>
  <c r="H36" i="21"/>
  <c r="F35" i="21"/>
  <c r="AA35" i="21" s="1"/>
  <c r="J10" i="21"/>
  <c r="AC10" i="21" s="1"/>
  <c r="H26" i="21"/>
  <c r="AB26" i="21"/>
  <c r="AB19" i="21"/>
  <c r="J19" i="21"/>
  <c r="J12" i="21"/>
  <c r="AC12" i="21" s="1"/>
  <c r="H12" i="21"/>
  <c r="AB12" i="21" s="1"/>
  <c r="J26" i="21"/>
  <c r="W26" i="21" s="1"/>
  <c r="F26" i="21"/>
  <c r="S26" i="21" s="1"/>
  <c r="S41" i="21"/>
  <c r="AA41" i="21"/>
  <c r="F45" i="39"/>
  <c r="S45" i="39"/>
  <c r="J45" i="39"/>
  <c r="W45" i="39"/>
  <c r="J44" i="39"/>
  <c r="AC44"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4" i="35"/>
  <c r="W36" i="35"/>
  <c r="W22" i="35"/>
  <c r="S31" i="35"/>
  <c r="F36" i="34"/>
  <c r="J35" i="34"/>
  <c r="W9" i="34"/>
  <c r="U34" i="34"/>
  <c r="H39" i="33"/>
  <c r="AB39" i="33" s="1"/>
  <c r="F26" i="33"/>
  <c r="U33" i="33"/>
  <c r="S40" i="33"/>
  <c r="W39" i="33"/>
  <c r="H39" i="37"/>
  <c r="AB39" i="37"/>
  <c r="S27" i="35"/>
  <c r="F11" i="40"/>
  <c r="AA11" i="40" s="1"/>
  <c r="H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F19" i="39"/>
  <c r="AA19" i="39" s="1"/>
  <c r="H17" i="39"/>
  <c r="AB17" i="39" s="1"/>
  <c r="F17" i="39"/>
  <c r="AA17" i="39" s="1"/>
  <c r="J23" i="40"/>
  <c r="AC23" i="40" s="1"/>
  <c r="F21" i="40"/>
  <c r="AA21" i="40" s="1"/>
  <c r="J21" i="40"/>
  <c r="H42" i="39"/>
  <c r="AB42" i="39" s="1"/>
  <c r="J34" i="39"/>
  <c r="AC34" i="39" s="1"/>
  <c r="F100" i="39"/>
  <c r="G100" i="39" s="1"/>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12" i="33"/>
  <c r="AB12" i="35"/>
  <c r="F37" i="39"/>
  <c r="AA37" i="39"/>
  <c r="J34" i="36"/>
  <c r="W34" i="36" s="1"/>
  <c r="U30" i="36"/>
  <c r="J30" i="35"/>
  <c r="W30" i="35" s="1"/>
  <c r="H30" i="35"/>
  <c r="AB30" i="35" s="1"/>
  <c r="F22" i="35"/>
  <c r="AA22" i="35"/>
  <c r="H10" i="35"/>
  <c r="U10" i="35" s="1"/>
  <c r="AC16" i="36"/>
  <c r="F33" i="36"/>
  <c r="AA33" i="36"/>
  <c r="W30" i="36"/>
  <c r="H16" i="36"/>
  <c r="AB16" i="36" s="1"/>
  <c r="E85" i="36"/>
  <c r="F85" i="36" s="1"/>
  <c r="G85" i="36"/>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J29" i="35"/>
  <c r="H33" i="35"/>
  <c r="AB33" i="35"/>
  <c r="J20" i="35"/>
  <c r="W20" i="35"/>
  <c r="F35" i="37"/>
  <c r="S35" i="37"/>
  <c r="E101" i="37"/>
  <c r="F101" i="37"/>
  <c r="G101" i="37" s="1"/>
  <c r="H101" i="37"/>
  <c r="I101" i="37" s="1"/>
  <c r="J101" i="37" s="1"/>
  <c r="K101" i="37" s="1"/>
  <c r="L101" i="37"/>
  <c r="M101" i="37" s="1"/>
  <c r="J34" i="37"/>
  <c r="W34" i="37" s="1"/>
  <c r="AA39" i="37"/>
  <c r="AB34" i="37"/>
  <c r="J33" i="37"/>
  <c r="AC33" i="37" s="1"/>
  <c r="U42" i="34"/>
  <c r="H40" i="34"/>
  <c r="U40" i="34" s="1"/>
  <c r="E114" i="34"/>
  <c r="F114" i="34" s="1"/>
  <c r="H36" i="34"/>
  <c r="U36" i="34"/>
  <c r="F37" i="34"/>
  <c r="AA37" i="34" s="1"/>
  <c r="F28" i="34"/>
  <c r="AA28" i="34"/>
  <c r="F25" i="34"/>
  <c r="S25" i="34"/>
  <c r="H23" i="34"/>
  <c r="U23" i="34"/>
  <c r="J23" i="34"/>
  <c r="F19" i="34"/>
  <c r="S19" i="34" s="1"/>
  <c r="H17" i="34"/>
  <c r="U17" i="34"/>
  <c r="F15" i="34"/>
  <c r="J15" i="34"/>
  <c r="AC15" i="34" s="1"/>
  <c r="H15" i="34"/>
  <c r="AB15" i="34"/>
  <c r="W8" i="34"/>
  <c r="J28" i="34"/>
  <c r="W28" i="34" s="1"/>
  <c r="F41" i="33"/>
  <c r="AA41" i="33" s="1"/>
  <c r="S38" i="33"/>
  <c r="F32" i="33"/>
  <c r="AA32" i="33" s="1"/>
  <c r="J19" i="33"/>
  <c r="AC19" i="33" s="1"/>
  <c r="J15" i="33"/>
  <c r="AC15" i="33" s="1"/>
  <c r="F11" i="33"/>
  <c r="AA11" i="33" s="1"/>
  <c r="U40" i="33"/>
  <c r="W40" i="33"/>
  <c r="F37" i="40"/>
  <c r="AA37" i="40" s="1"/>
  <c r="F36" i="40"/>
  <c r="H28" i="40"/>
  <c r="U28" i="40" s="1"/>
  <c r="F23" i="40"/>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B42" i="34"/>
  <c r="J40" i="34"/>
  <c r="G114" i="34"/>
  <c r="H114" i="34" s="1"/>
  <c r="I114" i="34" s="1"/>
  <c r="J114" i="34" s="1"/>
  <c r="K114" i="34"/>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G113" i="33"/>
  <c r="H113" i="33" s="1"/>
  <c r="I113" i="33" s="1"/>
  <c r="J113" i="33" s="1"/>
  <c r="K113" i="33"/>
  <c r="L113" i="33" s="1"/>
  <c r="M113" i="33" s="1"/>
  <c r="H37" i="33"/>
  <c r="AB37" i="33"/>
  <c r="H15" i="33"/>
  <c r="AB15" i="33"/>
  <c r="H11" i="33"/>
  <c r="AB11" i="33" s="1"/>
  <c r="F28" i="40"/>
  <c r="AA28" i="40" s="1"/>
  <c r="AA29" i="35"/>
  <c r="S42" i="34"/>
  <c r="AC38" i="34"/>
  <c r="AA38" i="34"/>
  <c r="J37" i="34"/>
  <c r="AC37" i="34" s="1"/>
  <c r="J11" i="33"/>
  <c r="W11" i="33" s="1"/>
  <c r="S28" i="34"/>
  <c r="U23" i="40"/>
  <c r="J42" i="21"/>
  <c r="AC42" i="21" s="1"/>
  <c r="H42" i="21"/>
  <c r="J44" i="34"/>
  <c r="F44" i="34"/>
  <c r="AA44" i="34"/>
  <c r="J10" i="35"/>
  <c r="AC10" i="35" s="1"/>
  <c r="W14" i="21"/>
  <c r="F14" i="21"/>
  <c r="S14" i="21"/>
  <c r="H14" i="21"/>
  <c r="U14"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J28" i="33"/>
  <c r="W28" i="33" s="1"/>
  <c r="F33" i="35"/>
  <c r="J33" i="35"/>
  <c r="AC33" i="35" s="1"/>
  <c r="F30" i="35"/>
  <c r="S30" i="35" s="1"/>
  <c r="E89" i="35"/>
  <c r="F89" i="35" s="1"/>
  <c r="G89" i="35"/>
  <c r="H89" i="35" s="1"/>
  <c r="I89" i="35" s="1"/>
  <c r="J89" i="35" s="1"/>
  <c r="K89" i="35" s="1"/>
  <c r="L89" i="35" s="1"/>
  <c r="M89" i="35" s="1"/>
  <c r="H10" i="36"/>
  <c r="AB10" i="36" s="1"/>
  <c r="J14" i="36"/>
  <c r="H14" i="36"/>
  <c r="U14" i="36" s="1"/>
  <c r="F28" i="36"/>
  <c r="AA28" i="36" s="1"/>
  <c r="J13" i="21"/>
  <c r="AC13" i="21"/>
  <c r="H27" i="21"/>
  <c r="AB27" i="21"/>
  <c r="F27" i="21"/>
  <c r="AA27" i="21"/>
  <c r="H29" i="21"/>
  <c r="U29" i="21"/>
  <c r="F45" i="21"/>
  <c r="AA45" i="21"/>
  <c r="F27" i="33"/>
  <c r="AA27" i="33"/>
  <c r="J13" i="33"/>
  <c r="H13" i="33"/>
  <c r="U13" i="33" s="1"/>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AB30" i="34" s="1"/>
  <c r="F30" i="34"/>
  <c r="S30" i="34"/>
  <c r="J30" i="34"/>
  <c r="W30" i="34"/>
  <c r="H32" i="34"/>
  <c r="F32" i="34"/>
  <c r="AA32" i="34" s="1"/>
  <c r="J32" i="34"/>
  <c r="W32" i="34"/>
  <c r="H46" i="34"/>
  <c r="U46" i="34"/>
  <c r="F46" i="34"/>
  <c r="J46" i="34"/>
  <c r="AC46" i="34" s="1"/>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E89" i="37"/>
  <c r="F89" i="37" s="1"/>
  <c r="G89" i="37"/>
  <c r="H89" i="37" s="1"/>
  <c r="I89" i="37" s="1"/>
  <c r="J89" i="37" s="1"/>
  <c r="K89" i="37" s="1"/>
  <c r="L89" i="37" s="1"/>
  <c r="M89" i="37" s="1"/>
  <c r="J29" i="37"/>
  <c r="W29" i="37"/>
  <c r="F29" i="37"/>
  <c r="S29" i="37"/>
  <c r="F105" i="37"/>
  <c r="H36" i="37"/>
  <c r="F107" i="37"/>
  <c r="J37" i="37"/>
  <c r="AC37" i="37"/>
  <c r="H37" i="37"/>
  <c r="U37" i="37"/>
  <c r="H40" i="37"/>
  <c r="U40" i="37"/>
  <c r="J40" i="37"/>
  <c r="AC40" i="37"/>
  <c r="F40" i="37"/>
  <c r="AA40" i="37"/>
  <c r="W12" i="40"/>
  <c r="H14" i="33"/>
  <c r="U14" i="33"/>
  <c r="F14" i="33"/>
  <c r="S14" i="33"/>
  <c r="J14" i="33"/>
  <c r="H30" i="33"/>
  <c r="F30" i="33"/>
  <c r="S30" i="33" s="1"/>
  <c r="J30" i="33"/>
  <c r="H44" i="33"/>
  <c r="U44" i="33" s="1"/>
  <c r="J44" i="33"/>
  <c r="AC44" i="33"/>
  <c r="F44" i="33"/>
  <c r="S44" i="33"/>
  <c r="J46" i="33"/>
  <c r="AC46" i="33"/>
  <c r="F46" i="33"/>
  <c r="AA46" i="33"/>
  <c r="H46" i="33"/>
  <c r="AB46" i="33"/>
  <c r="H13" i="34"/>
  <c r="U13" i="34"/>
  <c r="J13" i="34"/>
  <c r="W13" i="34"/>
  <c r="F13" i="34"/>
  <c r="AA13" i="34" s="1"/>
  <c r="J29" i="34"/>
  <c r="W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J13" i="37"/>
  <c r="W13" i="37" s="1"/>
  <c r="F43" i="39"/>
  <c r="AA43" i="39"/>
  <c r="H43" i="39"/>
  <c r="J14" i="39"/>
  <c r="AC14" i="39" s="1"/>
  <c r="F14" i="39"/>
  <c r="H14" i="39"/>
  <c r="AB14" i="39" s="1"/>
  <c r="F12" i="40"/>
  <c r="S12" i="40" s="1"/>
  <c r="H12" i="40"/>
  <c r="H30" i="40"/>
  <c r="AB30" i="40" s="1"/>
  <c r="F33" i="40"/>
  <c r="H33" i="40"/>
  <c r="J35" i="40"/>
  <c r="J37" i="40"/>
  <c r="AC37" i="40" s="1"/>
  <c r="H13" i="40"/>
  <c r="J13" i="40"/>
  <c r="W13" i="40" s="1"/>
  <c r="F13" i="40"/>
  <c r="AA13" i="40" s="1"/>
  <c r="F14" i="37"/>
  <c r="S14" i="37" s="1"/>
  <c r="F27" i="37"/>
  <c r="AA27" i="37" s="1"/>
  <c r="F13" i="39"/>
  <c r="S13" i="39" s="1"/>
  <c r="J13" i="39"/>
  <c r="W13" i="39" s="1"/>
  <c r="H13" i="39"/>
  <c r="AB13" i="39" s="1"/>
  <c r="J14" i="37"/>
  <c r="AC14" i="37"/>
  <c r="J27" i="37"/>
  <c r="AC27" i="37"/>
  <c r="AA44" i="33"/>
  <c r="AA13" i="35"/>
  <c r="U31" i="34"/>
  <c r="U46" i="33"/>
  <c r="AA14" i="33"/>
  <c r="J36" i="37"/>
  <c r="G105" i="37"/>
  <c r="J10" i="36"/>
  <c r="AC10" i="36" s="1"/>
  <c r="AB26" i="33"/>
  <c r="AB30" i="21"/>
  <c r="AA14" i="37"/>
  <c r="W31" i="34"/>
  <c r="AC13" i="36"/>
  <c r="W13" i="36"/>
  <c r="S11" i="36"/>
  <c r="AB46" i="34"/>
  <c r="AC30" i="34"/>
  <c r="AA14" i="34"/>
  <c r="S45" i="33"/>
  <c r="AB45" i="33"/>
  <c r="AB31" i="33"/>
  <c r="U31" i="33"/>
  <c r="W29" i="33"/>
  <c r="S44" i="34"/>
  <c r="BA586" i="3"/>
  <c r="BA585" i="3"/>
  <c r="F17" i="21"/>
  <c r="AA17" i="21"/>
  <c r="H17" i="21"/>
  <c r="AB17" i="21"/>
  <c r="F15" i="21"/>
  <c r="S15" i="21"/>
  <c r="J41" i="39"/>
  <c r="W41" i="39" s="1"/>
  <c r="AC45" i="39"/>
  <c r="W44" i="39"/>
  <c r="W35" i="39"/>
  <c r="S35" i="39"/>
  <c r="G544" i="3"/>
  <c r="G540" i="3"/>
  <c r="G536" i="3"/>
  <c r="G535" i="3"/>
  <c r="G532" i="3"/>
  <c r="G531" i="3"/>
  <c r="G528" i="3"/>
  <c r="G527" i="3"/>
  <c r="G514" i="3"/>
  <c r="G500" i="3"/>
  <c r="G584" i="3"/>
  <c r="G580" i="3"/>
  <c r="G576" i="3"/>
  <c r="G572" i="3"/>
  <c r="G568" i="3"/>
  <c r="G564" i="3"/>
  <c r="G560" i="3"/>
  <c r="G554" i="3"/>
  <c r="G550" i="3"/>
  <c r="BL584" i="3"/>
  <c r="BL580" i="3"/>
  <c r="BL576" i="3"/>
  <c r="BL572" i="3"/>
  <c r="BL568" i="3"/>
  <c r="BL564" i="3"/>
  <c r="BL560" i="3"/>
  <c r="BL554" i="3"/>
  <c r="BL546" i="3"/>
  <c r="BL542" i="3"/>
  <c r="BL538" i="3"/>
  <c r="BL534" i="3"/>
  <c r="BL530" i="3"/>
  <c r="BL526" i="3"/>
  <c r="BL516" i="3"/>
  <c r="BL498" i="3"/>
  <c r="BL582" i="3"/>
  <c r="BL578" i="3"/>
  <c r="BL574" i="3"/>
  <c r="BL570" i="3"/>
  <c r="BL566" i="3"/>
  <c r="BL562" i="3"/>
  <c r="BL556" i="3"/>
  <c r="BL552" i="3"/>
  <c r="BL544" i="3"/>
  <c r="BL540" i="3"/>
  <c r="BL536" i="3"/>
  <c r="G533" i="3"/>
  <c r="BL532" i="3"/>
  <c r="G529" i="3"/>
  <c r="BL528" i="3"/>
  <c r="BL524" i="3"/>
  <c r="BL504"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12" i="3"/>
  <c r="BA508" i="3"/>
  <c r="BA502" i="3"/>
  <c r="BA496" i="3"/>
  <c r="BA583" i="3"/>
  <c r="AZ583" i="3" s="1"/>
  <c r="BA581" i="3"/>
  <c r="BA579" i="3"/>
  <c r="BA577" i="3"/>
  <c r="BA575" i="3"/>
  <c r="BA573" i="3"/>
  <c r="BA571" i="3"/>
  <c r="BA569" i="3"/>
  <c r="BA567" i="3"/>
  <c r="BA565" i="3"/>
  <c r="BA563" i="3"/>
  <c r="BA561" i="3"/>
  <c r="AZ561" i="3" s="1"/>
  <c r="BA559" i="3"/>
  <c r="BA555" i="3"/>
  <c r="AZ555" i="3" s="1"/>
  <c r="BA553" i="3"/>
  <c r="BA549" i="3"/>
  <c r="AZ549" i="3" s="1"/>
  <c r="BA547" i="3"/>
  <c r="BA545" i="3"/>
  <c r="AZ545" i="3" s="1"/>
  <c r="BA543" i="3"/>
  <c r="BA541" i="3"/>
  <c r="AZ541" i="3" s="1"/>
  <c r="BA539" i="3"/>
  <c r="BA537" i="3"/>
  <c r="AZ537" i="3" s="1"/>
  <c r="BA535" i="3"/>
  <c r="BA533" i="3"/>
  <c r="AZ533" i="3" s="1"/>
  <c r="BA531" i="3"/>
  <c r="BA529" i="3"/>
  <c r="AZ529" i="3" s="1"/>
  <c r="BA527" i="3"/>
  <c r="BA525" i="3"/>
  <c r="BA515" i="3"/>
  <c r="BA505" i="3"/>
  <c r="BA497"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c r="BQ577" i="3"/>
  <c r="BL577" i="3"/>
  <c r="BQ575" i="3"/>
  <c r="BL575" i="3" s="1"/>
  <c r="AZ575" i="3"/>
  <c r="BQ573" i="3"/>
  <c r="BL573" i="3"/>
  <c r="BQ571" i="3"/>
  <c r="BL571" i="3" s="1"/>
  <c r="AZ571" i="3"/>
  <c r="BQ569" i="3"/>
  <c r="BL569" i="3"/>
  <c r="BQ567" i="3"/>
  <c r="BL567" i="3" s="1"/>
  <c r="AZ567" i="3"/>
  <c r="BQ565" i="3"/>
  <c r="BL565" i="3"/>
  <c r="BQ563" i="3"/>
  <c r="BL563" i="3" s="1"/>
  <c r="BQ561" i="3"/>
  <c r="BL561" i="3" s="1"/>
  <c r="BQ559" i="3"/>
  <c r="BL559" i="3"/>
  <c r="AZ559" i="3" s="1"/>
  <c r="G559" i="3"/>
  <c r="G555" i="3"/>
  <c r="G553" i="3"/>
  <c r="G549" i="3"/>
  <c r="G547" i="3"/>
  <c r="G545" i="3"/>
  <c r="G543" i="3"/>
  <c r="G541" i="3"/>
  <c r="G539" i="3"/>
  <c r="G537" i="3"/>
  <c r="BQ555" i="3"/>
  <c r="BL555" i="3" s="1"/>
  <c r="BQ553" i="3"/>
  <c r="BL553" i="3"/>
  <c r="AZ553" i="3" s="1"/>
  <c r="BQ551" i="3"/>
  <c r="BL551" i="3" s="1"/>
  <c r="BQ549" i="3"/>
  <c r="BQ547" i="3"/>
  <c r="BL547" i="3"/>
  <c r="AZ547" i="3" s="1"/>
  <c r="BQ545" i="3"/>
  <c r="BL545" i="3" s="1"/>
  <c r="BQ543" i="3"/>
  <c r="BL543" i="3"/>
  <c r="AZ543" i="3" s="1"/>
  <c r="BQ541" i="3"/>
  <c r="BL541" i="3" s="1"/>
  <c r="BQ539" i="3"/>
  <c r="BL539" i="3"/>
  <c r="AZ539" i="3" s="1"/>
  <c r="BQ537" i="3"/>
  <c r="BL537" i="3" s="1"/>
  <c r="BQ535" i="3"/>
  <c r="BL535" i="3"/>
  <c r="AZ535" i="3" s="1"/>
  <c r="BQ533" i="3"/>
  <c r="BL533" i="3" s="1"/>
  <c r="BQ531" i="3"/>
  <c r="BL531" i="3"/>
  <c r="AZ531" i="3" s="1"/>
  <c r="BQ529" i="3"/>
  <c r="BL529" i="3" s="1"/>
  <c r="BQ527" i="3"/>
  <c r="BL527" i="3"/>
  <c r="AZ527" i="3" s="1"/>
  <c r="BQ525" i="3"/>
  <c r="BQ523" i="3"/>
  <c r="BA521" i="3"/>
  <c r="AC521" i="3"/>
  <c r="G521" i="3" s="1"/>
  <c r="BQ521" i="3"/>
  <c r="G519" i="3"/>
  <c r="G511" i="3"/>
  <c r="BQ519" i="3"/>
  <c r="BL519" i="3"/>
  <c r="BQ517" i="3"/>
  <c r="BQ515" i="3"/>
  <c r="BL515" i="3"/>
  <c r="BQ513" i="3"/>
  <c r="BQ511" i="3"/>
  <c r="BL511" i="3"/>
  <c r="AC509" i="3"/>
  <c r="BQ509" i="3"/>
  <c r="BL508" i="3"/>
  <c r="G503"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s="1"/>
  <c r="H43" i="33"/>
  <c r="AB43" i="33"/>
  <c r="H17" i="37"/>
  <c r="U17" i="37"/>
  <c r="U32" i="33"/>
  <c r="F39" i="33"/>
  <c r="AA39" i="33" s="1"/>
  <c r="E123" i="33"/>
  <c r="F123" i="33" s="1"/>
  <c r="F42" i="33"/>
  <c r="AA42" i="33"/>
  <c r="H28" i="34"/>
  <c r="AB28" i="34"/>
  <c r="F14" i="36"/>
  <c r="AA14" i="36"/>
  <c r="F22" i="36"/>
  <c r="S22" i="36"/>
  <c r="F26" i="36"/>
  <c r="S26" i="36"/>
  <c r="H27" i="34"/>
  <c r="AB27" i="34"/>
  <c r="H35" i="34"/>
  <c r="U35" i="34"/>
  <c r="F41" i="34"/>
  <c r="S41" i="34"/>
  <c r="H41" i="34"/>
  <c r="U41" i="34"/>
  <c r="J41" i="34"/>
  <c r="AC41" i="34"/>
  <c r="F10" i="35"/>
  <c r="S10" i="35" s="1"/>
  <c r="F24" i="35"/>
  <c r="H24" i="35"/>
  <c r="AB24" i="35" s="1"/>
  <c r="H23" i="37"/>
  <c r="AB23" i="37" s="1"/>
  <c r="J32" i="37"/>
  <c r="AC32" i="37" s="1"/>
  <c r="F36" i="37"/>
  <c r="AA36" i="37" s="1"/>
  <c r="F37" i="37"/>
  <c r="F31" i="40"/>
  <c r="AA31" i="40" s="1"/>
  <c r="H31" i="40"/>
  <c r="U31" i="40" s="1"/>
  <c r="F32" i="40"/>
  <c r="H32" i="40"/>
  <c r="J36" i="40"/>
  <c r="AA41" i="34"/>
  <c r="H19" i="37"/>
  <c r="AB19" i="37"/>
  <c r="G123" i="33"/>
  <c r="H123" i="33" s="1"/>
  <c r="I123" i="33" s="1"/>
  <c r="J123" i="33" s="1"/>
  <c r="K123" i="33" s="1"/>
  <c r="L123" i="33" s="1"/>
  <c r="M123" i="33" s="1"/>
  <c r="H42" i="33"/>
  <c r="AB42" i="33"/>
  <c r="J43" i="33"/>
  <c r="U43" i="33"/>
  <c r="S28" i="31"/>
  <c r="S27" i="31"/>
  <c r="S26" i="31"/>
  <c r="U35" i="35"/>
  <c r="AA12" i="35"/>
  <c r="W14" i="37"/>
  <c r="U33" i="37"/>
  <c r="U39" i="37"/>
  <c r="W47" i="34"/>
  <c r="AB13" i="34"/>
  <c r="AC36" i="34"/>
  <c r="AA13" i="33"/>
  <c r="AC31" i="33"/>
  <c r="AC45" i="33"/>
  <c r="W44" i="33"/>
  <c r="U11" i="33"/>
  <c r="U19" i="21"/>
  <c r="W44" i="21"/>
  <c r="U26" i="21"/>
  <c r="AC46" i="21"/>
  <c r="U12" i="21"/>
  <c r="AB38" i="21"/>
  <c r="F43" i="33"/>
  <c r="AA43" i="33" s="1"/>
  <c r="W15" i="34"/>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H12" i="37"/>
  <c r="AB12" i="37" s="1"/>
  <c r="F12" i="37"/>
  <c r="S12" i="37" s="1"/>
  <c r="F15" i="37"/>
  <c r="E94" i="37"/>
  <c r="F31" i="37"/>
  <c r="S31" i="37"/>
  <c r="F12" i="39"/>
  <c r="S12" i="39" s="1"/>
  <c r="J42" i="39"/>
  <c r="AC42" i="39" s="1"/>
  <c r="H21" i="40"/>
  <c r="AB21" i="40"/>
  <c r="F94" i="37"/>
  <c r="G94" i="37" s="1"/>
  <c r="H94" i="37" s="1"/>
  <c r="I94" i="37" s="1"/>
  <c r="J94" i="37" s="1"/>
  <c r="K94" i="37" s="1"/>
  <c r="L94" i="37" s="1"/>
  <c r="M94" i="37" s="1"/>
  <c r="H31" i="37"/>
  <c r="U31" i="37" s="1"/>
  <c r="J15" i="37"/>
  <c r="W15" i="37" s="1"/>
  <c r="AT6" i="3"/>
  <c r="AA25" i="21"/>
  <c r="H19" i="40"/>
  <c r="U19" i="40"/>
  <c r="F88" i="40"/>
  <c r="G88" i="40"/>
  <c r="F19" i="40"/>
  <c r="S19" i="40"/>
  <c r="W23" i="39"/>
  <c r="AC43" i="39"/>
  <c r="W43" i="39"/>
  <c r="U45" i="39"/>
  <c r="AB45"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7"/>
  <c r="C52" i="37" s="1"/>
  <c r="D52" i="37" s="1"/>
  <c r="C7" i="34"/>
  <c r="C7" i="36"/>
  <c r="C46" i="36" s="1"/>
  <c r="D46" i="36" s="1"/>
  <c r="E46" i="36" s="1"/>
  <c r="F46" i="36" s="1"/>
  <c r="G46" i="36" s="1"/>
  <c r="H46" i="36" s="1"/>
  <c r="I46" i="36" s="1"/>
  <c r="A118" i="9"/>
  <c r="A4" i="52"/>
  <c r="B41" i="72" s="1"/>
  <c r="J11" i="39"/>
  <c r="F11" i="39"/>
  <c r="AA11" i="39" s="1"/>
  <c r="G4" i="4"/>
  <c r="I4" i="4"/>
  <c r="A2" i="9"/>
  <c r="F61" i="43"/>
  <c r="AZ20" i="3"/>
  <c r="AZ24" i="3"/>
  <c r="AZ28" i="3"/>
  <c r="AZ32" i="3"/>
  <c r="BL549" i="3"/>
  <c r="AZ546" i="3"/>
  <c r="G546"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AZ360" i="3" s="1"/>
  <c r="BL360" i="3"/>
  <c r="G361" i="3"/>
  <c r="BA362" i="3"/>
  <c r="AZ362" i="3"/>
  <c r="G370" i="3"/>
  <c r="BL371" i="3"/>
  <c r="G372" i="3"/>
  <c r="BL373" i="3"/>
  <c r="AZ373" i="3" s="1"/>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06" i="3"/>
  <c r="G16" i="3"/>
  <c r="G15" i="3"/>
  <c r="BA304" i="3"/>
  <c r="AZ304" i="3"/>
  <c r="BA305" i="3"/>
  <c r="AZ305" i="3"/>
  <c r="BL305" i="3"/>
  <c r="G306" i="3"/>
  <c r="G309" i="3"/>
  <c r="BL310" i="3"/>
  <c r="BA312" i="3"/>
  <c r="AZ312" i="3"/>
  <c r="BA313" i="3"/>
  <c r="BL313" i="3"/>
  <c r="AZ313" i="3" s="1"/>
  <c r="G314" i="3"/>
  <c r="G317" i="3"/>
  <c r="BL318" i="3"/>
  <c r="AZ318" i="3" s="1"/>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AZ369" i="3" s="1"/>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AZ303" i="3" s="1"/>
  <c r="G304" i="3"/>
  <c r="BA306" i="3"/>
  <c r="AZ306" i="3" s="1"/>
  <c r="BL307" i="3"/>
  <c r="AZ307" i="3" s="1"/>
  <c r="G308" i="3"/>
  <c r="BA310" i="3"/>
  <c r="AZ310" i="3"/>
  <c r="BL311" i="3"/>
  <c r="AZ311" i="3"/>
  <c r="G312" i="3"/>
  <c r="BA314" i="3"/>
  <c r="AZ314" i="3" s="1"/>
  <c r="BL315" i="3"/>
  <c r="AZ315" i="3" s="1"/>
  <c r="G316" i="3"/>
  <c r="BA318" i="3"/>
  <c r="BL319" i="3"/>
  <c r="G320" i="3"/>
  <c r="BA322" i="3"/>
  <c r="AZ322" i="3"/>
  <c r="BL323" i="3"/>
  <c r="AZ323" i="3"/>
  <c r="G324" i="3"/>
  <c r="BA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BL370" i="3"/>
  <c r="G371" i="3"/>
  <c r="BA373" i="3"/>
  <c r="BL374" i="3"/>
  <c r="AZ374" i="3"/>
  <c r="G375" i="3"/>
  <c r="BA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H5" i="3"/>
  <c r="AZ317" i="3"/>
  <c r="AZ333" i="3"/>
  <c r="BQ5" i="3"/>
  <c r="G548" i="3"/>
  <c r="G538" i="3"/>
  <c r="BP5" i="3"/>
  <c r="AZ343" i="3"/>
  <c r="BI5" i="3"/>
  <c r="G17" i="3"/>
  <c r="BA17" i="3"/>
  <c r="BT5" i="3"/>
  <c r="AZ350" i="3"/>
  <c r="AZ352" i="3"/>
  <c r="AZ368" i="3"/>
  <c r="BA15" i="3"/>
  <c r="AZ15" i="3"/>
  <c r="AZ384" i="3"/>
  <c r="AZ388" i="3"/>
  <c r="AZ392" i="3"/>
  <c r="AZ396" i="3"/>
  <c r="AZ394" i="3"/>
  <c r="BL493" i="3"/>
  <c r="AZ491" i="3"/>
  <c r="AZ376" i="3"/>
  <c r="AZ382" i="3"/>
  <c r="U36" i="40"/>
  <c r="F83" i="43"/>
  <c r="H85" i="43" s="1"/>
  <c r="F50" i="43"/>
  <c r="H54" i="43" s="1"/>
  <c r="F72" i="43"/>
  <c r="H75" i="43" s="1"/>
  <c r="U17" i="39"/>
  <c r="S14" i="35"/>
  <c r="U43" i="21"/>
  <c r="U35" i="21"/>
  <c r="AC35" i="21"/>
  <c r="G8" i="1"/>
  <c r="G10" i="1"/>
  <c r="AZ563" i="3"/>
  <c r="W37" i="37"/>
  <c r="W44" i="34"/>
  <c r="AC44" i="34"/>
  <c r="U13" i="37"/>
  <c r="AA12" i="40"/>
  <c r="J37" i="33"/>
  <c r="W37" i="33"/>
  <c r="AC17" i="34"/>
  <c r="F106" i="33"/>
  <c r="G106" i="33" s="1"/>
  <c r="H106" i="33" s="1"/>
  <c r="I106" i="33" s="1"/>
  <c r="J106" i="33" s="1"/>
  <c r="K106" i="33" s="1"/>
  <c r="L106" i="33" s="1"/>
  <c r="M106" i="33" s="1"/>
  <c r="J34" i="33"/>
  <c r="F33" i="34"/>
  <c r="S33" i="34" s="1"/>
  <c r="H20" i="36"/>
  <c r="J20" i="36"/>
  <c r="W20" i="36" s="1"/>
  <c r="J27" i="36"/>
  <c r="W27" i="36" s="1"/>
  <c r="AC33" i="40"/>
  <c r="F111" i="40"/>
  <c r="G111" i="40" s="1"/>
  <c r="H111" i="40"/>
  <c r="I111" i="40" s="1"/>
  <c r="J111" i="40" s="1"/>
  <c r="K111" i="40" s="1"/>
  <c r="L111" i="40" s="1"/>
  <c r="M111" i="40" s="1"/>
  <c r="H35" i="40"/>
  <c r="AB35" i="40" s="1"/>
  <c r="AC29" i="35"/>
  <c r="W29" i="35"/>
  <c r="H35" i="37"/>
  <c r="U35" i="37" s="1"/>
  <c r="AC14" i="35"/>
  <c r="H20" i="35"/>
  <c r="U20" i="35"/>
  <c r="F20" i="35"/>
  <c r="AA20" i="35"/>
  <c r="AB29" i="36"/>
  <c r="U29" i="36"/>
  <c r="H32" i="37"/>
  <c r="AB32" i="37" s="1"/>
  <c r="H27" i="40"/>
  <c r="U27" i="40"/>
  <c r="J27" i="40"/>
  <c r="AC27" i="40"/>
  <c r="F27" i="40"/>
  <c r="S27" i="40"/>
  <c r="J30" i="40"/>
  <c r="AC30" i="40"/>
  <c r="F30" i="40"/>
  <c r="AA30" i="40"/>
  <c r="S11" i="40"/>
  <c r="E98" i="40"/>
  <c r="F98" i="40" s="1"/>
  <c r="G98" i="40" s="1"/>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F20" i="36"/>
  <c r="AA20" i="36" s="1"/>
  <c r="J33" i="34"/>
  <c r="H23" i="39"/>
  <c r="U23" i="39" s="1"/>
  <c r="D48" i="9"/>
  <c r="M52" i="9" s="1"/>
  <c r="K9" i="1"/>
  <c r="M9" i="1" s="1"/>
  <c r="D93" i="9"/>
  <c r="K6" i="1"/>
  <c r="AP6" i="1" s="1"/>
  <c r="AC26" i="33"/>
  <c r="W26" i="33"/>
  <c r="AB34" i="36"/>
  <c r="U34" i="36"/>
  <c r="AB33" i="36"/>
  <c r="U33" i="36"/>
  <c r="AC12" i="39"/>
  <c r="W12" i="39"/>
  <c r="AZ401" i="3"/>
  <c r="AZ412" i="3"/>
  <c r="AZ417" i="3"/>
  <c r="AZ428" i="3"/>
  <c r="AZ433" i="3"/>
  <c r="AZ465" i="3"/>
  <c r="W12" i="33"/>
  <c r="AC12" i="33"/>
  <c r="AA32" i="36"/>
  <c r="S32" i="36"/>
  <c r="AZ408" i="3"/>
  <c r="AZ437" i="3"/>
  <c r="AZ441" i="3"/>
  <c r="AZ457" i="3"/>
  <c r="AZ473" i="3"/>
  <c r="AZ490" i="3"/>
  <c r="BL14" i="3"/>
  <c r="AZ266" i="3"/>
  <c r="AC13" i="34"/>
  <c r="AA47" i="34"/>
  <c r="S19" i="39"/>
  <c r="F12" i="33"/>
  <c r="AA12" i="33" s="1"/>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A34" i="33"/>
  <c r="B41" i="1"/>
  <c r="F48" i="9" s="1"/>
  <c r="O52" i="9" s="1"/>
  <c r="AB37" i="40"/>
  <c r="S35" i="40"/>
  <c r="U35" i="40"/>
  <c r="S17" i="40"/>
  <c r="AC17" i="40"/>
  <c r="AC15" i="40"/>
  <c r="AB27" i="40"/>
  <c r="S30" i="40"/>
  <c r="AA19" i="40"/>
  <c r="S28" i="40"/>
  <c r="AA27" i="40"/>
  <c r="U21" i="40"/>
  <c r="AB19" i="40"/>
  <c r="S43" i="39"/>
  <c r="S37" i="39"/>
  <c r="U35" i="39"/>
  <c r="F32" i="39"/>
  <c r="F106" i="39"/>
  <c r="G106" i="39" s="1"/>
  <c r="H106" i="39" s="1"/>
  <c r="I106" i="39" s="1"/>
  <c r="J106" i="39" s="1"/>
  <c r="K106" i="39" s="1"/>
  <c r="L106" i="39" s="1"/>
  <c r="M106" i="39" s="1"/>
  <c r="AB27" i="39"/>
  <c r="J21" i="39"/>
  <c r="W21" i="39" s="1"/>
  <c r="F21" i="39"/>
  <c r="G94" i="39"/>
  <c r="H21" i="39"/>
  <c r="W19" i="39"/>
  <c r="S17" i="39"/>
  <c r="AA12" i="39"/>
  <c r="S9" i="39"/>
  <c r="U14" i="39"/>
  <c r="AC13" i="39"/>
  <c r="U12" i="39"/>
  <c r="S23" i="36"/>
  <c r="U13" i="36"/>
  <c r="U26" i="36"/>
  <c r="S33" i="36"/>
  <c r="AA26" i="36"/>
  <c r="AA34" i="36"/>
  <c r="AC26" i="36"/>
  <c r="AA22" i="36"/>
  <c r="U22" i="36"/>
  <c r="S16" i="36"/>
  <c r="AA25" i="36"/>
  <c r="U23" i="36"/>
  <c r="S14" i="36"/>
  <c r="AA25" i="35"/>
  <c r="W24" i="35"/>
  <c r="AB13" i="35"/>
  <c r="U29" i="35"/>
  <c r="U28" i="35"/>
  <c r="AB27" i="35"/>
  <c r="U36" i="35"/>
  <c r="U32" i="35"/>
  <c r="AC30" i="35"/>
  <c r="S32" i="35"/>
  <c r="AA36" i="35"/>
  <c r="S28" i="35"/>
  <c r="AB16" i="35"/>
  <c r="U22" i="35"/>
  <c r="S20" i="35"/>
  <c r="AC20" i="35"/>
  <c r="S22" i="35"/>
  <c r="AA11" i="35"/>
  <c r="AC9" i="35"/>
  <c r="W9" i="35"/>
  <c r="AC12" i="35"/>
  <c r="W13" i="35"/>
  <c r="F9" i="35"/>
  <c r="S9" i="35" s="1"/>
  <c r="H9" i="35"/>
  <c r="U9" i="35" s="1"/>
  <c r="AB40" i="37"/>
  <c r="W27" i="37"/>
  <c r="AC29" i="37"/>
  <c r="U29" i="37"/>
  <c r="S32" i="37"/>
  <c r="AB31" i="37"/>
  <c r="U32" i="37"/>
  <c r="AC35" i="37"/>
  <c r="W39" i="37"/>
  <c r="AC15" i="37"/>
  <c r="J17" i="37"/>
  <c r="W17" i="37"/>
  <c r="G73" i="37"/>
  <c r="F17" i="37"/>
  <c r="AB17" i="37"/>
  <c r="F75" i="37"/>
  <c r="F19" i="37"/>
  <c r="AA19" i="37" s="1"/>
  <c r="F79" i="37"/>
  <c r="F23" i="37"/>
  <c r="S23" i="37" s="1"/>
  <c r="U23" i="37"/>
  <c r="U15" i="37"/>
  <c r="AC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W42" i="33"/>
  <c r="S27" i="33"/>
  <c r="S32" i="33"/>
  <c r="AA29" i="33"/>
  <c r="AB29" i="33"/>
  <c r="W38" i="33"/>
  <c r="H41" i="33"/>
  <c r="F121" i="33"/>
  <c r="G121" i="33" s="1"/>
  <c r="H121" i="33"/>
  <c r="I121" i="33" s="1"/>
  <c r="J121" i="33" s="1"/>
  <c r="K121" i="33" s="1"/>
  <c r="L121" i="33" s="1"/>
  <c r="M121" i="33" s="1"/>
  <c r="U42" i="33"/>
  <c r="S42" i="33"/>
  <c r="F36" i="33"/>
  <c r="G111" i="33"/>
  <c r="G108" i="33"/>
  <c r="H108" i="33" s="1"/>
  <c r="I108" i="33"/>
  <c r="J108" i="33" s="1"/>
  <c r="K108" i="33" s="1"/>
  <c r="L108" i="33" s="1"/>
  <c r="M108" i="33" s="1"/>
  <c r="J35" i="33"/>
  <c r="S37" i="33"/>
  <c r="AA37" i="33"/>
  <c r="S39" i="33"/>
  <c r="F101" i="33"/>
  <c r="G101" i="33"/>
  <c r="H101" i="33" s="1"/>
  <c r="I101" i="33" s="1"/>
  <c r="J101" i="33" s="1"/>
  <c r="K101" i="33" s="1"/>
  <c r="L101" i="33" s="1"/>
  <c r="M101" i="33" s="1"/>
  <c r="J32" i="33"/>
  <c r="S46" i="33"/>
  <c r="S43" i="33"/>
  <c r="H27" i="33"/>
  <c r="AB27" i="33" s="1"/>
  <c r="F87" i="33"/>
  <c r="H25" i="33"/>
  <c r="AB25" i="33" s="1"/>
  <c r="F25" i="33"/>
  <c r="J23" i="33"/>
  <c r="W23" i="33" s="1"/>
  <c r="F85" i="33"/>
  <c r="H23" i="33"/>
  <c r="U23" i="33" s="1"/>
  <c r="F81" i="33"/>
  <c r="F19" i="33"/>
  <c r="S19" i="33" s="1"/>
  <c r="W19" i="33"/>
  <c r="J17" i="33"/>
  <c r="F79" i="33"/>
  <c r="G79" i="33" s="1"/>
  <c r="S15" i="33"/>
  <c r="W15" i="33"/>
  <c r="J10" i="33"/>
  <c r="W10" i="33" s="1"/>
  <c r="H10" i="33"/>
  <c r="U10" i="33" s="1"/>
  <c r="AC11" i="33"/>
  <c r="AB14" i="33"/>
  <c r="W43" i="21"/>
  <c r="W36" i="21"/>
  <c r="W41" i="21"/>
  <c r="AA43" i="21"/>
  <c r="S39" i="21"/>
  <c r="AA38" i="21"/>
  <c r="AA36" i="21"/>
  <c r="AC40" i="21"/>
  <c r="J15" i="21"/>
  <c r="W15" i="21"/>
  <c r="F77" i="21"/>
  <c r="G77" i="21"/>
  <c r="F23" i="21"/>
  <c r="S23" i="21"/>
  <c r="E85" i="21"/>
  <c r="AA14" i="21"/>
  <c r="C18" i="9"/>
  <c r="D18" i="9" s="1"/>
  <c r="M20" i="67"/>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A4" i="51"/>
  <c r="B6" i="72" s="1"/>
  <c r="C48" i="35"/>
  <c r="D48" i="35" s="1"/>
  <c r="L20" i="6"/>
  <c r="B6" i="1"/>
  <c r="E6" i="1" s="1"/>
  <c r="K11" i="1"/>
  <c r="M11" i="1" s="1"/>
  <c r="O11" i="1" s="1"/>
  <c r="B9" i="1"/>
  <c r="E9" i="1" s="1"/>
  <c r="K7" i="1"/>
  <c r="M7" i="1" s="1"/>
  <c r="G1" i="15"/>
  <c r="G1" i="69"/>
  <c r="G1" i="67"/>
  <c r="W23" i="40"/>
  <c r="AB31" i="40"/>
  <c r="S37" i="40"/>
  <c r="AB28" i="40"/>
  <c r="W28" i="40"/>
  <c r="W34" i="40"/>
  <c r="W19" i="40"/>
  <c r="W27" i="40"/>
  <c r="W37" i="40"/>
  <c r="S13" i="40"/>
  <c r="AA15" i="40"/>
  <c r="U15" i="40"/>
  <c r="AB17" i="40"/>
  <c r="U8" i="40"/>
  <c r="S8" i="40"/>
  <c r="AA39" i="39"/>
  <c r="AC41" i="39"/>
  <c r="U42" i="39"/>
  <c r="U41" i="39"/>
  <c r="W25" i="39"/>
  <c r="AA13" i="39"/>
  <c r="S14" i="39"/>
  <c r="AA14" i="39"/>
  <c r="U43" i="39"/>
  <c r="AB43" i="39"/>
  <c r="AB11" i="39"/>
  <c r="U11" i="39"/>
  <c r="AA27" i="39"/>
  <c r="S27" i="39"/>
  <c r="W17" i="39"/>
  <c r="AC17" i="39"/>
  <c r="S23" i="39"/>
  <c r="AA45" i="39"/>
  <c r="AB39" i="39"/>
  <c r="W34" i="39"/>
  <c r="U38" i="39"/>
  <c r="S8" i="39"/>
  <c r="S20" i="36"/>
  <c r="AC25" i="36"/>
  <c r="U32" i="36"/>
  <c r="W29" i="36"/>
  <c r="AC20" i="36"/>
  <c r="U25" i="36"/>
  <c r="AB28" i="36"/>
  <c r="W9" i="36"/>
  <c r="W22" i="36"/>
  <c r="W23" i="36"/>
  <c r="S9" i="36"/>
  <c r="AB20" i="35"/>
  <c r="AC25" i="35"/>
  <c r="U25" i="35"/>
  <c r="U24" i="35"/>
  <c r="S35" i="35"/>
  <c r="W35" i="35"/>
  <c r="AA16" i="35"/>
  <c r="AA35" i="37"/>
  <c r="S27" i="37"/>
  <c r="W32" i="37"/>
  <c r="S40" i="37"/>
  <c r="AB37" i="37"/>
  <c r="AC34" i="37"/>
  <c r="AB35" i="37"/>
  <c r="AA31" i="37"/>
  <c r="U19" i="37"/>
  <c r="AA29" i="37"/>
  <c r="U8" i="37"/>
  <c r="U19" i="34"/>
  <c r="W19" i="34"/>
  <c r="AB33" i="34"/>
  <c r="AC45" i="34"/>
  <c r="AA31" i="34"/>
  <c r="AA30" i="34"/>
  <c r="AB45" i="34"/>
  <c r="AB47" i="34"/>
  <c r="U25" i="34"/>
  <c r="AB36" i="34"/>
  <c r="AC14" i="34"/>
  <c r="AC32" i="34"/>
  <c r="AC29" i="34"/>
  <c r="W46" i="34"/>
  <c r="S32" i="34"/>
  <c r="U30" i="34"/>
  <c r="S37" i="34"/>
  <c r="U38" i="34"/>
  <c r="AC40" i="34"/>
  <c r="W40" i="34"/>
  <c r="AA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AB34" i="33"/>
  <c r="AA30" i="33"/>
  <c r="AC14" i="33"/>
  <c r="W14" i="33"/>
  <c r="AC30" i="33"/>
  <c r="W30" i="33"/>
  <c r="AA31" i="33"/>
  <c r="W13" i="33"/>
  <c r="AC13" i="33"/>
  <c r="U15" i="33"/>
  <c r="S11" i="33"/>
  <c r="U37" i="33"/>
  <c r="AC28" i="33"/>
  <c r="W8" i="33"/>
  <c r="S44" i="21"/>
  <c r="S45" i="21"/>
  <c r="I101" i="21"/>
  <c r="J101" i="21" s="1"/>
  <c r="K101" i="21"/>
  <c r="L101" i="21" s="1"/>
  <c r="M101" i="21" s="1"/>
  <c r="F33" i="21"/>
  <c r="AA33" i="21" s="1"/>
  <c r="J33" i="21"/>
  <c r="AC33" i="21" s="1"/>
  <c r="H33" i="21"/>
  <c r="AB33" i="21" s="1"/>
  <c r="F37" i="21"/>
  <c r="AA37" i="21" s="1"/>
  <c r="AA26" i="21"/>
  <c r="AB14" i="21"/>
  <c r="AB46" i="21"/>
  <c r="U40" i="21"/>
  <c r="AC15" i="21"/>
  <c r="U13" i="21"/>
  <c r="AB13" i="21"/>
  <c r="S35" i="21"/>
  <c r="J37" i="21"/>
  <c r="W37" i="21" s="1"/>
  <c r="H15" i="21"/>
  <c r="U15" i="21"/>
  <c r="J17" i="21"/>
  <c r="AC17" i="21"/>
  <c r="W39" i="21"/>
  <c r="AC14" i="21"/>
  <c r="W30" i="21"/>
  <c r="S46" i="21"/>
  <c r="H45" i="21"/>
  <c r="F29" i="21"/>
  <c r="S29" i="21" s="1"/>
  <c r="F13" i="21"/>
  <c r="AC38" i="21"/>
  <c r="H32" i="21"/>
  <c r="H9" i="21"/>
  <c r="U9" i="21" s="1"/>
  <c r="J9" i="21"/>
  <c r="J32" i="21"/>
  <c r="W32" i="21" s="1"/>
  <c r="F32" i="21"/>
  <c r="U17" i="21"/>
  <c r="W29" i="21"/>
  <c r="S19" i="21"/>
  <c r="S9" i="21"/>
  <c r="K141" i="21"/>
  <c r="K144" i="21"/>
  <c r="K143" i="21"/>
  <c r="U27" i="21"/>
  <c r="AB25" i="21"/>
  <c r="AB44" i="21"/>
  <c r="AA30" i="21"/>
  <c r="W13" i="21"/>
  <c r="W42" i="21"/>
  <c r="AC45" i="21"/>
  <c r="F10" i="21"/>
  <c r="AA10" i="21" s="1"/>
  <c r="K145" i="21"/>
  <c r="W17" i="21"/>
  <c r="W25" i="21"/>
  <c r="AA29" i="21"/>
  <c r="S27" i="21"/>
  <c r="S17" i="21"/>
  <c r="AA15" i="21"/>
  <c r="AC26" i="21"/>
  <c r="AB29" i="21"/>
  <c r="AC34" i="21"/>
  <c r="W12" i="21"/>
  <c r="W30" i="40"/>
  <c r="C19" i="39"/>
  <c r="C15" i="40"/>
  <c r="C17" i="40"/>
  <c r="C23" i="40"/>
  <c r="C21" i="40"/>
  <c r="B56" i="43"/>
  <c r="B67" i="43"/>
  <c r="B51" i="43"/>
  <c r="B54" i="43"/>
  <c r="B58" i="43"/>
  <c r="B62" i="43"/>
  <c r="B65" i="43"/>
  <c r="B69" i="43"/>
  <c r="D23" i="15"/>
  <c r="D22" i="15"/>
  <c r="E4" i="4"/>
  <c r="B5" i="62" s="1"/>
  <c r="B73" i="72" s="1"/>
  <c r="C4" i="4"/>
  <c r="F30" i="68"/>
  <c r="F48" i="68" s="1"/>
  <c r="AA39" i="40"/>
  <c r="S39" i="40"/>
  <c r="J32" i="39"/>
  <c r="W32" i="39" s="1"/>
  <c r="H32" i="39"/>
  <c r="AB32" i="39" s="1"/>
  <c r="AA32" i="39"/>
  <c r="S32" i="39"/>
  <c r="AB21" i="39"/>
  <c r="U21" i="39"/>
  <c r="AA21" i="39"/>
  <c r="S21" i="39"/>
  <c r="AC17" i="37"/>
  <c r="J19" i="37"/>
  <c r="AC19" i="37" s="1"/>
  <c r="G75" i="37"/>
  <c r="S19" i="37"/>
  <c r="AA23" i="37"/>
  <c r="J23" i="37"/>
  <c r="G79" i="37"/>
  <c r="J10" i="37"/>
  <c r="W10" i="37" s="1"/>
  <c r="G63" i="37"/>
  <c r="H11" i="37"/>
  <c r="AB11" i="37" s="1"/>
  <c r="G70" i="34"/>
  <c r="H70" i="34" s="1"/>
  <c r="H11" i="34"/>
  <c r="U11" i="34" s="1"/>
  <c r="J10" i="34"/>
  <c r="AC10" i="34" s="1"/>
  <c r="AB41" i="33"/>
  <c r="U41" i="33"/>
  <c r="W35" i="33"/>
  <c r="AC35" i="33"/>
  <c r="H111" i="33"/>
  <c r="I111" i="33"/>
  <c r="J111" i="33" s="1"/>
  <c r="K111" i="33" s="1"/>
  <c r="L111" i="33" s="1"/>
  <c r="M111" i="33" s="1"/>
  <c r="J36" i="33"/>
  <c r="W36" i="33" s="1"/>
  <c r="H36" i="33"/>
  <c r="U36" i="33" s="1"/>
  <c r="AC32" i="33"/>
  <c r="W32" i="33"/>
  <c r="U27" i="33"/>
  <c r="G91" i="33"/>
  <c r="H91" i="33" s="1"/>
  <c r="I91" i="33" s="1"/>
  <c r="J91" i="33" s="1"/>
  <c r="K91" i="33" s="1"/>
  <c r="L91" i="33" s="1"/>
  <c r="M91" i="33" s="1"/>
  <c r="J27" i="33"/>
  <c r="U25" i="33"/>
  <c r="S25" i="33"/>
  <c r="AA25" i="33"/>
  <c r="G87" i="33"/>
  <c r="H87" i="33" s="1"/>
  <c r="I87" i="33" s="1"/>
  <c r="J87" i="33" s="1"/>
  <c r="K87" i="33" s="1"/>
  <c r="L87" i="33" s="1"/>
  <c r="M87" i="33" s="1"/>
  <c r="J25" i="33"/>
  <c r="AB23" i="33"/>
  <c r="F23" i="33"/>
  <c r="AA23" i="33" s="1"/>
  <c r="G85" i="33"/>
  <c r="AC23" i="33"/>
  <c r="AA19" i="33"/>
  <c r="H19" i="33"/>
  <c r="G81" i="33"/>
  <c r="H17" i="33"/>
  <c r="U17" i="33" s="1"/>
  <c r="F17" i="33"/>
  <c r="W17" i="33"/>
  <c r="AC17" i="33"/>
  <c r="S37" i="21"/>
  <c r="AA23" i="21"/>
  <c r="AB15" i="21"/>
  <c r="J23" i="21"/>
  <c r="F85" i="21"/>
  <c r="G85" i="21" s="1"/>
  <c r="H23" i="21"/>
  <c r="U23" i="21" s="1"/>
  <c r="AP7" i="1"/>
  <c r="AB9" i="21"/>
  <c r="AA32" i="21"/>
  <c r="S32" i="21"/>
  <c r="W9" i="21"/>
  <c r="AC9" i="21"/>
  <c r="AB32" i="21"/>
  <c r="U32" i="21"/>
  <c r="U32" i="39"/>
  <c r="AC32" i="39"/>
  <c r="W19" i="37"/>
  <c r="W23" i="37"/>
  <c r="AC23" i="37"/>
  <c r="H63" i="37"/>
  <c r="I63" i="37" s="1"/>
  <c r="J63" i="37" s="1"/>
  <c r="K63" i="37" s="1"/>
  <c r="L63" i="37" s="1"/>
  <c r="M63" i="37" s="1"/>
  <c r="J11" i="37"/>
  <c r="AC11" i="37" s="1"/>
  <c r="I70" i="34"/>
  <c r="J70" i="34" s="1"/>
  <c r="K70" i="34" s="1"/>
  <c r="L70" i="34" s="1"/>
  <c r="M70" i="34" s="1"/>
  <c r="J11" i="34"/>
  <c r="W11" i="34" s="1"/>
  <c r="AB36" i="33"/>
  <c r="W27" i="33"/>
  <c r="AC27" i="33"/>
  <c r="W25" i="33"/>
  <c r="AC25" i="33"/>
  <c r="AB19" i="33"/>
  <c r="U19" i="33"/>
  <c r="AA17" i="33"/>
  <c r="S17" i="33"/>
  <c r="AB17" i="33"/>
  <c r="AB23" i="21"/>
  <c r="AC23" i="21"/>
  <c r="W23" i="21"/>
  <c r="H109" i="9"/>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C16" i="86"/>
  <c r="C34" i="83"/>
  <c r="C14" i="86"/>
  <c r="C16" i="85"/>
  <c r="C14" i="85"/>
  <c r="C34" i="82"/>
  <c r="C16" i="84"/>
  <c r="C14" i="84"/>
  <c r="C34" i="81"/>
  <c r="F43" i="67"/>
  <c r="M24" i="15"/>
  <c r="M28" i="67"/>
  <c r="B8" i="76"/>
  <c r="E13" i="76"/>
  <c r="E11" i="76"/>
  <c r="F16" i="15"/>
  <c r="M9" i="67"/>
  <c r="F43" i="15"/>
  <c r="M6" i="67"/>
  <c r="B7" i="76"/>
  <c r="F7" i="73"/>
  <c r="F16" i="67"/>
  <c r="F20" i="31"/>
  <c r="M29" i="67"/>
  <c r="E2" i="69"/>
  <c r="F8" i="67"/>
  <c r="F42" i="15"/>
  <c r="E10" i="76"/>
  <c r="F3" i="73"/>
  <c r="B13" i="76"/>
  <c r="M26" i="67"/>
  <c r="L47" i="67"/>
  <c r="F5" i="73"/>
  <c r="M23" i="15"/>
  <c r="B9" i="76"/>
  <c r="M23" i="67"/>
  <c r="E12" i="76"/>
  <c r="D6" i="73"/>
  <c r="F37" i="15"/>
  <c r="F9" i="67"/>
  <c r="F9" i="15"/>
  <c r="B12" i="76"/>
  <c r="L48" i="67"/>
  <c r="F6" i="73"/>
  <c r="F13" i="67"/>
  <c r="F38" i="67"/>
  <c r="B10" i="76"/>
  <c r="E2" i="68"/>
  <c r="M8" i="15"/>
  <c r="C76" i="67"/>
  <c r="AO13" i="1"/>
  <c r="F26" i="67"/>
  <c r="M6" i="15"/>
  <c r="F7" i="15"/>
  <c r="J15" i="67"/>
  <c r="F36" i="67"/>
  <c r="D34" i="9"/>
  <c r="F37" i="67"/>
  <c r="L47" i="15"/>
  <c r="F7" i="67"/>
  <c r="M28" i="15"/>
  <c r="M24" i="67"/>
  <c r="M26" i="15"/>
  <c r="D7" i="73"/>
  <c r="M9" i="15"/>
  <c r="F4" i="73"/>
  <c r="L48" i="15"/>
  <c r="J15" i="15"/>
  <c r="B11" i="76"/>
  <c r="D5" i="73"/>
  <c r="F40" i="67"/>
  <c r="F6" i="67"/>
  <c r="F42" i="67"/>
  <c r="C76" i="15"/>
  <c r="D35" i="9"/>
  <c r="E8" i="76"/>
  <c r="M29" i="15"/>
  <c r="M22" i="15"/>
  <c r="E7" i="76"/>
  <c r="E9" i="76"/>
  <c r="F8" i="15"/>
  <c r="D3" i="73"/>
  <c r="F40" i="15"/>
  <c r="F36" i="15"/>
  <c r="F6" i="15"/>
  <c r="F13" i="15"/>
  <c r="M22" i="67"/>
  <c r="M8" i="67"/>
  <c r="F26" i="15"/>
  <c r="D4" i="73"/>
  <c r="F38" i="15"/>
  <c r="C40" i="68" l="1"/>
  <c r="C38" i="81"/>
  <c r="C35" i="81"/>
  <c r="C18" i="84"/>
  <c r="C15" i="84"/>
  <c r="C35" i="82"/>
  <c r="C38" i="82"/>
  <c r="C15" i="85"/>
  <c r="C18" i="85"/>
  <c r="C15" i="86"/>
  <c r="C18" i="86"/>
  <c r="C38" i="83"/>
  <c r="C35" i="83"/>
  <c r="O7" i="1"/>
  <c r="P7" i="1" s="1"/>
  <c r="D51" i="43"/>
  <c r="D56" i="43"/>
  <c r="E50" i="43" s="1"/>
  <c r="B48" i="43" s="1"/>
  <c r="F34" i="15"/>
  <c r="F62" i="15" s="1"/>
  <c r="F34" i="67"/>
  <c r="F62" i="67" s="1"/>
  <c r="F32" i="15"/>
  <c r="F60" i="15" s="1"/>
  <c r="F54" i="9"/>
  <c r="F52" i="9"/>
  <c r="F28" i="15"/>
  <c r="F32" i="67"/>
  <c r="F60" i="67" s="1"/>
  <c r="F28" i="67"/>
  <c r="C28" i="67" s="1"/>
  <c r="D68" i="9"/>
  <c r="M18" i="15"/>
  <c r="F30" i="69"/>
  <c r="F48" i="69" s="1"/>
  <c r="M18" i="67"/>
  <c r="F31" i="12"/>
  <c r="F30" i="11"/>
  <c r="C48" i="11" s="1"/>
  <c r="AZ520" i="3"/>
  <c r="E19" i="71"/>
  <c r="E18" i="71" s="1"/>
  <c r="E17" i="71" s="1"/>
  <c r="E16" i="71" s="1"/>
  <c r="V20" i="71"/>
  <c r="AA13" i="21"/>
  <c r="S13" i="21"/>
  <c r="AA17" i="37"/>
  <c r="S17" i="37"/>
  <c r="S35" i="33"/>
  <c r="AA35" i="33"/>
  <c r="D8" i="53"/>
  <c r="D120" i="9"/>
  <c r="AA15" i="39"/>
  <c r="S15" i="39"/>
  <c r="AZ577" i="3"/>
  <c r="AA28" i="33"/>
  <c r="S28" i="33"/>
  <c r="W19" i="21"/>
  <c r="AC19" i="21"/>
  <c r="U36" i="21"/>
  <c r="AB36" i="21"/>
  <c r="U39" i="21"/>
  <c r="AB39" i="21"/>
  <c r="AC30" i="37"/>
  <c r="W30" i="37"/>
  <c r="U27" i="37"/>
  <c r="AB27" i="37"/>
  <c r="F28" i="37"/>
  <c r="J28" i="37"/>
  <c r="H28" i="37"/>
  <c r="U41" i="21"/>
  <c r="AB41" i="21"/>
  <c r="BL525" i="3"/>
  <c r="AZ525" i="3" s="1"/>
  <c r="BA523" i="3"/>
  <c r="AZ523" i="3" s="1"/>
  <c r="BL521" i="3"/>
  <c r="BL518" i="3"/>
  <c r="BA518" i="3"/>
  <c r="AZ518" i="3" s="1"/>
  <c r="BA516" i="3"/>
  <c r="AZ516" i="3" s="1"/>
  <c r="BA514" i="3"/>
  <c r="AZ514" i="3" s="1"/>
  <c r="BL512" i="3"/>
  <c r="BL510" i="3"/>
  <c r="AZ510" i="3" s="1"/>
  <c r="BA506" i="3"/>
  <c r="AZ506" i="3" s="1"/>
  <c r="BL502" i="3"/>
  <c r="AZ502" i="3" s="1"/>
  <c r="BL500" i="3"/>
  <c r="BA500" i="3"/>
  <c r="AZ500" i="3" s="1"/>
  <c r="BL497" i="3"/>
  <c r="AZ497" i="3" s="1"/>
  <c r="AC5" i="3"/>
  <c r="BJ5" i="3"/>
  <c r="BB5" i="3"/>
  <c r="C20" i="71"/>
  <c r="S23" i="33"/>
  <c r="S12" i="33"/>
  <c r="U30" i="40"/>
  <c r="AB44" i="33"/>
  <c r="U38" i="33"/>
  <c r="AB40" i="34"/>
  <c r="U13" i="39"/>
  <c r="S31" i="40"/>
  <c r="AA36" i="33"/>
  <c r="S36" i="33"/>
  <c r="S30" i="37"/>
  <c r="S36" i="37"/>
  <c r="U16" i="36"/>
  <c r="AB14" i="36"/>
  <c r="AC33" i="34"/>
  <c r="W33" i="34"/>
  <c r="AB44" i="34"/>
  <c r="U44" i="34"/>
  <c r="S40" i="34"/>
  <c r="AA40" i="34"/>
  <c r="S39" i="34"/>
  <c r="AA39" i="34"/>
  <c r="U20" i="36"/>
  <c r="AB20" i="36"/>
  <c r="AZ377" i="3"/>
  <c r="AZ326" i="3"/>
  <c r="AZ347" i="3"/>
  <c r="G494" i="3"/>
  <c r="AZ327" i="3"/>
  <c r="H64" i="43"/>
  <c r="H67" i="43"/>
  <c r="H69" i="43"/>
  <c r="S11" i="39"/>
  <c r="W11" i="39"/>
  <c r="AC11" i="39"/>
  <c r="AB25" i="39"/>
  <c r="U25" i="39"/>
  <c r="AC13" i="40"/>
  <c r="W12" i="37"/>
  <c r="AC12" i="37"/>
  <c r="AB32" i="40"/>
  <c r="U32" i="40"/>
  <c r="AA37" i="37"/>
  <c r="S37" i="37"/>
  <c r="BA493" i="3"/>
  <c r="AZ493" i="3" s="1"/>
  <c r="AZ585" i="3"/>
  <c r="AC36" i="37"/>
  <c r="W36" i="37"/>
  <c r="U13" i="40"/>
  <c r="AB13" i="40"/>
  <c r="AC35" i="40"/>
  <c r="W35" i="40"/>
  <c r="AA33" i="40"/>
  <c r="S33" i="40"/>
  <c r="AB12" i="40"/>
  <c r="U12" i="40"/>
  <c r="AB30" i="33"/>
  <c r="U30" i="33"/>
  <c r="AB36" i="37"/>
  <c r="U36" i="37"/>
  <c r="W11" i="35"/>
  <c r="AC11" i="35"/>
  <c r="AC14" i="36"/>
  <c r="W14" i="36"/>
  <c r="AA23" i="40"/>
  <c r="S23" i="40"/>
  <c r="AA36" i="40"/>
  <c r="S36" i="40"/>
  <c r="AB14" i="35"/>
  <c r="U14" i="35"/>
  <c r="W21" i="40"/>
  <c r="AC21" i="40"/>
  <c r="AB19" i="39"/>
  <c r="U19" i="39"/>
  <c r="BL585" i="3"/>
  <c r="W27" i="21"/>
  <c r="AC27" i="21"/>
  <c r="H28" i="21"/>
  <c r="F28" i="21"/>
  <c r="J28" i="21"/>
  <c r="H31" i="21"/>
  <c r="J31" i="21"/>
  <c r="F31" i="21"/>
  <c r="S12" i="34"/>
  <c r="AA12" i="34"/>
  <c r="W12" i="34"/>
  <c r="AC12" i="34"/>
  <c r="AA35" i="34"/>
  <c r="S35" i="34"/>
  <c r="H14" i="40"/>
  <c r="J14" i="40"/>
  <c r="F14" i="40"/>
  <c r="F38" i="40"/>
  <c r="J38" i="40"/>
  <c r="H38" i="40"/>
  <c r="U45" i="21"/>
  <c r="AB45" i="21"/>
  <c r="W39" i="34"/>
  <c r="AC39" i="34"/>
  <c r="W34" i="33"/>
  <c r="AC34" i="33"/>
  <c r="G28" i="6"/>
  <c r="AB37" i="39"/>
  <c r="U37" i="39"/>
  <c r="AA15" i="37"/>
  <c r="S15" i="37"/>
  <c r="AC43" i="33"/>
  <c r="W43" i="33"/>
  <c r="W36" i="40"/>
  <c r="AC36" i="40"/>
  <c r="S32" i="40"/>
  <c r="AA32" i="40"/>
  <c r="AA24" i="35"/>
  <c r="S24" i="35"/>
  <c r="AZ521" i="3"/>
  <c r="AZ515" i="3"/>
  <c r="AZ565" i="3"/>
  <c r="AZ569" i="3"/>
  <c r="AZ573" i="3"/>
  <c r="AZ508" i="3"/>
  <c r="AZ512" i="3"/>
  <c r="U33" i="40"/>
  <c r="AB33" i="40"/>
  <c r="S13" i="37"/>
  <c r="AA13" i="37"/>
  <c r="S13" i="36"/>
  <c r="AA13" i="36"/>
  <c r="S33" i="35"/>
  <c r="AA33" i="35"/>
  <c r="U42" i="21"/>
  <c r="AB42" i="21"/>
  <c r="AB11" i="40"/>
  <c r="U11" i="40"/>
  <c r="AA26" i="33"/>
  <c r="S26" i="33"/>
  <c r="AA33" i="33"/>
  <c r="S33" i="33"/>
  <c r="AC33" i="33"/>
  <c r="W33" i="33"/>
  <c r="H9" i="33"/>
  <c r="J9" i="33"/>
  <c r="AC31" i="37"/>
  <c r="W31" i="37"/>
  <c r="AB14" i="37"/>
  <c r="U14" i="37"/>
  <c r="H38" i="37"/>
  <c r="J38" i="37"/>
  <c r="F38" i="37"/>
  <c r="BA524" i="3"/>
  <c r="AZ524" i="3" s="1"/>
  <c r="BL522" i="3"/>
  <c r="BA522" i="3"/>
  <c r="AZ522" i="3" s="1"/>
  <c r="BL517" i="3"/>
  <c r="BA517" i="3"/>
  <c r="AZ517" i="3" s="1"/>
  <c r="BL513" i="3"/>
  <c r="BA513" i="3"/>
  <c r="AZ513" i="3" s="1"/>
  <c r="BL509" i="3"/>
  <c r="AZ509" i="3" s="1"/>
  <c r="BA507" i="3"/>
  <c r="AZ507" i="3" s="1"/>
  <c r="BL505" i="3"/>
  <c r="AZ505" i="3" s="1"/>
  <c r="BA503" i="3"/>
  <c r="AZ503" i="3" s="1"/>
  <c r="BL501" i="3"/>
  <c r="AZ501" i="3" s="1"/>
  <c r="BL499" i="3"/>
  <c r="BA499" i="3"/>
  <c r="AZ499" i="3" s="1"/>
  <c r="BS5" i="3"/>
  <c r="F28" i="6" s="1"/>
  <c r="BL495" i="3"/>
  <c r="BA495" i="3"/>
  <c r="AZ495" i="3" s="1"/>
  <c r="BL494" i="3"/>
  <c r="BN5" i="3"/>
  <c r="G29" i="6" s="1"/>
  <c r="BK5" i="3"/>
  <c r="BG5" i="3"/>
  <c r="BA494" i="3"/>
  <c r="AZ494" i="3" s="1"/>
  <c r="BC5" i="3"/>
  <c r="BO5" i="3"/>
  <c r="F29" i="6" s="1"/>
  <c r="E29" i="6" s="1"/>
  <c r="K15" i="1" s="1"/>
  <c r="BF5" i="3"/>
  <c r="G493" i="3"/>
  <c r="H5" i="3"/>
  <c r="G5" i="3"/>
  <c r="B3" i="3" s="1"/>
  <c r="E253" i="3" s="1"/>
  <c r="BL586" i="3"/>
  <c r="AZ586" i="3" s="1"/>
  <c r="AB35" i="33"/>
  <c r="U35" i="33"/>
  <c r="J27" i="34"/>
  <c r="F27" i="34"/>
  <c r="AB34" i="35"/>
  <c r="U34" i="35"/>
  <c r="H23" i="35"/>
  <c r="J23" i="35"/>
  <c r="F23" i="35"/>
  <c r="AB9" i="36"/>
  <c r="U9" i="36"/>
  <c r="J12" i="36"/>
  <c r="H12" i="36"/>
  <c r="J24" i="36"/>
  <c r="H24" i="36"/>
  <c r="F24" i="36"/>
  <c r="AB31" i="36"/>
  <c r="U31" i="36"/>
  <c r="H25" i="37"/>
  <c r="J25" i="37"/>
  <c r="F25" i="37"/>
  <c r="U8" i="39"/>
  <c r="AB8" i="39"/>
  <c r="H31" i="39"/>
  <c r="F31" i="39"/>
  <c r="J31" i="39"/>
  <c r="AC32" i="40"/>
  <c r="W32" i="40"/>
  <c r="AB31" i="35"/>
  <c r="U31" i="35"/>
  <c r="F36" i="39"/>
  <c r="H36" i="39"/>
  <c r="J36" i="39"/>
  <c r="BL550" i="3"/>
  <c r="AZ550" i="3" s="1"/>
  <c r="BL548" i="3"/>
  <c r="AZ548" i="3" s="1"/>
  <c r="J26" i="37"/>
  <c r="H26" i="37"/>
  <c r="F26" i="37"/>
  <c r="H44" i="39"/>
  <c r="F44" i="39"/>
  <c r="J39" i="40"/>
  <c r="H39" i="40"/>
  <c r="BA551" i="3"/>
  <c r="AZ551" i="3" s="1"/>
  <c r="AZ398" i="3"/>
  <c r="AZ405" i="3"/>
  <c r="AZ407" i="3"/>
  <c r="AZ410" i="3"/>
  <c r="AZ415" i="3"/>
  <c r="AZ420" i="3"/>
  <c r="AZ426" i="3"/>
  <c r="AZ431" i="3"/>
  <c r="AZ436" i="3"/>
  <c r="AZ445" i="3"/>
  <c r="AZ447" i="3"/>
  <c r="AZ464" i="3"/>
  <c r="AZ467" i="3"/>
  <c r="AZ474" i="3"/>
  <c r="AZ480" i="3"/>
  <c r="AZ482" i="3"/>
  <c r="AZ486" i="3"/>
  <c r="AZ488" i="3"/>
  <c r="AZ246" i="3"/>
  <c r="AZ262" i="3"/>
  <c r="AZ267" i="3"/>
  <c r="AZ395" i="3"/>
  <c r="AZ208" i="3"/>
  <c r="AZ211" i="3"/>
  <c r="AZ219" i="3"/>
  <c r="AZ236" i="3"/>
  <c r="AZ252" i="3"/>
  <c r="AZ274" i="3"/>
  <c r="AZ277" i="3"/>
  <c r="AZ298" i="3"/>
  <c r="AZ301" i="3"/>
  <c r="AZ122" i="3"/>
  <c r="AZ125" i="3"/>
  <c r="AZ34" i="3"/>
  <c r="AZ99" i="3"/>
  <c r="AZ106" i="3"/>
  <c r="AZ112" i="3"/>
  <c r="AZ40" i="3"/>
  <c r="AZ49" i="3"/>
  <c r="AZ54" i="3"/>
  <c r="AZ65" i="3"/>
  <c r="AZ70" i="3"/>
  <c r="AZ76" i="3"/>
  <c r="AZ90" i="3"/>
  <c r="D42" i="71"/>
  <c r="C43" i="71"/>
  <c r="C47" i="71"/>
  <c r="D47" i="71" s="1"/>
  <c r="D46" i="71"/>
  <c r="C21" i="68"/>
  <c r="C40" i="69"/>
  <c r="S21" i="37"/>
  <c r="X9" i="71"/>
  <c r="X10" i="71"/>
  <c r="AB9" i="71"/>
  <c r="AB10" i="71"/>
  <c r="AB24" i="71"/>
  <c r="Y21" i="71"/>
  <c r="Z21" i="71" s="1"/>
  <c r="AB23" i="71"/>
  <c r="AB21" i="71"/>
  <c r="Y18" i="71"/>
  <c r="Z18" i="71" s="1"/>
  <c r="X17" i="71"/>
  <c r="Y17" i="71"/>
  <c r="Z17" i="71" s="1"/>
  <c r="AB18" i="71"/>
  <c r="Y14" i="71"/>
  <c r="Z14" i="71" s="1"/>
  <c r="AA17" i="71"/>
  <c r="U18" i="36"/>
  <c r="Y9" i="71"/>
  <c r="Z9" i="71" s="1"/>
  <c r="Y10" i="71"/>
  <c r="Z10" i="71" s="1"/>
  <c r="AA9" i="71"/>
  <c r="AA10" i="71"/>
  <c r="X22" i="71"/>
  <c r="AA24" i="71"/>
  <c r="AA22" i="71"/>
  <c r="X21" i="71"/>
  <c r="AA21" i="71"/>
  <c r="X18" i="71"/>
  <c r="AA18" i="71"/>
  <c r="X13" i="71"/>
  <c r="AA14" i="71"/>
  <c r="AB17" i="71"/>
  <c r="F67" i="71"/>
  <c r="X24" i="71"/>
  <c r="Y24" i="71"/>
  <c r="Z24" i="71" s="1"/>
  <c r="AB15" i="71"/>
  <c r="AB12" i="71"/>
  <c r="AB14" i="71"/>
  <c r="Y12" i="71"/>
  <c r="Z12" i="71" s="1"/>
  <c r="Y13" i="71"/>
  <c r="Z13" i="71" s="1"/>
  <c r="AA11" i="71"/>
  <c r="AA13" i="71"/>
  <c r="X12" i="71"/>
  <c r="Y23" i="71"/>
  <c r="Z23" i="71" s="1"/>
  <c r="Y22" i="71"/>
  <c r="Z22" i="71" s="1"/>
  <c r="AA23" i="71"/>
  <c r="X15" i="71"/>
  <c r="AA15" i="71"/>
  <c r="AB11" i="71"/>
  <c r="AB13" i="71"/>
  <c r="Y11" i="71"/>
  <c r="Z11" i="71" s="1"/>
  <c r="AA12" i="71"/>
  <c r="X11" i="71"/>
  <c r="X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38" i="3"/>
  <c r="E545" i="3"/>
  <c r="AK6" i="3"/>
  <c r="E228"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14" i="6"/>
  <c r="E63" i="39" s="1"/>
  <c r="I4" i="6"/>
  <c r="G3" i="43" s="1"/>
  <c r="F26" i="43" s="1"/>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C36" i="74" s="1"/>
  <c r="C38" i="74" s="1"/>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36" i="68"/>
  <c r="D9" i="68"/>
  <c r="C16" i="67"/>
  <c r="C16" i="15"/>
  <c r="G1" i="73"/>
  <c r="C19" i="84" l="1"/>
  <c r="C20" i="84" s="1"/>
  <c r="C26" i="84" s="1"/>
  <c r="C33" i="83"/>
  <c r="C39" i="83" s="1"/>
  <c r="C46" i="83" s="1"/>
  <c r="C45" i="83" s="1"/>
  <c r="C19" i="85"/>
  <c r="C20" i="85" s="1"/>
  <c r="C26" i="85" s="1"/>
  <c r="C33" i="82"/>
  <c r="C39" i="82" s="1"/>
  <c r="C46" i="82" s="1"/>
  <c r="C45" i="82" s="1"/>
  <c r="C19" i="86"/>
  <c r="C20" i="86" s="1"/>
  <c r="C26" i="86" s="1"/>
  <c r="C33" i="81"/>
  <c r="C39" i="81" s="1"/>
  <c r="C46" i="81" s="1"/>
  <c r="C45" i="81" s="1"/>
  <c r="F11" i="86"/>
  <c r="M11" i="86"/>
  <c r="J10" i="86" s="1"/>
  <c r="J5" i="86" s="1"/>
  <c r="F11" i="85"/>
  <c r="M11" i="85"/>
  <c r="J10" i="85" s="1"/>
  <c r="J5" i="85" s="1"/>
  <c r="F11" i="84"/>
  <c r="M11" i="84"/>
  <c r="J10" i="84" s="1"/>
  <c r="J5" i="84" s="1"/>
  <c r="N94" i="46"/>
  <c r="E26" i="43"/>
  <c r="J26" i="43"/>
  <c r="E480" i="3"/>
  <c r="E109" i="3"/>
  <c r="E30" i="3"/>
  <c r="E572" i="3"/>
  <c r="E334" i="3"/>
  <c r="E377" i="3"/>
  <c r="E316" i="3"/>
  <c r="E273" i="3"/>
  <c r="E295" i="3"/>
  <c r="E211" i="3"/>
  <c r="E166" i="3"/>
  <c r="E182" i="3"/>
  <c r="E121" i="3"/>
  <c r="E70" i="3"/>
  <c r="E88" i="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62" i="3"/>
  <c r="E128" i="3"/>
  <c r="E434" i="3"/>
  <c r="E156" i="3"/>
  <c r="E157" i="3"/>
  <c r="E99" i="3"/>
  <c r="E306" i="3"/>
  <c r="E511" i="3"/>
  <c r="E352" i="3"/>
  <c r="E314" i="3"/>
  <c r="E181" i="3"/>
  <c r="E568" i="3"/>
  <c r="E77" i="3"/>
  <c r="E136" i="3"/>
  <c r="E85" i="3"/>
  <c r="E461" i="3"/>
  <c r="E453" i="3"/>
  <c r="E122" i="3"/>
  <c r="N370" i="46"/>
  <c r="G26" i="43"/>
  <c r="F30" i="6"/>
  <c r="E28" i="6"/>
  <c r="K14" i="1" s="1"/>
  <c r="K16" i="1" s="1"/>
  <c r="B15" i="71"/>
  <c r="B14" i="71" s="1"/>
  <c r="B13" i="71" s="1"/>
  <c r="B12" i="71" s="1"/>
  <c r="S16" i="71"/>
  <c r="C44" i="71"/>
  <c r="D43" i="71"/>
  <c r="W39" i="40"/>
  <c r="AC39" i="40"/>
  <c r="AB44" i="39"/>
  <c r="U44" i="39"/>
  <c r="AB26" i="37"/>
  <c r="U26" i="37"/>
  <c r="AC36" i="39"/>
  <c r="W36" i="39"/>
  <c r="AA36" i="39"/>
  <c r="S36" i="39"/>
  <c r="S31" i="39"/>
  <c r="AA31" i="39"/>
  <c r="AA25" i="37"/>
  <c r="S25" i="37"/>
  <c r="U25" i="37"/>
  <c r="AB25" i="37"/>
  <c r="AB24" i="36"/>
  <c r="U24" i="36"/>
  <c r="U12" i="36"/>
  <c r="AB12" i="36"/>
  <c r="AA23" i="35"/>
  <c r="S23" i="35"/>
  <c r="U23" i="35"/>
  <c r="AB23" i="35"/>
  <c r="AC27" i="34"/>
  <c r="W27" i="34"/>
  <c r="E510" i="3"/>
  <c r="E329" i="3"/>
  <c r="E205" i="3"/>
  <c r="E16" i="3"/>
  <c r="E296" i="3"/>
  <c r="E188" i="3"/>
  <c r="E140" i="3"/>
  <c r="E223" i="3"/>
  <c r="E116" i="3"/>
  <c r="E173" i="3"/>
  <c r="E105" i="3"/>
  <c r="E369" i="3"/>
  <c r="E534" i="3"/>
  <c r="E564" i="3"/>
  <c r="E405" i="3"/>
  <c r="E427" i="3"/>
  <c r="E456" i="3"/>
  <c r="E486" i="3"/>
  <c r="E469" i="3"/>
  <c r="E422" i="3"/>
  <c r="E408" i="3"/>
  <c r="E440" i="3"/>
  <c r="E451" i="3"/>
  <c r="E490" i="3"/>
  <c r="E376" i="3"/>
  <c r="E556" i="3"/>
  <c r="AH6" i="3"/>
  <c r="E13"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72" i="3"/>
  <c r="AL6" i="3"/>
  <c r="E42" i="3"/>
  <c r="E60" i="3"/>
  <c r="E94" i="3"/>
  <c r="E43" i="3"/>
  <c r="E75" i="3"/>
  <c r="E540" i="3"/>
  <c r="E428" i="3"/>
  <c r="E473" i="3"/>
  <c r="E482" i="3"/>
  <c r="E412" i="3"/>
  <c r="E455" i="3"/>
  <c r="E18" i="3"/>
  <c r="E79" i="3"/>
  <c r="E96" i="3"/>
  <c r="E38" i="3"/>
  <c r="E78" i="3"/>
  <c r="E100" i="3"/>
  <c r="E129" i="3"/>
  <c r="E170" i="3"/>
  <c r="E190" i="3"/>
  <c r="E174" i="3"/>
  <c r="E194" i="3"/>
  <c r="E220" i="3"/>
  <c r="E234" i="3"/>
  <c r="E275" i="3"/>
  <c r="E219" i="3"/>
  <c r="E235" i="3"/>
  <c r="E299" i="3"/>
  <c r="E324" i="3"/>
  <c r="E339" i="3"/>
  <c r="E325" i="3"/>
  <c r="E392" i="3"/>
  <c r="AQ6" i="3"/>
  <c r="E35" i="3"/>
  <c r="E52" i="3"/>
  <c r="E86" i="3"/>
  <c r="E36" i="3"/>
  <c r="E34" i="3"/>
  <c r="E112" i="3"/>
  <c r="E49" i="3"/>
  <c r="E123" i="3"/>
  <c r="E206" i="3"/>
  <c r="E147" i="3"/>
  <c r="E232" i="3"/>
  <c r="E289" i="3"/>
  <c r="E251" i="3"/>
  <c r="E370" i="3"/>
  <c r="E364" i="3"/>
  <c r="AF6" i="3"/>
  <c r="E50" i="3"/>
  <c r="E102" i="3"/>
  <c r="E20" i="3"/>
  <c r="E80" i="3"/>
  <c r="E62" i="3"/>
  <c r="E113" i="3"/>
  <c r="E176" i="3"/>
  <c r="E158" i="3"/>
  <c r="E218" i="3"/>
  <c r="E287" i="3"/>
  <c r="E265" i="3"/>
  <c r="E326" i="3"/>
  <c r="E22" i="3"/>
  <c r="E101" i="3"/>
  <c r="E83" i="3"/>
  <c r="E487" i="3"/>
  <c r="E374" i="3"/>
  <c r="E500" i="3"/>
  <c r="E413" i="3"/>
  <c r="E460" i="3"/>
  <c r="E436" i="3"/>
  <c r="E90" i="3"/>
  <c r="E131" i="3"/>
  <c r="E155" i="3"/>
  <c r="E297" i="3"/>
  <c r="E348" i="3"/>
  <c r="E375" i="3"/>
  <c r="E58" i="3"/>
  <c r="E462" i="3"/>
  <c r="E446" i="3"/>
  <c r="E98" i="3"/>
  <c r="E138" i="3"/>
  <c r="E163" i="3"/>
  <c r="E248" i="3"/>
  <c r="E266" i="3"/>
  <c r="E386" i="3"/>
  <c r="E584" i="3"/>
  <c r="E24" i="3"/>
  <c r="E87" i="3"/>
  <c r="E250" i="3"/>
  <c r="E341" i="3"/>
  <c r="E19" i="3"/>
  <c r="E179" i="3"/>
  <c r="E222" i="3"/>
  <c r="E323" i="3"/>
  <c r="E373" i="3"/>
  <c r="E82" i="3"/>
  <c r="E536" i="3"/>
  <c r="E148" i="3"/>
  <c r="E212" i="3"/>
  <c r="E199" i="3"/>
  <c r="E286" i="3"/>
  <c r="E575" i="3"/>
  <c r="E442" i="3"/>
  <c r="E466" i="3"/>
  <c r="E541" i="3"/>
  <c r="E430" i="3"/>
  <c r="E449" i="3"/>
  <c r="E255" i="3"/>
  <c r="I3" i="6"/>
  <c r="AP6" i="3"/>
  <c r="E554" i="3"/>
  <c r="E435" i="3"/>
  <c r="E491" i="3"/>
  <c r="E417" i="3"/>
  <c r="E479" i="3"/>
  <c r="E56" i="3"/>
  <c r="E37" i="3"/>
  <c r="E95" i="3"/>
  <c r="E152" i="3"/>
  <c r="E132" i="3"/>
  <c r="E192" i="3"/>
  <c r="E258" i="3"/>
  <c r="E241" i="3"/>
  <c r="E292" i="3"/>
  <c r="E363" i="3"/>
  <c r="E34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68" i="3"/>
  <c r="E63" i="3"/>
  <c r="E81" i="3"/>
  <c r="E118" i="3"/>
  <c r="E264" i="3"/>
  <c r="E283" i="3"/>
  <c r="E309" i="3"/>
  <c r="E21" i="3"/>
  <c r="E165" i="3"/>
  <c r="E244" i="3"/>
  <c r="E149" i="3"/>
  <c r="E167" i="3"/>
  <c r="E141" i="3"/>
  <c r="E312" i="3"/>
  <c r="AD6" i="3"/>
  <c r="E542" i="3"/>
  <c r="E552" i="3"/>
  <c r="E421" i="3"/>
  <c r="E464" i="3"/>
  <c r="E398" i="3"/>
  <c r="E416" i="3"/>
  <c r="E459" i="3"/>
  <c r="E566" i="3"/>
  <c r="E582" i="3"/>
  <c r="E520" i="3"/>
  <c r="E39" i="3"/>
  <c r="E57" i="3"/>
  <c r="E187" i="3"/>
  <c r="E240" i="3"/>
  <c r="E259" i="3"/>
  <c r="E378" i="3"/>
  <c r="E504" i="3"/>
  <c r="E110" i="3"/>
  <c r="E488" i="3"/>
  <c r="E521" i="3"/>
  <c r="E47" i="3"/>
  <c r="E65" i="3"/>
  <c r="E195" i="3"/>
  <c r="E209" i="3"/>
  <c r="E307" i="3"/>
  <c r="E354" i="3"/>
  <c r="E66" i="3"/>
  <c r="E48" i="3"/>
  <c r="E127" i="3"/>
  <c r="E284" i="3"/>
  <c r="Y6" i="3"/>
  <c r="E51" i="3"/>
  <c r="E154" i="3"/>
  <c r="E493" i="3"/>
  <c r="AA38" i="37"/>
  <c r="S38" i="37"/>
  <c r="U38" i="37"/>
  <c r="AB38" i="37"/>
  <c r="AB9" i="33"/>
  <c r="U9" i="33"/>
  <c r="E543" i="3"/>
  <c r="E197" i="3"/>
  <c r="E393" i="3"/>
  <c r="BA5" i="3"/>
  <c r="AC38" i="40"/>
  <c r="W38" i="40"/>
  <c r="S14" i="40"/>
  <c r="AA14" i="40"/>
  <c r="AB14" i="40"/>
  <c r="U14" i="40"/>
  <c r="W31" i="21"/>
  <c r="AC31" i="21"/>
  <c r="AC28" i="21"/>
  <c r="W28" i="21"/>
  <c r="AB28" i="21"/>
  <c r="U28" i="21"/>
  <c r="E494" i="3"/>
  <c r="E383" i="3"/>
  <c r="C19" i="71"/>
  <c r="T20" i="71"/>
  <c r="D20" i="71"/>
  <c r="U20" i="71" s="1"/>
  <c r="E497" i="3"/>
  <c r="E498" i="3"/>
  <c r="E522" i="3"/>
  <c r="W28" i="37"/>
  <c r="AC28" i="37"/>
  <c r="L6" i="3"/>
  <c r="D121" i="9"/>
  <c r="D7" i="52" s="1"/>
  <c r="D6" i="52"/>
  <c r="E137" i="3"/>
  <c r="E340" i="3"/>
  <c r="E15" i="71"/>
  <c r="E14" i="71" s="1"/>
  <c r="E13" i="71" s="1"/>
  <c r="E12" i="71" s="1"/>
  <c r="V16" i="71"/>
  <c r="E499" i="3"/>
  <c r="E502" i="3"/>
  <c r="E513" i="3"/>
  <c r="E381" i="3"/>
  <c r="AZ5" i="3"/>
  <c r="AY6" i="3" s="1"/>
  <c r="F66" i="71"/>
  <c r="Q67" i="71"/>
  <c r="AB39" i="40"/>
  <c r="U39" i="40"/>
  <c r="AA44" i="39"/>
  <c r="S44" i="39"/>
  <c r="AA26" i="37"/>
  <c r="S26" i="37"/>
  <c r="AC26" i="37"/>
  <c r="W26" i="37"/>
  <c r="AB36" i="39"/>
  <c r="U36" i="39"/>
  <c r="AC31" i="39"/>
  <c r="W31" i="39"/>
  <c r="AB31" i="39"/>
  <c r="U31" i="39"/>
  <c r="W25" i="37"/>
  <c r="AC25" i="37"/>
  <c r="AA24" i="36"/>
  <c r="S24" i="36"/>
  <c r="AC24" i="36"/>
  <c r="W24" i="36"/>
  <c r="AC12" i="36"/>
  <c r="W12" i="36"/>
  <c r="AC23" i="35"/>
  <c r="W23" i="35"/>
  <c r="S27" i="34"/>
  <c r="AA27" i="34"/>
  <c r="BL5" i="3"/>
  <c r="E512" i="3"/>
  <c r="E525" i="3"/>
  <c r="W38" i="37"/>
  <c r="AC38" i="37"/>
  <c r="AC9" i="33"/>
  <c r="W9" i="33"/>
  <c r="E342" i="3"/>
  <c r="U38" i="40"/>
  <c r="AB38" i="40"/>
  <c r="AA38" i="40"/>
  <c r="S38" i="40"/>
  <c r="AC14" i="40"/>
  <c r="W14" i="40"/>
  <c r="S31" i="21"/>
  <c r="AA31" i="21"/>
  <c r="U31" i="21"/>
  <c r="AB31" i="21"/>
  <c r="AA28" i="21"/>
  <c r="S28" i="21"/>
  <c r="J6" i="3"/>
  <c r="E356" i="3"/>
  <c r="E15" i="3"/>
  <c r="E360" i="3"/>
  <c r="E308" i="3"/>
  <c r="AB28" i="37"/>
  <c r="U28" i="37"/>
  <c r="S28" i="37"/>
  <c r="AA28" i="37"/>
  <c r="T6" i="3"/>
  <c r="E365" i="3"/>
  <c r="E507" i="3"/>
  <c r="E517" i="3"/>
  <c r="E524" i="3"/>
  <c r="E355" i="3"/>
  <c r="E389" i="3"/>
  <c r="R6" i="3"/>
  <c r="E539"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3" i="6"/>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F24" i="86"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12" i="1"/>
  <c r="AE10" i="1"/>
  <c r="F27" i="68"/>
  <c r="AE6" i="1"/>
  <c r="AE9" i="1"/>
  <c r="AE7" i="1"/>
  <c r="AE8" i="1"/>
  <c r="F41" i="67"/>
  <c r="F41" i="86"/>
  <c r="F69" i="86" l="1"/>
  <c r="C24" i="86"/>
  <c r="C23" i="86"/>
  <c r="J26" i="86"/>
  <c r="J29" i="86" s="1"/>
  <c r="J24" i="86"/>
  <c r="C53" i="86"/>
  <c r="C48" i="86" s="1"/>
  <c r="C10" i="86"/>
  <c r="C5" i="86" s="1"/>
  <c r="F24" i="84"/>
  <c r="C24" i="84" s="1"/>
  <c r="F24" i="85"/>
  <c r="J26" i="85"/>
  <c r="J24" i="85"/>
  <c r="C53" i="85"/>
  <c r="C48" i="85" s="1"/>
  <c r="C10" i="85"/>
  <c r="C5" i="85" s="1"/>
  <c r="J26" i="84"/>
  <c r="J24" i="84"/>
  <c r="C53" i="84"/>
  <c r="C48" i="84" s="1"/>
  <c r="C10" i="84"/>
  <c r="C5" i="84" s="1"/>
  <c r="F22" i="82"/>
  <c r="F22" i="83"/>
  <c r="F41" i="82"/>
  <c r="L36" i="43"/>
  <c r="P36" i="43" s="1"/>
  <c r="F22" i="81"/>
  <c r="M14" i="1"/>
  <c r="O14" i="1" s="1"/>
  <c r="O16" i="1" s="1"/>
  <c r="E65" i="39"/>
  <c r="E11" i="71"/>
  <c r="E10" i="71" s="1"/>
  <c r="E9" i="71" s="1"/>
  <c r="E8" i="71" s="1"/>
  <c r="E7" i="71" s="1"/>
  <c r="E6" i="71" s="1"/>
  <c r="E5" i="71" s="1"/>
  <c r="V12" i="71"/>
  <c r="Q66" i="71"/>
  <c r="Q65" i="71"/>
  <c r="C18" i="71"/>
  <c r="D19" i="71"/>
  <c r="D44" i="71"/>
  <c r="T44" i="71"/>
  <c r="B11" i="71"/>
  <c r="B10" i="71" s="1"/>
  <c r="B9" i="71" s="1"/>
  <c r="B8" i="71" s="1"/>
  <c r="B7" i="71" s="1"/>
  <c r="B6" i="71" s="1"/>
  <c r="B5" i="71" s="1"/>
  <c r="S12" i="71"/>
  <c r="L37"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6" i="83" s="1"/>
  <c r="C38" i="43"/>
  <c r="C6" i="82" s="1"/>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84"/>
  <c r="F41" i="15"/>
  <c r="M27" i="15"/>
  <c r="F41" i="85"/>
  <c r="M27" i="67"/>
  <c r="C7" i="82" l="1"/>
  <c r="C5" i="82" s="1"/>
  <c r="C20" i="82" s="1"/>
  <c r="C7" i="83"/>
  <c r="C5" i="83" s="1"/>
  <c r="C6" i="68"/>
  <c r="C7" i="68" s="1"/>
  <c r="F69" i="85"/>
  <c r="F69" i="84"/>
  <c r="J29" i="84"/>
  <c r="J29" i="85"/>
  <c r="C29" i="86"/>
  <c r="C57" i="86" s="1"/>
  <c r="C64" i="86" s="1"/>
  <c r="C23" i="84"/>
  <c r="C38" i="86"/>
  <c r="C66" i="86"/>
  <c r="C60" i="86"/>
  <c r="C29" i="84"/>
  <c r="C36" i="84" s="1"/>
  <c r="C38" i="85"/>
  <c r="C66" i="85"/>
  <c r="C60" i="85"/>
  <c r="C24" i="85"/>
  <c r="C23" i="85"/>
  <c r="C42" i="82"/>
  <c r="C38" i="84"/>
  <c r="C66" i="84"/>
  <c r="C60" i="84"/>
  <c r="C57" i="84"/>
  <c r="C64" i="84" s="1"/>
  <c r="C43" i="82"/>
  <c r="C26" i="82"/>
  <c r="D22" i="82" s="1"/>
  <c r="C24" i="82"/>
  <c r="C44" i="82"/>
  <c r="D41" i="82" s="1"/>
  <c r="F41" i="83"/>
  <c r="C26" i="83"/>
  <c r="D22" i="83" s="1"/>
  <c r="C42" i="83"/>
  <c r="C44" i="83"/>
  <c r="D41" i="83" s="1"/>
  <c r="C24" i="83"/>
  <c r="C43" i="83"/>
  <c r="O36" i="43"/>
  <c r="N36" i="43"/>
  <c r="M36" i="43"/>
  <c r="Q36" i="43"/>
  <c r="F41" i="81"/>
  <c r="C44" i="81"/>
  <c r="D41" i="81" s="1"/>
  <c r="C26" i="81"/>
  <c r="D22" i="81" s="1"/>
  <c r="C42" i="81"/>
  <c r="C24" i="81"/>
  <c r="C43" i="81"/>
  <c r="D116" i="43"/>
  <c r="M16" i="1"/>
  <c r="L16" i="1" s="1"/>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C17" i="67"/>
  <c r="C17" i="15"/>
  <c r="C14" i="67"/>
  <c r="D10" i="68"/>
  <c r="C28" i="82" l="1"/>
  <c r="C27" i="82" s="1"/>
  <c r="C25" i="82"/>
  <c r="C20" i="83"/>
  <c r="C23" i="83"/>
  <c r="C6" i="81"/>
  <c r="C23" i="82"/>
  <c r="C22" i="82" s="1"/>
  <c r="F50" i="83"/>
  <c r="F50" i="82"/>
  <c r="F50" i="81"/>
  <c r="C13" i="86"/>
  <c r="C75" i="86" s="1"/>
  <c r="J59" i="86"/>
  <c r="J60" i="86" s="1"/>
  <c r="Q48" i="86" s="1"/>
  <c r="C36" i="86"/>
  <c r="Q49" i="86"/>
  <c r="J14" i="86"/>
  <c r="J22" i="86" s="1"/>
  <c r="Q49" i="84"/>
  <c r="C41" i="82"/>
  <c r="C49" i="82" s="1"/>
  <c r="C51" i="82" s="1"/>
  <c r="J14" i="84"/>
  <c r="J22" i="84" s="1"/>
  <c r="J13" i="86"/>
  <c r="J23" i="86" s="1"/>
  <c r="J59" i="84"/>
  <c r="J60" i="84" s="1"/>
  <c r="C13" i="84"/>
  <c r="C75" i="84" s="1"/>
  <c r="C29" i="85"/>
  <c r="C36" i="85" s="1"/>
  <c r="C41" i="83"/>
  <c r="C49" i="83" s="1"/>
  <c r="C51" i="83" s="1"/>
  <c r="C57" i="85"/>
  <c r="C64" i="85" s="1"/>
  <c r="C41" i="81"/>
  <c r="C49" i="81" s="1"/>
  <c r="C51" i="81" s="1"/>
  <c r="C25" i="11"/>
  <c r="C22" i="11" s="1"/>
  <c r="C31" i="11" s="1"/>
  <c r="H25" i="6"/>
  <c r="D17" i="71"/>
  <c r="C16"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F35" i="86"/>
  <c r="M21" i="84"/>
  <c r="C14" i="15"/>
  <c r="M21" i="86"/>
  <c r="F35" i="84"/>
  <c r="F35" i="85"/>
  <c r="B6" i="76"/>
  <c r="C34" i="68"/>
  <c r="M21" i="85"/>
  <c r="E6" i="76"/>
  <c r="C31" i="82" l="1"/>
  <c r="C7" i="81"/>
  <c r="C5" i="81" s="1"/>
  <c r="C28" i="83"/>
  <c r="C27" i="83" s="1"/>
  <c r="C25" i="83"/>
  <c r="C22" i="83" s="1"/>
  <c r="C56" i="86"/>
  <c r="C65" i="86" s="1"/>
  <c r="Q70" i="86"/>
  <c r="C37" i="86"/>
  <c r="J13" i="84"/>
  <c r="J23" i="84" s="1"/>
  <c r="Q49" i="85"/>
  <c r="Q48" i="84"/>
  <c r="J14" i="85"/>
  <c r="J22" i="85" s="1"/>
  <c r="J59" i="85"/>
  <c r="J60" i="85" s="1"/>
  <c r="Q48" i="85" s="1"/>
  <c r="C13" i="85"/>
  <c r="Q70" i="85" s="1"/>
  <c r="C56" i="84"/>
  <c r="C65" i="84" s="1"/>
  <c r="C52" i="82"/>
  <c r="B2" i="82" s="1"/>
  <c r="J20" i="86"/>
  <c r="J17" i="86" s="1"/>
  <c r="J16" i="86" s="1"/>
  <c r="J25" i="86" s="1"/>
  <c r="F63" i="86"/>
  <c r="C62" i="86" s="1"/>
  <c r="C59" i="86" s="1"/>
  <c r="C58" i="86" s="1"/>
  <c r="C67" i="86" s="1"/>
  <c r="C68" i="86" s="1"/>
  <c r="C34" i="86"/>
  <c r="C31" i="86" s="1"/>
  <c r="Q70" i="84"/>
  <c r="C37" i="84"/>
  <c r="J20" i="85"/>
  <c r="J17" i="85" s="1"/>
  <c r="F63" i="85"/>
  <c r="C62" i="85" s="1"/>
  <c r="C59" i="85" s="1"/>
  <c r="C34" i="85"/>
  <c r="C31" i="85" s="1"/>
  <c r="F63" i="84"/>
  <c r="C62" i="84" s="1"/>
  <c r="C59" i="84" s="1"/>
  <c r="C34" i="84"/>
  <c r="C31" i="84" s="1"/>
  <c r="J20" i="84"/>
  <c r="J17" i="84"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19" i="88"/>
  <c r="B3" i="82"/>
  <c r="C75" i="85" l="1"/>
  <c r="C31" i="83"/>
  <c r="C52" i="83" s="1"/>
  <c r="B2" i="83" s="1"/>
  <c r="C20" i="81"/>
  <c r="C23" i="81"/>
  <c r="C102" i="88"/>
  <c r="C21" i="88"/>
  <c r="C57" i="82"/>
  <c r="C56" i="82" s="1"/>
  <c r="J13" i="85"/>
  <c r="J23" i="85" s="1"/>
  <c r="J16" i="85" s="1"/>
  <c r="J25" i="85" s="1"/>
  <c r="C37" i="85"/>
  <c r="C30" i="85" s="1"/>
  <c r="C39" i="85" s="1"/>
  <c r="Q69" i="85" s="1"/>
  <c r="Q68" i="85" s="1"/>
  <c r="C30" i="86"/>
  <c r="C39" i="86" s="1"/>
  <c r="C80" i="86" s="1"/>
  <c r="C79" i="86" s="1"/>
  <c r="C56" i="85"/>
  <c r="C65" i="85" s="1"/>
  <c r="C58" i="85" s="1"/>
  <c r="C67" i="85" s="1"/>
  <c r="C68" i="85" s="1"/>
  <c r="J16" i="84"/>
  <c r="J25" i="84" s="1"/>
  <c r="C30" i="84"/>
  <c r="C39" i="84" s="1"/>
  <c r="C80" i="84" s="1"/>
  <c r="C79" i="84" s="1"/>
  <c r="C58" i="84"/>
  <c r="C67" i="84" s="1"/>
  <c r="C68" i="84" s="1"/>
  <c r="C71" i="84" s="1"/>
  <c r="C71" i="86"/>
  <c r="J7" i="21"/>
  <c r="C14" i="71"/>
  <c r="D15"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B3" i="83"/>
  <c r="C19" i="89"/>
  <c r="C20" i="89"/>
  <c r="L51" i="85"/>
  <c r="C20" i="88"/>
  <c r="L51" i="84"/>
  <c r="C57" i="83" l="1"/>
  <c r="C56" i="83" s="1"/>
  <c r="C102" i="89"/>
  <c r="C21" i="89"/>
  <c r="C28" i="81"/>
  <c r="C27" i="81" s="1"/>
  <c r="C25" i="81"/>
  <c r="C22" i="81" s="1"/>
  <c r="C103" i="88"/>
  <c r="C103" i="89"/>
  <c r="Q69" i="84"/>
  <c r="Q68" i="84" s="1"/>
  <c r="C40" i="86"/>
  <c r="Q47" i="86" s="1"/>
  <c r="Q53" i="86" s="1"/>
  <c r="C40" i="84"/>
  <c r="Q47" i="84" s="1"/>
  <c r="Q53" i="84" s="1"/>
  <c r="Q69" i="86"/>
  <c r="Q68" i="86" s="1"/>
  <c r="L57" i="86"/>
  <c r="L60" i="86" s="1"/>
  <c r="L46" i="86" s="1"/>
  <c r="C80" i="85"/>
  <c r="C79" i="85" s="1"/>
  <c r="C40" i="85"/>
  <c r="Q47" i="85" s="1"/>
  <c r="Q53" i="85" s="1"/>
  <c r="Q67" i="85"/>
  <c r="L57" i="85"/>
  <c r="L60" i="85" s="1"/>
  <c r="L46" i="85" s="1"/>
  <c r="C71" i="85"/>
  <c r="C46" i="85"/>
  <c r="Q67" i="84"/>
  <c r="L57" i="84"/>
  <c r="L60" i="84" s="1"/>
  <c r="L46" i="84" s="1"/>
  <c r="D14" i="71"/>
  <c r="C13"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L51" i="86"/>
  <c r="F35" i="67"/>
  <c r="M21" i="67"/>
  <c r="M21" i="15"/>
  <c r="F35" i="15"/>
  <c r="C31" i="81" l="1"/>
  <c r="C52" i="81" s="1"/>
  <c r="B2" i="81" s="1"/>
  <c r="B2" i="86"/>
  <c r="Q67" i="86"/>
  <c r="B3" i="86"/>
  <c r="B2" i="84"/>
  <c r="B3" i="84" s="1"/>
  <c r="C83" i="86"/>
  <c r="C82" i="86" s="1"/>
  <c r="Q56" i="86"/>
  <c r="C46" i="86"/>
  <c r="C43" i="86"/>
  <c r="Q65" i="86"/>
  <c r="C43" i="84"/>
  <c r="C46" i="84"/>
  <c r="Q65" i="84"/>
  <c r="C83" i="84"/>
  <c r="C82" i="84" s="1"/>
  <c r="Q56" i="84"/>
  <c r="Q56" i="85"/>
  <c r="C83" i="85"/>
  <c r="C82" i="85" s="1"/>
  <c r="B2" i="85"/>
  <c r="C43" i="85"/>
  <c r="Q65" i="85"/>
  <c r="Q66" i="86"/>
  <c r="Q57" i="86"/>
  <c r="Q66" i="85"/>
  <c r="Q57" i="85"/>
  <c r="Q66" i="84"/>
  <c r="Q57" i="84"/>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81"/>
  <c r="C20" i="87" s="1"/>
  <c r="C19" i="87"/>
  <c r="D19" i="89"/>
  <c r="D19" i="88"/>
  <c r="D20" i="89"/>
  <c r="C19" i="9"/>
  <c r="D20" i="87"/>
  <c r="D19" i="87"/>
  <c r="B3" i="68"/>
  <c r="C57" i="81" l="1"/>
  <c r="C56" i="81" s="1"/>
  <c r="C102" i="87"/>
  <c r="C21" i="87"/>
  <c r="C103" i="87"/>
  <c r="D21" i="89"/>
  <c r="D22" i="89"/>
  <c r="D102" i="89"/>
  <c r="G19" i="89"/>
  <c r="G21" i="89" s="1"/>
  <c r="D103" i="89"/>
  <c r="G20" i="89"/>
  <c r="D102" i="88"/>
  <c r="D21" i="88"/>
  <c r="D22" i="88"/>
  <c r="G19" i="88"/>
  <c r="G21" i="88" s="1"/>
  <c r="B3" i="85"/>
  <c r="D21" i="87"/>
  <c r="G19" i="87"/>
  <c r="G21" i="87" s="1"/>
  <c r="D102" i="87"/>
  <c r="D22" i="87"/>
  <c r="D103" i="87"/>
  <c r="G20" i="87"/>
  <c r="C32" i="87" s="1"/>
  <c r="C35" i="87" s="1"/>
  <c r="C34" i="87" s="1"/>
  <c r="C102" i="9"/>
  <c r="C21" i="9"/>
  <c r="Q75" i="85"/>
  <c r="Q62" i="84"/>
  <c r="Q62" i="86"/>
  <c r="Q75" i="86"/>
  <c r="Q75" i="84"/>
  <c r="Q62" i="85"/>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D20" i="88"/>
  <c r="C32" i="89" l="1"/>
  <c r="C35" i="89" s="1"/>
  <c r="C34" i="89" s="1"/>
  <c r="C103" i="9"/>
  <c r="D103" i="88"/>
  <c r="G20" i="88"/>
  <c r="C32" i="88" s="1"/>
  <c r="C35" i="88" s="1"/>
  <c r="C34" i="8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D10" i="71"/>
  <c r="C9" i="71"/>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6"/>
  <c r="L51" i="15"/>
  <c r="D2" i="35"/>
  <c r="Q57" i="67" l="1"/>
  <c r="Q62" i="67" s="1"/>
  <c r="Q66" i="67"/>
  <c r="Q75" i="67" s="1"/>
  <c r="C8" i="71"/>
  <c r="D9" i="7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1" i="1"/>
  <c r="D19" i="9"/>
  <c r="AO6" i="1"/>
  <c r="AO12" i="1"/>
  <c r="AO10" i="1"/>
  <c r="AO8" i="1"/>
  <c r="AO7" i="1"/>
  <c r="D102" i="9" l="1"/>
  <c r="D21" i="9"/>
  <c r="G19" i="9"/>
  <c r="G21" i="9" s="1"/>
  <c r="D22" i="9"/>
  <c r="C7" i="71"/>
  <c r="D8"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C6" i="71"/>
  <c r="D7"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4" i="52" s="1"/>
  <c r="B51" i="72" s="1"/>
  <c r="D118" i="9"/>
  <c r="D119" i="9" s="1"/>
  <c r="D5" i="52" s="1"/>
  <c r="B49" i="72" s="1"/>
  <c r="H118" i="9"/>
  <c r="I118" i="9" s="1"/>
  <c r="H101" i="9" l="1"/>
  <c r="D5" i="53" s="1"/>
  <c r="D4" i="52"/>
  <c r="B47" i="72" s="1"/>
  <c r="C104" i="9"/>
  <c r="D14" i="74"/>
  <c r="H119" i="9"/>
  <c r="H5" i="52" s="1"/>
  <c r="H4" i="52"/>
  <c r="F119" i="9"/>
  <c r="F5" i="52" s="1"/>
  <c r="B53" i="72" s="1"/>
  <c r="G118" i="9"/>
  <c r="G4" i="52" s="1"/>
  <c r="B52" i="72" s="1"/>
  <c r="C105" i="9"/>
  <c r="I4" i="52"/>
  <c r="H102" i="9"/>
  <c r="D7" i="53" s="1"/>
  <c r="B21" i="72" s="1"/>
  <c r="K14" i="74" l="1"/>
  <c r="N14" i="74" s="1"/>
  <c r="O14" i="74" s="1"/>
  <c r="G14" i="74"/>
  <c r="D45" i="9"/>
  <c r="D52" i="9" s="1"/>
  <c r="M48" i="9"/>
  <c r="H107" i="9"/>
  <c r="D122" i="9" s="1"/>
  <c r="E118" i="9"/>
  <c r="E4" i="52" s="1"/>
  <c r="B48" i="72" s="1"/>
  <c r="B20" i="72"/>
  <c r="D6" i="53"/>
  <c r="B22" i="72" s="1"/>
  <c r="F14" i="74"/>
  <c r="E14" i="74"/>
  <c r="L14" i="74" s="1"/>
  <c r="C78" i="9"/>
  <c r="C73" i="9" s="1"/>
  <c r="C72" i="9" l="1"/>
  <c r="C79" i="9" s="1"/>
  <c r="C80" i="9" s="1"/>
  <c r="E80" i="9" s="1"/>
  <c r="E81" i="9" s="1"/>
  <c r="H108" i="9"/>
  <c r="D55" i="9"/>
  <c r="M53" i="9" s="1"/>
  <c r="C93" i="9"/>
  <c r="C86" i="9" s="1"/>
  <c r="C64" i="9"/>
  <c r="C63" i="9" s="1"/>
  <c r="C67" i="9" s="1"/>
  <c r="D59" i="9" s="1"/>
  <c r="M55" i="9" s="1"/>
  <c r="C85" i="9"/>
  <c r="D53" i="9"/>
  <c r="D13" i="53"/>
  <c r="D14" i="53" s="1"/>
  <c r="B32" i="72" s="1"/>
  <c r="M49" i="9"/>
  <c r="L66" i="9" s="1"/>
  <c r="M66" i="9" s="1"/>
  <c r="D123" i="9"/>
  <c r="D9" i="52" s="1"/>
  <c r="D8" i="52"/>
  <c r="B30" i="72"/>
  <c r="C95" i="9" l="1"/>
  <c r="C96" i="9" s="1"/>
  <c r="E96" i="9" s="1"/>
  <c r="E97" i="9" s="1"/>
  <c r="D15" i="53"/>
  <c r="B31" i="72" s="1"/>
  <c r="L65" i="9"/>
  <c r="M65" i="9" s="1"/>
  <c r="C68" i="9"/>
  <c r="D54" i="9" s="1"/>
  <c r="L64" i="9"/>
  <c r="M64" i="9" s="1"/>
  <c r="C81" i="9"/>
  <c r="L68" i="9"/>
  <c r="M68" i="9" s="1"/>
  <c r="L63" i="9"/>
  <c r="M63" i="9" s="1"/>
  <c r="L67" i="9"/>
  <c r="M67" i="9" s="1"/>
  <c r="M69" i="9" l="1"/>
  <c r="N69" i="9" s="1"/>
  <c r="C97" i="9"/>
  <c r="D58" i="9" s="1"/>
  <c r="D56" i="9" s="1"/>
  <c r="M54" i="9" s="1"/>
  <c r="N57" i="9" s="1"/>
  <c r="P57" i="9" l="1"/>
  <c r="N58" i="9"/>
  <c r="N59" i="9"/>
  <c r="N60" i="9" l="1"/>
  <c r="N61" i="9"/>
  <c r="F118" i="87"/>
  <c r="D118" i="87"/>
  <c r="D119" i="87" s="1"/>
  <c r="H118" i="87"/>
  <c r="D15" i="74" s="1"/>
  <c r="G15" i="74" s="1"/>
  <c r="H101" i="87" l="1"/>
  <c r="D45" i="87" s="1"/>
  <c r="C78" i="87" s="1"/>
  <c r="C73" i="87" s="1"/>
  <c r="I118" i="87"/>
  <c r="C105" i="87" s="1"/>
  <c r="E15" i="74"/>
  <c r="F15" i="74"/>
  <c r="H119" i="87"/>
  <c r="C104" i="87"/>
  <c r="F119" i="87"/>
  <c r="G118" i="87"/>
  <c r="D53" i="87" l="1"/>
  <c r="H102" i="87"/>
  <c r="E118" i="87"/>
  <c r="M48" i="87"/>
  <c r="D55" i="87"/>
  <c r="M53" i="87" s="1"/>
  <c r="C72" i="87"/>
  <c r="D52" i="87"/>
  <c r="H107" i="87"/>
  <c r="H108" i="87" s="1"/>
  <c r="C64" i="87"/>
  <c r="C63" i="87" s="1"/>
  <c r="C67" i="87" s="1"/>
  <c r="C68" i="87" s="1"/>
  <c r="D54" i="87" s="1"/>
  <c r="C85" i="87"/>
  <c r="C93" i="87"/>
  <c r="C86" i="87" s="1"/>
  <c r="C79" i="87"/>
  <c r="C80" i="87" s="1"/>
  <c r="E80" i="87" s="1"/>
  <c r="E81" i="87" s="1"/>
  <c r="D59" i="87"/>
  <c r="M55" i="87" s="1"/>
  <c r="D122" i="87" l="1"/>
  <c r="D123" i="87" s="1"/>
  <c r="M49" i="87"/>
  <c r="L67" i="87" s="1"/>
  <c r="M67" i="87" s="1"/>
  <c r="C95" i="87"/>
  <c r="C96" i="87" s="1"/>
  <c r="E96" i="87" s="1"/>
  <c r="E97" i="87" s="1"/>
  <c r="L64" i="87"/>
  <c r="M64" i="87" s="1"/>
  <c r="C81" i="87"/>
  <c r="L68" i="87" l="1"/>
  <c r="M68" i="87" s="1"/>
  <c r="L65" i="87"/>
  <c r="M65" i="87" s="1"/>
  <c r="L63" i="87"/>
  <c r="M63" i="87" s="1"/>
  <c r="L66" i="87"/>
  <c r="M66" i="87" s="1"/>
  <c r="C97" i="87"/>
  <c r="D58" i="87" s="1"/>
  <c r="D56" i="87" s="1"/>
  <c r="M54" i="87" s="1"/>
  <c r="N57" i="87" s="1"/>
  <c r="N59" i="87" s="1"/>
  <c r="N60" i="87" s="1"/>
  <c r="D118" i="88"/>
  <c r="D119" i="88" s="1"/>
  <c r="F118" i="88"/>
  <c r="F119" i="88" s="1"/>
  <c r="H118" i="88"/>
  <c r="M69" i="87" l="1"/>
  <c r="N69" i="87" s="1"/>
  <c r="P57" i="87"/>
  <c r="N61" i="87"/>
  <c r="N58" i="87"/>
  <c r="H119" i="88"/>
  <c r="D16" i="74"/>
  <c r="G118" i="88"/>
  <c r="H101" i="88"/>
  <c r="I118" i="88"/>
  <c r="C104" i="88"/>
  <c r="K16" i="74" l="1"/>
  <c r="N16" i="74" s="1"/>
  <c r="O16" i="74" s="1"/>
  <c r="G16" i="74"/>
  <c r="E16" i="74"/>
  <c r="L16" i="74" s="1"/>
  <c r="F16" i="74"/>
  <c r="H102" i="88"/>
  <c r="C105" i="88"/>
  <c r="E118" i="88"/>
  <c r="M48" i="88"/>
  <c r="H107" i="88"/>
  <c r="D45" i="88"/>
  <c r="D52" i="88" l="1"/>
  <c r="C93" i="88"/>
  <c r="C86" i="88" s="1"/>
  <c r="D55" i="88"/>
  <c r="M53" i="88" s="1"/>
  <c r="C64" i="88"/>
  <c r="C63" i="88" s="1"/>
  <c r="C67" i="88" s="1"/>
  <c r="C78" i="88"/>
  <c r="C73" i="88" s="1"/>
  <c r="D53" i="88"/>
  <c r="C72" i="88"/>
  <c r="C85" i="88"/>
  <c r="C95" i="88" s="1"/>
  <c r="D122" i="88"/>
  <c r="D123" i="88" s="1"/>
  <c r="M49" i="88"/>
  <c r="H108" i="88"/>
  <c r="C79" i="88" l="1"/>
  <c r="L68" i="88"/>
  <c r="M68" i="88" s="1"/>
  <c r="L65" i="88"/>
  <c r="M65" i="88" s="1"/>
  <c r="L64" i="88"/>
  <c r="M64" i="88" s="1"/>
  <c r="L63" i="88"/>
  <c r="M63" i="88" s="1"/>
  <c r="L67" i="88"/>
  <c r="M67" i="88" s="1"/>
  <c r="L66" i="88"/>
  <c r="M66" i="88" s="1"/>
  <c r="C96" i="88"/>
  <c r="E96" i="88" s="1"/>
  <c r="E97" i="88" s="1"/>
  <c r="D59" i="88"/>
  <c r="M55" i="88" s="1"/>
  <c r="C68" i="88"/>
  <c r="D54" i="88" s="1"/>
  <c r="C80" i="88"/>
  <c r="E80" i="88" s="1"/>
  <c r="E81" i="88" s="1"/>
  <c r="C81" i="88" l="1"/>
  <c r="C97" i="88"/>
  <c r="D58" i="88" s="1"/>
  <c r="D56" i="88" s="1"/>
  <c r="M54" i="88" s="1"/>
  <c r="N57" i="88" s="1"/>
  <c r="N58" i="88" s="1"/>
  <c r="M69" i="88"/>
  <c r="N69" i="88" s="1"/>
  <c r="N59" i="88" l="1"/>
  <c r="N60" i="88" s="1"/>
  <c r="P57" i="88"/>
  <c r="N61" i="88"/>
  <c r="F118" i="89"/>
  <c r="F119" i="89" s="1"/>
  <c r="D118" i="89"/>
  <c r="D119" i="89" s="1"/>
  <c r="H118" i="89"/>
  <c r="H119" i="89" l="1"/>
  <c r="D17" i="74"/>
  <c r="C104" i="89"/>
  <c r="H101" i="89"/>
  <c r="I118" i="89"/>
  <c r="G118" i="89"/>
  <c r="K15" i="74" l="1"/>
  <c r="G17" i="74"/>
  <c r="B6" i="74" s="1"/>
  <c r="K24" i="74"/>
  <c r="E17" i="74"/>
  <c r="F17" i="74"/>
  <c r="B5" i="74"/>
  <c r="M48" i="89"/>
  <c r="D45" i="89"/>
  <c r="H107" i="89"/>
  <c r="H102" i="89"/>
  <c r="E118" i="89"/>
  <c r="C105" i="89"/>
  <c r="L15" i="74" l="1"/>
  <c r="N15" i="74"/>
  <c r="O15" i="74" s="1"/>
  <c r="D6" i="74"/>
  <c r="C6" i="74"/>
  <c r="C5" i="74"/>
  <c r="D5" i="74"/>
  <c r="D53" i="89"/>
  <c r="C78" i="89"/>
  <c r="C73" i="89" s="1"/>
  <c r="C93" i="89"/>
  <c r="C86" i="89" s="1"/>
  <c r="D55" i="89"/>
  <c r="M53" i="89" s="1"/>
  <c r="C85" i="89"/>
  <c r="C95" i="89" s="1"/>
  <c r="D52" i="89"/>
  <c r="C72" i="89"/>
  <c r="C64" i="89"/>
  <c r="C63" i="89" s="1"/>
  <c r="C67" i="89" s="1"/>
  <c r="H108" i="89"/>
  <c r="D122" i="89"/>
  <c r="D123" i="89" s="1"/>
  <c r="M49" i="89"/>
  <c r="C79" i="89" l="1"/>
  <c r="C80" i="89" s="1"/>
  <c r="E80" i="89" s="1"/>
  <c r="E81" i="89" s="1"/>
  <c r="D59" i="89"/>
  <c r="M55" i="89" s="1"/>
  <c r="C68" i="89"/>
  <c r="D54" i="89" s="1"/>
  <c r="L67" i="89"/>
  <c r="M67" i="89" s="1"/>
  <c r="L64" i="89"/>
  <c r="M64" i="89" s="1"/>
  <c r="L66" i="89"/>
  <c r="M66" i="89" s="1"/>
  <c r="L68" i="89"/>
  <c r="M68" i="89" s="1"/>
  <c r="L63" i="89"/>
  <c r="M63" i="89" s="1"/>
  <c r="L65" i="89"/>
  <c r="M65" i="89" s="1"/>
  <c r="C96" i="89"/>
  <c r="E96" i="89" s="1"/>
  <c r="E97" i="89" s="1"/>
  <c r="C97" i="89" l="1"/>
  <c r="D58" i="89" s="1"/>
  <c r="D56" i="89" s="1"/>
  <c r="M54" i="89" s="1"/>
  <c r="N57" i="89" s="1"/>
  <c r="N58" i="89" s="1"/>
  <c r="C81" i="89"/>
  <c r="M69" i="89"/>
  <c r="N69" i="89" s="1"/>
  <c r="P57" i="89" l="1"/>
  <c r="N59" i="89"/>
  <c r="N61" i="89" s="1"/>
  <c r="N60" i="8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<sst xmlns="http://schemas.openxmlformats.org/spreadsheetml/2006/main" count="10428" uniqueCount="3445">
  <si>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</si>
  <si>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</si>
  <si>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</si>
  <si>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</si>
  <si>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</si>
  <si>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</si>
  <si>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</si>
  <si>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</si>
  <si>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</si>
  <si>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</si>
  <si>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</si>
  <si>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</si>
  <si>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</si>
  <si>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</si>
  <si>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</si>
  <si>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</si>
  <si>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</si>
  <si>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</si>
  <si>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</si>
  <si>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</si>
  <si>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</si>
  <si>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</si>
  <si>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</si>
  <si>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</si>
  <si>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</si>
  <si>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</si>
  <si>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</si>
  <si>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</si>
  <si>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</si>
  <si>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</si>
  <si>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</si>
  <si>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</si>
  <si>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</si>
  <si>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</si>
  <si>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</si>
  <si>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</si>
  <si>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</si>
  <si>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</si>
  <si>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</si>
  <si>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</si>
  <si>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</si>
  <si>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</si>
  <si>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</si>
  <si>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</si>
  <si>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</si>
  <si>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</si>
  <si>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</si>
  <si>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</si>
  <si>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</si>
  <si>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</si>
  <si>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</si>
  <si>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</si>
  <si>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</si>
  <si>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</si>
  <si>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</si>
  <si>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</si>
  <si>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</si>
  <si>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</si>
  <si>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</si>
  <si>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</si>
  <si>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</si>
  <si>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</si>
  <si>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</si>
  <si>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</si>
  <si>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</si>
  <si>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</si>
  <si>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</si>
  <si>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</si>
  <si>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</si>
  <si>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</si>
  <si>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</si>
  <si>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</si>
  <si>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</si>
  <si>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</si>
  <si>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</si>
  <si>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</si>
  <si>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</si>
  <si>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</si>
  <si>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</si>
  <si>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</si>
  <si>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</si>
  <si>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</si>
  <si>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</si>
  <si>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</si>
  <si>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</si>
  <si>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</si>
  <si>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</si>
  <si>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</si>
  <si>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</si>
  <si>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</si>
  <si>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</si>
  <si>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</si>
  <si>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</si>
  <si>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</si>
  <si>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</si>
  <si>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</si>
  <si>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</si>
  <si>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</si>
  <si>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</si>
  <si>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</si>
  <si>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</si>
  <si>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</si>
  <si>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</si>
  <si>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</si>
  <si>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</si>
  <si>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</si>
  <si>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</si>
  <si>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</si>
  <si>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</si>
  <si>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</si>
  <si>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</si>
  <si>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</si>
  <si>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</si>
  <si>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</si>
  <si>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</si>
  <si>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</si>
  <si>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</si>
  <si>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</si>
  <si>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</si>
  <si>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</si>
  <si>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</si>
  <si>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</si>
  <si>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</si>
  <si>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</si>
  <si>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</si>
  <si>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</si>
  <si>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</si>
  <si>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</si>
  <si>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</si>
  <si>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</si>
  <si>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</si>
  <si>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</si>
  <si>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</si>
  <si>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</si>
  <si>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</si>
  <si>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</si>
  <si>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</si>
  <si>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</si>
  <si>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</si>
  <si>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</si>
  <si>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</si>
  <si>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</si>
  <si>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</si>
  <si>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</si>
  <si>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</si>
  <si>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</si>
  <si>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</si>
  <si>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</si>
  <si>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</si>
  <si>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</si>
  <si>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</si>
  <si>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</si>
  <si>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</si>
  <si>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</si>
  <si>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</si>
  <si>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</si>
  <si>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</si>
  <si>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</si>
  <si>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</si>
  <si>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</si>
  <si>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</si>
  <si>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</si>
  <si>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</si>
  <si>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</si>
  <si>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</si>
  <si>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</si>
  <si>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</si>
  <si>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</si>
  <si>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</si>
  <si>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</si>
  <si>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</si>
  <si>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</si>
  <si>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</si>
  <si>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</si>
  <si>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</si>
  <si>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</si>
  <si>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</si>
  <si>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</si>
  <si>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</si>
  <si>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</si>
  <si>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</si>
  <si>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</si>
  <si>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</si>
  <si>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</si>
  <si>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</si>
  <si>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</si>
  <si>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</si>
  <si>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</si>
  <si>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</si>
  <si>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</si>
  <si>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</si>
  <si>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</si>
  <si>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</si>
  <si>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</si>
  <si>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</si>
  <si>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</si>
  <si>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</si>
  <si>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</si>
  <si>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</si>
  <si>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</si>
  <si>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</si>
  <si>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</si>
  <si>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</si>
  <si>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</si>
  <si>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</si>
  <si>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</si>
  <si>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</si>
  <si>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</si>
  <si>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</si>
  <si>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</si>
  <si>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</si>
  <si>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</si>
  <si>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</si>
  <si>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</si>
  <si>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</si>
  <si>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</si>
  <si>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</si>
  <si>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</si>
  <si>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</si>
  <si>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</si>
  <si>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</si>
  <si>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</si>
  <si>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</si>
  <si>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</si>
  <si>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</si>
  <si>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</si>
  <si>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</si>
  <si>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</si>
  <si>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</si>
  <si>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</si>
  <si>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</si>
  <si>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</si>
  <si>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</si>
  <si>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</si>
  <si>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</si>
  <si>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</si>
  <si>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</si>
  <si>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</si>
  <si>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</si>
  <si>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</si>
  <si>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</si>
  <si>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</si>
  <si>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</si>
  <si>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</si>
  <si>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</si>
  <si>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</si>
  <si>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</si>
  <si>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</si>
  <si>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</si>
  <si>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</si>
  <si>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</si>
  <si>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</si>
  <si>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</si>
  <si>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</si>
  <si>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</si>
  <si>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</si>
  <si>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</si>
  <si>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</si>
  <si>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</si>
  <si>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</si>
  <si>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</si>
  <si>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</si>
  <si>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</si>
  <si>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</si>
  <si>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</si>
  <si>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</si>
  <si>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</si>
  <si>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</si>
  <si>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</si>
  <si>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</si>
  <si>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</si>
  <si>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</si>
  <si>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</si>
  <si>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</si>
  <si>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</si>
  <si>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</si>
  <si>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</si>
  <si>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</si>
  <si>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</si>
  <si>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</si>
  <si>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</si>
  <si>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</si>
  <si>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</si>
  <si>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</si>
  <si>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</si>
  <si>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</si>
  <si>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</si>
  <si>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</si>
  <si>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</si>
  <si>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</si>
  <si>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</si>
  <si>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</si>
  <si>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</si>
  <si>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</si>
  <si>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</si>
  <si>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</si>
  <si>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</si>
  <si>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</si>
  <si>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</si>
  <si>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</si>
  <si>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</si>
  <si>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</si>
  <si>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</si>
  <si>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</si>
  <si>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</si>
  <si>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</si>
  <si>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</si>
  <si>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</si>
  <si>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</si>
  <si>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</si>
  <si>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</si>
  <si>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</si>
  <si>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</si>
  <si>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</si>
  <si>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</si>
  <si>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</si>
  <si>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</si>
  <si>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</si>
  <si>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</si>
  <si>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</si>
  <si>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</si>
  <si>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</si>
  <si>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</si>
  <si>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</si>
  <si>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</si>
  <si>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</si>
  <si>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</si>
  <si>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</si>
  <si>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</si>
  <si>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</si>
  <si>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</si>
  <si>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</si>
  <si>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</si>
  <si>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</si>
  <si>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</si>
  <si>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</si>
  <si>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</si>
  <si>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</si>
  <si>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</si>
  <si>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</si>
  <si>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</si>
  <si>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</si>
  <si>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</si>
  <si>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</si>
  <si>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</si>
  <si>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</si>
  <si>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</si>
  <si>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</si>
  <si>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</si>
  <si>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</si>
  <si>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</si>
  <si>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</si>
  <si>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</si>
  <si>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</si>
  <si>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</si>
  <si>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</si>
  <si>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</si>
  <si>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</si>
  <si>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</si>
  <si>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</si>
  <si>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</si>
  <si>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</si>
  <si>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</si>
  <si>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</si>
  <si>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</si>
  <si>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</si>
  <si>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</si>
  <si>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</si>
  <si>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</si>
  <si>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</si>
  <si>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</si>
  <si>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</si>
  <si>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</si>
  <si>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</si>
  <si>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</si>
  <si>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</si>
  <si>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</si>
  <si>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</si>
  <si>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</si>
  <si>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</si>
  <si>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</si>
  <si>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</si>
  <si>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</si>
  <si>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</si>
  <si>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</si>
  <si>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</si>
  <si>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</si>
  <si>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</si>
  <si>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</si>
  <si>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</si>
  <si>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</si>
  <si>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</si>
  <si>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</si>
  <si>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</si>
  <si>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</si>
  <si>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</si>
  <si>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</si>
  <si>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</si>
  <si>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</si>
  <si>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</si>
  <si>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</si>
  <si>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</si>
  <si>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</si>
  <si>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</si>
  <si>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</si>
  <si>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</si>
  <si>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</si>
  <si>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</si>
  <si>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</si>
  <si>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</si>
  <si>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</si>
  <si>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</si>
  <si>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</si>
  <si>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</si>
  <si>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</si>
  <si>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</si>
  <si>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</si>
  <si>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</si>
  <si>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</si>
  <si>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</si>
  <si>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</si>
  <si>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</si>
  <si>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</si>
  <si>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</si>
  <si>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</si>
  <si>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</si>
  <si>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</si>
  <si>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</si>
  <si>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</si>
  <si>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</si>
  <si>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</si>
  <si>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</si>
  <si>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</si>
  <si>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</si>
  <si>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</si>
  <si>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</si>
  <si>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</si>
  <si>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</si>
  <si>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</si>
  <si>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</si>
  <si>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</si>
  <si>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</si>
  <si>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</si>
  <si>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</si>
  <si>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</si>
  <si>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</si>
  <si>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</si>
  <si>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</si>
  <si>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</si>
  <si>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</si>
  <si>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</si>
  <si>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</si>
  <si>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</si>
  <si>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</si>
  <si>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</si>
  <si>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</si>
  <si>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</si>
  <si>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</si>
  <si>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</si>
  <si>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</si>
  <si>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</si>
  <si>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</si>
  <si>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</si>
  <si>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</si>
  <si>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</si>
  <si>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</si>
  <si>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</si>
  <si>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</si>
  <si>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</si>
  <si>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</si>
  <si>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</si>
  <si>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</si>
  <si>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</si>
  <si>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</si>
  <si>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</si>
  <si>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</si>
  <si>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</si>
  <si>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</si>
  <si>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</si>
  <si>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</si>
  <si>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</si>
  <si>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</si>
  <si>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</si>
  <si>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</si>
  <si>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</si>
  <si>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</si>
  <si>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</si>
  <si>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</si>
  <si>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</si>
  <si>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</si>
  <si>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</si>
  <si>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</si>
  <si>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</si>
  <si>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</si>
  <si>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</si>
  <si>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</si>
  <si>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</si>
  <si>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</si>
  <si>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</si>
  <si>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</si>
  <si>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</si>
  <si>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</si>
  <si>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</si>
  <si>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</si>
  <si>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</si>
  <si>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</si>
  <si>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</si>
  <si>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</si>
  <si>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</si>
  <si>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</si>
  <si>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</si>
  <si>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</si>
  <si>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</si>
  <si>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</si>
  <si>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</si>
  <si>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</si>
  <si>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</si>
  <si>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</si>
  <si>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</si>
  <si>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</si>
  <si>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</si>
  <si>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</si>
  <si>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</si>
  <si>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</si>
  <si>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</si>
  <si>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</si>
  <si>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</si>
  <si>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</si>
  <si>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</si>
  <si>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</si>
  <si>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</si>
  <si>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</si>
  <si>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</si>
  <si>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</si>
  <si>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</si>
  <si>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</si>
  <si>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</si>
  <si>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</si>
  <si>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</si>
  <si>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</si>
  <si>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</si>
  <si>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</si>
  <si>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</si>
  <si>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</si>
  <si>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</si>
  <si>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</si>
  <si>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</si>
  <si>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</si>
  <si>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</si>
  <si>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</si>
  <si>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</si>
  <si>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</si>
  <si>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</si>
  <si>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</si>
  <si>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</si>
  <si>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</si>
  <si>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</si>
  <si>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</si>
  <si>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</si>
  <si>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</si>
  <si>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</si>
  <si>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</si>
  <si>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</si>
  <si>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</si>
  <si>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</si>
  <si>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</si>
  <si>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</si>
  <si>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</si>
  <si>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</si>
  <si>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</si>
  <si>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</si>
  <si>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</si>
  <si>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</si>
  <si>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</si>
  <si>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</si>
  <si>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</si>
  <si>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</si>
  <si>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</si>
  <si>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</si>
  <si>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</si>
  <si>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</si>
  <si>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</si>
  <si>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</si>
  <si>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</si>
  <si>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</si>
  <si>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</si>
  <si>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</si>
  <si>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</si>
  <si>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</si>
  <si>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</si>
  <si>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</si>
  <si>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</si>
  <si>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</si>
  <si>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</si>
  <si>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</si>
  <si>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</si>
  <si>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</si>
  <si>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</si>
  <si>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</si>
  <si>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</si>
  <si>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</si>
  <si>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</si>
  <si>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</si>
  <si>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</si>
  <si>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</si>
  <si>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</si>
  <si>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</si>
  <si>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</si>
  <si>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</si>
  <si>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</si>
  <si>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</si>
  <si>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</si>
  <si>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</si>
  <si>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</si>
  <si>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</si>
  <si>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</si>
  <si>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</si>
  <si>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</si>
  <si>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</si>
  <si>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</si>
  <si>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</si>
  <si>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</si>
  <si>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</si>
  <si>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</si>
  <si>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</si>
  <si>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</si>
  <si>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</si>
  <si>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</si>
  <si>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</si>
  <si>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</si>
  <si>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</si>
  <si>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</si>
  <si>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</si>
  <si>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</si>
  <si>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</si>
  <si>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</si>
  <si>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</si>
  <si>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</si>
  <si>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</si>
  <si>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</si>
  <si>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</si>
  <si>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</si>
  <si>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</si>
  <si>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</si>
  <si>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</si>
  <si>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</si>
  <si>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</si>
  <si>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</si>
  <si>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</si>
  <si>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</si>
  <si>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</si>
  <si>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</si>
  <si>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</si>
  <si>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</si>
  <si>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</si>
  <si>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</si>
  <si>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</si>
  <si>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</si>
  <si>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</si>
  <si>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</si>
  <si>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</si>
  <si>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</si>
  <si>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</si>
  <si>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</si>
  <si>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</si>
  <si>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</si>
  <si>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</si>
  <si>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</si>
  <si>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</si>
  <si>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</si>
  <si>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</si>
  <si>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</si>
  <si>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</si>
  <si>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</si>
  <si>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</si>
  <si>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</si>
  <si>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</si>
  <si>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</si>
  <si>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</si>
  <si>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</si>
  <si>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</si>
  <si>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</si>
  <si>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</si>
  <si>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</si>
  <si>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</si>
  <si>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</si>
  <si>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</si>
  <si>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</si>
  <si>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</si>
  <si>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</si>
  <si>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</si>
  <si>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</si>
  <si>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</si>
  <si>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</si>
  <si>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</si>
  <si>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</si>
  <si>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</si>
  <si>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</si>
  <si>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</si>
  <si>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</si>
  <si>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</si>
  <si>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</si>
  <si>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</si>
  <si>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</si>
  <si>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</si>
  <si>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</si>
  <si>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</si>
  <si>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</si>
  <si>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</si>
  <si>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</si>
  <si>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</si>
  <si>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</si>
  <si>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</si>
  <si>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</si>
  <si>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</si>
  <si>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</si>
  <si>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</si>
  <si>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</si>
  <si>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</si>
  <si>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</si>
  <si>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</si>
  <si>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</si>
  <si>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</si>
  <si>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</si>
  <si>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</si>
  <si>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</si>
  <si>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</si>
  <si>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</si>
  <si>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</si>
  <si>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</si>
  <si>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</si>
  <si>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</si>
  <si>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</si>
  <si>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</si>
  <si>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</si>
  <si>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</si>
  <si>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</si>
  <si>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</si>
  <si>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</si>
  <si>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</si>
  <si>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</si>
  <si>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</si>
  <si>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</si>
  <si>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</si>
  <si>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</si>
  <si>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</si>
  <si>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</si>
  <si>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</si>
  <si>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</si>
  <si>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</si>
  <si>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</si>
  <si>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</si>
  <si>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</si>
  <si>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</si>
  <si>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</si>
  <si>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</si>
  <si>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</si>
  <si>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</si>
  <si>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</si>
  <si>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</si>
  <si>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</si>
  <si>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</si>
  <si>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</si>
  <si>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</si>
  <si>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</si>
  <si>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</si>
  <si>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</si>
  <si>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</si>
  <si>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</si>
  <si>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</si>
  <si>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</si>
  <si>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</si>
  <si>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</si>
  <si>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</si>
  <si>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</si>
  <si>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</si>
  <si>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</si>
  <si>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</si>
  <si>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</si>
  <si>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</si>
  <si>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</si>
  <si>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</si>
  <si>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</si>
  <si>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</si>
  <si>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</si>
  <si>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</si>
  <si>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</si>
  <si>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</si>
  <si>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</si>
  <si>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</si>
  <si>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</si>
  <si>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</si>
  <si>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</si>
  <si>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</si>
  <si>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</si>
  <si>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</si>
  <si>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</si>
  <si>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</si>
  <si>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</si>
  <si>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</si>
  <si>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</si>
  <si>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</si>
  <si>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</si>
  <si>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</si>
  <si>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</si>
  <si>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</si>
  <si>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</si>
  <si>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</si>
  <si>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</si>
  <si>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</si>
  <si>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</si>
  <si>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</si>
  <si>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</si>
  <si>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</si>
  <si>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</si>
  <si>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</si>
  <si>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</si>
  <si>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</si>
  <si>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</si>
  <si>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</si>
  <si>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</si>
  <si>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</si>
  <si>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</si>
  <si>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</si>
  <si>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</si>
  <si>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</si>
  <si>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</si>
  <si>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</si>
  <si>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</si>
  <si>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</si>
  <si>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</si>
  <si>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</si>
  <si>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</si>
  <si>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</si>
  <si>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</si>
  <si>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</si>
  <si>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</si>
  <si>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</si>
  <si>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</si>
  <si>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</si>
  <si>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</si>
  <si>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</si>
  <si>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</si>
  <si>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</si>
  <si>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</si>
  <si>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</si>
  <si>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</si>
  <si>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</si>
  <si>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</si>
  <si>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</si>
  <si>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</si>
  <si>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</si>
  <si>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</si>
  <si>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</si>
  <si>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</si>
  <si>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</si>
  <si>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</si>
  <si>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</si>
  <si>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</si>
  <si>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</si>
  <si>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</si>
  <si>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</si>
  <si>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</si>
  <si>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</si>
  <si>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</si>
  <si>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</si>
  <si>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</si>
  <si>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</si>
  <si>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</si>
  <si>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</si>
  <si>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</si>
  <si>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</si>
  <si>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</si>
  <si>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</si>
  <si>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</si>
  <si>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</si>
  <si>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</si>
  <si>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</si>
  <si>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</si>
  <si>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</si>
  <si>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</si>
  <si>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</si>
  <si>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</si>
  <si>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</si>
  <si>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</si>
  <si>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</si>
  <si>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</si>
  <si>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</si>
  <si>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</si>
  <si>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</si>
  <si>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</si>
  <si>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</si>
  <si>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</si>
  <si>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</si>
  <si>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</si>
  <si>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</si>
  <si>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</si>
  <si>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</si>
  <si>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</si>
  <si>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</si>
  <si>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</si>
  <si>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</si>
  <si>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</si>
  <si>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</si>
  <si>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</si>
  <si>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</si>
  <si>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</si>
  <si>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</si>
  <si>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</si>
  <si>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</si>
  <si>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</si>
  <si>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</si>
  <si>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</si>
  <si>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</si>
  <si>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</si>
  <si>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</si>
  <si>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</si>
  <si>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</si>
  <si>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</si>
  <si>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</si>
  <si>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</si>
  <si>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</si>
  <si>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</si>
  <si>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</si>
  <si>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</si>
  <si>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</si>
  <si>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</si>
  <si>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</si>
  <si>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</si>
  <si>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</si>
  <si>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</si>
  <si>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</si>
  <si>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</si>
  <si>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</si>
  <si>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</si>
  <si>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</si>
  <si>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</si>
  <si>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</si>
  <si>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</si>
  <si>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</si>
  <si>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</si>
  <si>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</si>
  <si>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</si>
  <si>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</si>
  <si>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</si>
  <si>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</si>
  <si>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</si>
  <si>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</si>
  <si>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</si>
  <si>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</si>
  <si>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</si>
  <si>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</si>
  <si>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</si>
  <si>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</si>
  <si>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</si>
  <si>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</si>
  <si>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</si>
  <si>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</si>
  <si>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</si>
  <si>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</si>
  <si>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</si>
  <si>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</si>
  <si>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</si>
  <si>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</si>
  <si>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</si>
  <si>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</si>
  <si>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</si>
  <si>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</si>
  <si>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</si>
  <si>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</si>
  <si>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</si>
  <si>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</si>
  <si>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</si>
  <si>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</si>
  <si>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</si>
  <si>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</si>
  <si>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</si>
  <si>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</si>
  <si>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</si>
  <si>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</si>
  <si>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</si>
  <si>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</si>
  <si>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</si>
  <si>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</si>
  <si>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</si>
  <si>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</si>
  <si>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</si>
  <si>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</si>
  <si>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</si>
  <si>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</si>
  <si>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</si>
  <si>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</si>
  <si>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</si>
  <si>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</si>
  <si>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</si>
  <si>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</si>
  <si>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</si>
  <si>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</si>
  <si>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</si>
  <si>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</si>
  <si>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</si>
  <si>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</si>
  <si>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</si>
  <si>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</si>
  <si>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</si>
  <si>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</si>
  <si>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</si>
  <si>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</si>
  <si>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</si>
  <si>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</si>
  <si>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</si>
  <si>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</si>
  <si>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</si>
  <si>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</si>
  <si>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</si>
  <si>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</si>
  <si>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</si>
  <si>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</si>
  <si>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</si>
  <si>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</si>
  <si>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</si>
  <si>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</si>
  <si>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</si>
  <si>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</si>
  <si>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</si>
  <si>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</si>
  <si>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</si>
  <si>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</si>
  <si>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</si>
  <si>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</si>
  <si>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</si>
  <si>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</si>
  <si>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</si>
  <si>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</si>
  <si>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</si>
  <si>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</si>
  <si>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</si>
  <si>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</si>
  <si>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</si>
  <si>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</si>
  <si>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</si>
  <si>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</si>
  <si>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</si>
  <si>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</si>
  <si>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</si>
  <si>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</si>
  <si>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</si>
  <si>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</si>
  <si>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</si>
  <si>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</si>
  <si>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</si>
  <si>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</si>
  <si>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</si>
  <si>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</si>
  <si>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</si>
  <si>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</si>
  <si>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</si>
  <si>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</si>
  <si>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</si>
  <si>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</si>
  <si>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</si>
  <si>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</si>
  <si>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</si>
  <si>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</si>
  <si>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</si>
  <si>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</si>
  <si>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</si>
  <si>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</si>
  <si>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</si>
  <si>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</si>
  <si>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</si>
  <si>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</si>
  <si>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</si>
  <si>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</si>
  <si>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</si>
  <si>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</si>
  <si>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</si>
  <si>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</si>
  <si>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</si>
  <si>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</si>
  <si>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</si>
  <si>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</si>
  <si>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</si>
  <si>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</si>
  <si>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</si>
  <si>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</si>
  <si>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</si>
  <si>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</si>
  <si>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</si>
  <si>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</si>
  <si>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</si>
  <si>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</si>
  <si>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</si>
  <si>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</si>
  <si>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</si>
  <si>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</si>
  <si>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</si>
  <si>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</si>
  <si>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</si>
  <si>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</si>
  <si>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</si>
  <si>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</si>
  <si>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</si>
  <si>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</si>
  <si>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</si>
  <si>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</si>
  <si>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</si>
  <si>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</si>
  <si>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</si>
  <si>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</si>
  <si>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</si>
  <si>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</si>
  <si>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</si>
  <si>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</si>
  <si>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</si>
  <si>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</si>
  <si>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</si>
  <si>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</si>
  <si>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</si>
  <si>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</si>
  <si>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</si>
  <si>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</si>
  <si>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</si>
  <si>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</si>
  <si>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</si>
  <si>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</si>
  <si>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</si>
  <si>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</si>
  <si>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</si>
  <si>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</si>
  <si>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</si>
  <si>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</si>
  <si>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</si>
  <si>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</si>
  <si>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</si>
  <si>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</si>
  <si>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</si>
  <si>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</si>
  <si>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</si>
  <si>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</si>
  <si>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</si>
  <si>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</si>
  <si>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</si>
  <si>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</si>
  <si>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</si>
  <si>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</si>
  <si>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</si>
  <si>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</si>
  <si>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</si>
  <si>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</si>
  <si>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</si>
  <si>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</si>
  <si>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</si>
  <si>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</si>
  <si>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</si>
  <si>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</si>
  <si>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</si>
  <si>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</si>
  <si>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</si>
  <si>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</si>
  <si>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</si>
  <si>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</si>
  <si>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</si>
  <si>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</si>
  <si>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</si>
  <si>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</si>
  <si>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</si>
  <si>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</si>
  <si>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</si>
  <si>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</si>
  <si>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</si>
  <si>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</si>
  <si>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</si>
  <si>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</si>
  <si>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</si>
  <si>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</si>
  <si>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</si>
  <si>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</si>
  <si>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</si>
  <si>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</si>
  <si>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</si>
  <si>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</si>
  <si>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</si>
  <si>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</si>
  <si>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</si>
  <si>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</si>
  <si>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</si>
  <si>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</si>
  <si>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</si>
  <si>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</si>
  <si>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</si>
  <si>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</si>
  <si>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</si>
  <si>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</si>
  <si>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</si>
  <si>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</si>
  <si>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</si>
  <si>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</si>
  <si>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</si>
  <si>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</si>
  <si>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</si>
  <si>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</si>
  <si>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</si>
  <si>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</si>
  <si>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</si>
  <si>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</si>
  <si>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</si>
  <si>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</si>
  <si>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</si>
  <si>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</si>
  <si>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</si>
  <si>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</si>
  <si>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</si>
  <si>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</si>
  <si>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</si>
  <si>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</si>
  <si>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</si>
  <si>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</si>
  <si>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</si>
  <si>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</si>
  <si>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</si>
  <si>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</si>
  <si>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</si>
  <si>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</si>
  <si>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</si>
  <si>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</si>
  <si>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</si>
  <si>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</si>
  <si>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</si>
  <si>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</si>
  <si>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</si>
  <si>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</si>
  <si>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</si>
  <si>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</si>
  <si>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</si>
  <si>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</si>
  <si>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</si>
  <si>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</si>
  <si>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</si>
  <si>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</si>
  <si>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</si>
  <si>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</si>
  <si>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</si>
  <si>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</si>
  <si>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</si>
  <si>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</si>
  <si>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</si>
  <si>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</si>
  <si>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</si>
  <si>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</si>
  <si>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</si>
  <si>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</si>
  <si>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</si>
  <si>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</si>
  <si>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</si>
  <si>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</si>
  <si>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</si>
  <si>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</si>
  <si>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</si>
  <si>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</si>
  <si>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</si>
  <si>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</si>
  <si>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</si>
  <si>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</si>
  <si>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</si>
  <si>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</si>
  <si>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</si>
  <si>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</si>
  <si>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</si>
  <si>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</si>
  <si>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</si>
  <si>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</si>
  <si>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</si>
  <si>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</si>
  <si>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</si>
  <si>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</si>
  <si>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</si>
  <si>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</si>
  <si>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</si>
  <si>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</si>
  <si>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</si>
  <si>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</si>
  <si>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</si>
  <si>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</si>
  <si>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</si>
  <si>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</si>
  <si>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</si>
  <si>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</si>
  <si>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</si>
  <si>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</si>
  <si>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</si>
  <si>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</si>
  <si>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</si>
  <si>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</si>
  <si>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</si>
  <si>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</si>
  <si>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</si>
  <si>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</si>
  <si>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</si>
  <si>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</si>
  <si>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</si>
  <si>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</si>
  <si>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</si>
  <si>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</si>
  <si>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</si>
  <si>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</si>
  <si>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</si>
  <si>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</si>
  <si>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</si>
  <si>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</si>
  <si>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</si>
  <si>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</si>
  <si>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</si>
  <si>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</si>
  <si>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</si>
  <si>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</si>
  <si>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</si>
  <si>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</si>
  <si>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</si>
  <si>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</si>
  <si>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</si>
  <si>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</si>
  <si>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</si>
  <si>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</si>
  <si>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</si>
  <si>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</si>
  <si>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</si>
  <si>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</si>
  <si>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</si>
  <si>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</si>
  <si>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</si>
  <si>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</si>
  <si>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</si>
  <si>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</si>
  <si>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</si>
  <si>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</si>
  <si>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</si>
  <si>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</si>
  <si>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</si>
  <si>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</si>
  <si>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</si>
  <si>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</si>
  <si>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</si>
  <si>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</si>
  <si>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</si>
  <si>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</si>
  <si>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</si>
  <si>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</si>
  <si>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</si>
  <si>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</si>
  <si>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</si>
  <si>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</si>
  <si>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</si>
  <si>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</si>
  <si>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</si>
  <si>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</si>
  <si>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</si>
  <si>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</si>
  <si>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</si>
  <si>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</si>
  <si>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</si>
  <si>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</si>
  <si>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</si>
  <si>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</si>
  <si>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</si>
  <si>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</si>
  <si>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</si>
  <si>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</si>
  <si>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</si>
  <si>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</si>
  <si>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</si>
  <si>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</si>
  <si>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</si>
  <si>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</si>
  <si>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</si>
  <si>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</si>
  <si>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</si>
  <si>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</si>
  <si>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</si>
  <si>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</si>
  <si>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</si>
  <si>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</si>
  <si>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</si>
  <si>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</si>
  <si>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</si>
  <si>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</si>
  <si>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</si>
  <si>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</si>
  <si>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</si>
  <si>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</si>
  <si>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</si>
  <si>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</si>
  <si>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</si>
  <si>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</si>
  <si>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</si>
  <si>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</si>
  <si>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</si>
  <si>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</si>
  <si>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</si>
  <si>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</si>
  <si>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</si>
  <si>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</si>
  <si>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</si>
  <si>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</si>
  <si>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</si>
  <si>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</si>
  <si>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</si>
  <si>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</si>
  <si>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</si>
  <si>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</si>
  <si>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</si>
  <si>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</si>
  <si>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</si>
  <si>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</si>
  <si>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</si>
  <si>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</si>
  <si>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</si>
  <si>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</si>
  <si>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</si>
  <si>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</si>
  <si>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</si>
  <si>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</si>
  <si>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</si>
  <si>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</si>
  <si>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</si>
  <si>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</si>
  <si>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</si>
  <si>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</si>
  <si>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</si>
  <si>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</si>
  <si>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</si>
  <si>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</si>
  <si>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</si>
  <si>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</si>
  <si>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</si>
  <si>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</si>
  <si>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</si>
  <si>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</si>
  <si>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</si>
  <si>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</si>
  <si>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</si>
  <si>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</si>
  <si>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</si>
  <si>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</si>
  <si>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</si>
  <si>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</si>
  <si>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</si>
  <si>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</si>
  <si>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</si>
  <si>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</si>
  <si>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</si>
  <si>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</si>
  <si>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</si>
  <si>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</si>
  <si>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</si>
  <si>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</si>
  <si>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</si>
  <si>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</si>
  <si>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</si>
  <si>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</si>
  <si>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</si>
  <si>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</si>
  <si>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</si>
  <si>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</si>
  <si>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</si>
  <si>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</si>
  <si>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</si>
  <si>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</si>
  <si>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</si>
  <si>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</si>
  <si>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</si>
  <si>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</si>
  <si>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</si>
  <si>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</si>
  <si>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</si>
  <si>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</si>
  <si>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</si>
  <si>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</si>
  <si>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</si>
  <si>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</si>
  <si>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</si>
  <si>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</si>
  <si>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</si>
  <si>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</si>
  <si>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</si>
  <si>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</si>
  <si>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</si>
  <si>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</si>
  <si>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</si>
  <si>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</si>
  <si>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</si>
  <si>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</si>
  <si>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</si>
  <si>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</si>
  <si>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</si>
  <si>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</si>
  <si>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</si>
  <si>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</si>
  <si>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</si>
  <si>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</si>
  <si>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</si>
  <si>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</si>
  <si>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</si>
  <si>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</si>
  <si>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</si>
  <si>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</si>
  <si>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</si>
  <si>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</si>
  <si>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</si>
  <si>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</si>
  <si>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</si>
  <si>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</si>
  <si>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</si>
  <si>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</si>
  <si>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</si>
  <si>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</si>
  <si>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</si>
  <si>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</si>
  <si>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</si>
  <si>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</si>
  <si>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</si>
  <si>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</si>
  <si>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</si>
  <si>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</si>
  <si>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</si>
  <si>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</si>
  <si>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</si>
  <si>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</si>
  <si>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</si>
  <si>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</si>
  <si>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</si>
  <si>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</si>
  <si>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</si>
  <si>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</si>
  <si>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</si>
  <si>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</si>
  <si>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</si>
  <si>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</si>
  <si>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</si>
  <si>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</si>
  <si>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</si>
  <si>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</si>
  <si>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</si>
  <si>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</si>
  <si>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</si>
  <si>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</si>
  <si>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</si>
  <si>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</si>
  <si>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</si>
  <si>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</si>
  <si>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</si>
  <si>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</si>
  <si>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</si>
  <si>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</si>
  <si>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</si>
  <si>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</si>
  <si>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</si>
  <si>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</si>
  <si>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</si>
  <si>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</si>
  <si>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</si>
  <si>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</si>
  <si>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</si>
  <si>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</si>
  <si>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</si>
  <si>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</si>
  <si>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</si>
  <si>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</si>
  <si>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</si>
  <si>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</si>
  <si>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</si>
  <si>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</si>
  <si>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</si>
  <si>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</si>
  <si>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</si>
  <si>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</si>
  <si>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</si>
  <si>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</si>
  <si>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</si>
  <si>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</si>
  <si>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</si>
  <si>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</si>
  <si>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</si>
  <si>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</si>
  <si>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</si>
  <si>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</si>
  <si>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</si>
  <si>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</si>
  <si>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</si>
  <si>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</si>
  <si>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</si>
  <si>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</si>
  <si>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</si>
  <si>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</si>
  <si>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</si>
  <si>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</si>
  <si>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</si>
  <si>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</si>
  <si>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</si>
  <si>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</si>
  <si>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</si>
  <si>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</si>
  <si>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</si>
  <si>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</si>
  <si>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</si>
  <si>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</si>
  <si>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</si>
  <si>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</si>
  <si>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</si>
  <si>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</si>
  <si>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</si>
  <si>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</si>
  <si>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</si>
  <si>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</si>
  <si>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</si>
  <si>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</si>
  <si>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</si>
  <si>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</si>
  <si>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</si>
  <si>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</si>
  <si>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</si>
  <si>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</si>
  <si>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</si>
  <si>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</si>
  <si>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</si>
  <si>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</si>
  <si>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</si>
  <si>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</si>
  <si>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</si>
  <si>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</si>
  <si>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</si>
  <si>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</si>
  <si>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</si>
  <si>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</si>
  <si>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</si>
  <si>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</si>
  <si>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</si>
  <si>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</si>
  <si>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</si>
  <si>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</si>
  <si>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</si>
  <si>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</si>
  <si>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</si>
  <si>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</si>
  <si>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</si>
  <si>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</si>
  <si>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</si>
  <si>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</si>
  <si>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</si>
  <si>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</si>
  <si>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</si>
  <si>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</si>
  <si>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</si>
  <si>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</si>
  <si>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</si>
  <si>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</si>
  <si>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</si>
  <si>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</si>
  <si>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</si>
  <si>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</si>
  <si>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</si>
  <si>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</si>
  <si>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</si>
  <si>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</si>
  <si>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</si>
  <si>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</si>
  <si>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</si>
  <si>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</si>
  <si>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</si>
  <si>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</si>
  <si>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</si>
  <si>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</si>
  <si>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</si>
  <si>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</si>
  <si>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</si>
  <si>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</si>
  <si>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</si>
  <si>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</si>
  <si>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</si>
  <si>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</si>
  <si>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</si>
  <si>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</si>
  <si>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</si>
  <si>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</si>
  <si>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</si>
  <si>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</si>
  <si>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</si>
  <si>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</si>
  <si>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</si>
  <si>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</si>
  <si>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</si>
  <si>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</si>
  <si>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</si>
  <si>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</si>
  <si>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</si>
  <si>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</si>
  <si>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</si>
  <si>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</si>
  <si>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</si>
  <si>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</si>
  <si>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</si>
  <si>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</si>
  <si>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</si>
  <si>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</si>
  <si>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</si>
  <si>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</si>
  <si>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</si>
  <si>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</si>
  <si>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</si>
  <si>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</si>
  <si>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</si>
  <si>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</si>
  <si>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</si>
  <si>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</si>
  <si>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</si>
  <si>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</si>
  <si>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</si>
  <si>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</si>
  <si>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</si>
  <si>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</si>
  <si>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</si>
  <si>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</si>
  <si>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</si>
  <si>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</si>
  <si>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</si>
  <si>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</si>
  <si>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</si>
  <si>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</si>
  <si>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</si>
  <si>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</si>
  <si>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</si>
  <si>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</si>
  <si>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</si>
  <si>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</si>
  <si>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</si>
  <si>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</si>
  <si>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</si>
  <si>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</si>
  <si>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</si>
  <si>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</si>
  <si>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</si>
  <si>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</si>
  <si>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</si>
  <si>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</si>
  <si>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</si>
  <si>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</si>
  <si>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</si>
  <si>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</si>
  <si>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</si>
  <si>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</si>
  <si>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</si>
  <si>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</si>
  <si>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</si>
  <si>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</si>
  <si>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</si>
  <si>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</si>
  <si>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</si>
  <si>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</si>
  <si>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</si>
  <si>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</si>
  <si>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</si>
  <si>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</si>
  <si>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</si>
  <si>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</si>
  <si>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</si>
  <si>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</si>
  <si>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</si>
  <si>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</si>
  <si>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</si>
  <si>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</si>
  <si>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</si>
  <si>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</si>
  <si>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</si>
  <si>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</si>
  <si>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</si>
  <si>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</si>
  <si>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</si>
  <si>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</si>
  <si>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</si>
  <si>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</si>
  <si>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</si>
  <si>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</si>
  <si>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</si>
  <si>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</si>
  <si>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</si>
  <si>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</si>
  <si>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</si>
  <si>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</si>
  <si>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</si>
  <si>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</si>
  <si>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</si>
  <si>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</si>
  <si>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</si>
  <si>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</si>
  <si>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</si>
  <si>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</si>
  <si>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</si>
  <si>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</si>
  <si>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</si>
  <si>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</si>
  <si>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</si>
  <si>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</si>
  <si>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</si>
  <si>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</si>
  <si>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</si>
  <si>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</si>
  <si>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</si>
  <si>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</si>
  <si>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</si>
  <si>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</si>
  <si>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</si>
  <si>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</si>
  <si>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</si>
  <si>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</si>
  <si>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</si>
  <si>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</si>
  <si>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</si>
  <si>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</si>
  <si>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</si>
  <si>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</si>
  <si>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</si>
  <si>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</si>
  <si>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</si>
  <si>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</si>
  <si>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</si>
  <si>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</si>
  <si>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</si>
  <si>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</si>
  <si>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</si>
  <si>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</si>
  <si>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</si>
  <si>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</si>
  <si>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</si>
  <si>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</si>
  <si>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</si>
  <si>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</si>
  <si>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</si>
  <si>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</si>
  <si>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</si>
  <si>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</si>
  <si>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</si>
  <si>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</si>
  <si>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</si>
  <si>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</si>
  <si>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</si>
  <si>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</si>
  <si>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</si>
  <si>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</si>
  <si>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</si>
  <si>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</si>
  <si>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</si>
  <si>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</si>
  <si>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</si>
  <si>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</si>
  <si>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</si>
  <si>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</si>
  <si>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</si>
  <si>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</si>
  <si>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</si>
  <si>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</si>
  <si>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</si>
  <si>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</si>
  <si>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</si>
  <si>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</si>
  <si>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</si>
  <si>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</si>
  <si>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</si>
  <si>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</si>
  <si>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</si>
  <si>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</si>
  <si>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</si>
  <si>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</si>
  <si>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</si>
  <si>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</si>
  <si>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</si>
  <si>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</si>
  <si>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</si>
  <si>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</si>
  <si>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</si>
  <si>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</si>
  <si>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</si>
  <si>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</si>
  <si>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</si>
  <si>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</si>
  <si>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</si>
  <si>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</si>
  <si>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</si>
  <si>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</si>
  <si>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</si>
  <si>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</si>
  <si>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</si>
  <si>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</si>
  <si>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</si>
  <si>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</si>
  <si>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</si>
  <si>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</si>
  <si>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</si>
  <si>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</si>
  <si>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</si>
  <si>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</si>
  <si>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</si>
  <si>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</si>
  <si>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</si>
  <si>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</si>
  <si>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</si>
  <si>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</si>
  <si>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</si>
  <si>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</si>
  <si>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</si>
  <si>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</si>
  <si>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</si>
  <si>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</si>
  <si>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</si>
  <si>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</si>
  <si>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</si>
  <si>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</si>
  <si>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</si>
  <si>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</si>
  <si>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</si>
  <si>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</si>
  <si>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</si>
  <si>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</si>
  <si>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</si>
  <si>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</si>
  <si>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</si>
  <si>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</si>
  <si>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</si>
  <si>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</si>
  <si>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</si>
  <si>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</si>
  <si>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</si>
  <si>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</si>
  <si>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</si>
  <si>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</si>
  <si>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</si>
  <si>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</si>
  <si>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</si>
  <si>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</si>
  <si>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</si>
  <si>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</si>
  <si>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</si>
  <si>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</si>
  <si>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</si>
  <si>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</si>
  <si>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</si>
  <si>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</si>
  <si>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</si>
  <si>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</si>
  <si>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</si>
  <si>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</si>
  <si>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</si>
  <si>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</si>
  <si>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</si>
  <si>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</si>
  <si>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</si>
  <si>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</si>
  <si>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</si>
  <si>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</si>
  <si>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</si>
  <si>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</si>
  <si>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</si>
  <si>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</si>
  <si>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</si>
  <si>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</si>
  <si>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</si>
  <si>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</si>
  <si>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</si>
  <si>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</si>
  <si>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</si>
  <si>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</si>
  <si>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</si>
  <si>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</si>
  <si>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</si>
  <si>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</si>
  <si>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</si>
  <si>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</si>
  <si>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</si>
  <si>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</si>
  <si>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</si>
  <si>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</si>
  <si>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</si>
  <si>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</si>
  <si>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</si>
  <si>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</si>
  <si>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</si>
  <si>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</si>
  <si>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</si>
  <si>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</si>
  <si>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</si>
  <si>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</si>
  <si>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</si>
  <si>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</si>
  <si>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</si>
  <si>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</si>
  <si>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</si>
  <si>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</si>
  <si>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</si>
  <si>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</si>
  <si>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</si>
  <si>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</si>
  <si>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</si>
  <si>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</si>
  <si>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</si>
  <si>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</si>
  <si>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</si>
  <si>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</si>
  <si>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</si>
  <si>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</si>
  <si>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</si>
  <si>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</si>
  <si>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</si>
  <si>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</si>
  <si>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</si>
  <si>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</si>
  <si>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</si>
  <si>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</si>
  <si>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</si>
  <si>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</si>
  <si>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</si>
  <si>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</si>
  <si>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</si>
  <si>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</si>
  <si>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</si>
  <si>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</si>
  <si>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</si>
  <si>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</si>
  <si>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</si>
  <si>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</si>
  <si>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</si>
  <si>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</si>
  <si>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</si>
  <si>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</si>
  <si>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</si>
  <si>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</si>
  <si>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</si>
  <si>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</si>
  <si>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</si>
  <si>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</si>
  <si>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</si>
  <si>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</si>
  <si>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</si>
  <si>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</si>
  <si>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</si>
  <si>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</si>
  <si>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</si>
  <si>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</si>
  <si>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</si>
  <si>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</si>
  <si>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</si>
  <si>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</si>
  <si>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</si>
  <si>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</si>
  <si>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</si>
  <si>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</si>
  <si>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</si>
  <si>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</si>
  <si>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</si>
  <si>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</si>
  <si>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</si>
  <si>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</si>
  <si>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</si>
  <si>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</si>
  <si>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</si>
  <si>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</si>
  <si>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</si>
  <si>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</si>
  <si>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</si>
  <si>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</si>
  <si>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</si>
  <si>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</si>
  <si>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</si>
  <si>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</si>
  <si>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</si>
  <si>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</si>
  <si>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</si>
  <si>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</si>
  <si>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</si>
  <si>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</si>
  <si>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</si>
  <si>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</si>
  <si>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</si>
  <si>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</si>
  <si>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</si>
  <si>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</si>
  <si>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</si>
  <si>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</si>
  <si>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</si>
  <si>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</si>
  <si>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</si>
  <si>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</si>
  <si>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</si>
  <si>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</si>
  <si>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</si>
  <si>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</si>
  <si>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</si>
  <si>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</si>
  <si>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</si>
  <si>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</si>
  <si>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</si>
  <si>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</si>
  <si>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</si>
  <si>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</si>
  <si>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</si>
  <si>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</si>
  <si>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</si>
  <si>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</si>
  <si>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</si>
  <si>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</si>
  <si>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</si>
  <si>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</si>
  <si>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</si>
  <si>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</si>
  <si>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</si>
  <si>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</si>
  <si>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</si>
  <si>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</si>
  <si>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</si>
  <si>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</si>
  <si>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</si>
  <si>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</si>
  <si>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</si>
  <si>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</si>
  <si>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</si>
  <si>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</si>
  <si>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</si>
  <si>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</si>
  <si>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</si>
  <si>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</si>
  <si>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</si>
  <si>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</si>
  <si>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</si>
  <si>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</si>
  <si>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</si>
  <si>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</si>
  <si>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</si>
  <si>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</si>
  <si>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</si>
  <si>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</si>
  <si>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</si>
  <si>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</si>
  <si>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</si>
  <si>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</si>
  <si>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</si>
  <si>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</si>
  <si>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</si>
  <si>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</si>
  <si>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</si>
  <si>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</si>
  <si>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</si>
  <si>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</si>
  <si>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</si>
  <si>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</si>
  <si>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</si>
  <si>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</si>
  <si>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</si>
  <si>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</si>
  <si>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</si>
  <si>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</si>
  <si>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</si>
  <si>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</si>
  <si>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</si>
  <si>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</si>
  <si>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</si>
  <si>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</si>
  <si>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</si>
  <si>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</si>
  <si>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</si>
  <si>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</si>
  <si>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</si>
  <si>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</si>
  <si>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</si>
  <si>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</si>
  <si>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</si>
  <si>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</si>
  <si>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</si>
  <si>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</si>
  <si>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</si>
  <si>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</si>
  <si>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</si>
  <si>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</si>
  <si>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</si>
  <si>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</si>
  <si>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</si>
  <si>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</si>
  <si>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</si>
  <si>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</si>
  <si>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</si>
  <si>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</si>
  <si>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</si>
  <si>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</si>
  <si>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</si>
  <si>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</si>
  <si>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</si>
  <si>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</si>
  <si>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</si>
  <si>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</si>
  <si>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</si>
  <si>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</si>
  <si>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</si>
  <si>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</si>
  <si>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</si>
  <si>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</si>
  <si>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</si>
  <si>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</si>
  <si>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</si>
  <si>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</si>
  <si>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</si>
  <si>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</si>
  <si>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</si>
  <si>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</si>
  <si>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</si>
  <si>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</si>
  <si>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</si>
  <si>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</si>
  <si>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</si>
  <si>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</si>
  <si>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</si>
  <si>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</si>
  <si>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</si>
  <si>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</si>
  <si>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</si>
  <si>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</si>
  <si>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</si>
  <si>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</si>
  <si>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</si>
  <si>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</si>
  <si>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</si>
  <si>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</si>
  <si>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</si>
  <si>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</si>
  <si>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</si>
  <si>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</si>
  <si>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</si>
  <si>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</si>
  <si>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</si>
  <si>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</si>
  <si>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</si>
  <si>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</si>
  <si>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</si>
  <si>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</si>
  <si>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</si>
  <si>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</si>
  <si>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</si>
  <si>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</si>
  <si>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</si>
  <si>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</si>
  <si>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</si>
  <si>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</si>
  <si>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</si>
  <si>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</si>
  <si>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</si>
  <si>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</si>
  <si>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</si>
  <si>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</si>
  <si>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</si>
  <si>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</si>
  <si>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</si>
  <si>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</si>
  <si>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</si>
  <si>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</si>
  <si>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</si>
  <si>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</si>
  <si>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</si>
  <si>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</si>
  <si>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</si>
  <si>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</si>
  <si>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</si>
  <si>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</si>
  <si>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</si>
  <si>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</si>
  <si>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</si>
  <si>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</si>
  <si>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</si>
  <si>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</si>
  <si>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</si>
  <si>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</si>
  <si>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</si>
  <si>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</si>
  <si>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</si>
  <si>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</si>
  <si>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</si>
  <si>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</si>
  <si>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</si>
  <si>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</si>
  <si>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</si>
  <si>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</si>
  <si>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</si>
  <si>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</si>
  <si>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</si>
  <si>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</si>
  <si>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</si>
  <si>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</si>
  <si>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</si>
  <si>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</si>
  <si>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</si>
  <si>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</si>
  <si>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</si>
  <si>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</si>
  <si>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</si>
  <si>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</si>
  <si>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</si>
  <si>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</si>
  <si>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</si>
  <si>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</si>
  <si>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</si>
  <si>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</si>
  <si>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</si>
  <si>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</si>
  <si>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</si>
  <si>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</si>
  <si>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</si>
  <si>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</si>
  <si>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</si>
  <si>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</si>
  <si>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</si>
  <si>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</si>
  <si>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</si>
  <si>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</si>
  <si>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</si>
  <si>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</si>
  <si>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</si>
  <si>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</si>
  <si>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</si>
  <si>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</si>
  <si>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</si>
  <si>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</si>
  <si>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</si>
  <si>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</si>
  <si>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</si>
  <si>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</si>
  <si>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</si>
  <si>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</si>
  <si>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</si>
  <si>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</si>
  <si>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</si>
  <si>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</si>
  <si>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</si>
  <si>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</si>
  <si>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</si>
  <si>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</si>
  <si>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</si>
  <si>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</si>
  <si>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</si>
  <si>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</si>
  <si>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</si>
  <si>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</si>
  <si>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</si>
  <si>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</si>
  <si>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</si>
  <si>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</si>
  <si>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</si>
  <si>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</si>
  <si>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</si>
  <si>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</si>
  <si>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</si>
  <si>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</si>
  <si>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</si>
  <si>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</si>
  <si>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</si>
  <si>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</si>
  <si>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</si>
  <si>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</si>
  <si>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</si>
  <si>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</si>
  <si>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</si>
  <si>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</si>
  <si>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</si>
  <si>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</si>
  <si>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</si>
  <si>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</si>
  <si>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</si>
  <si>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</si>
  <si>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</si>
  <si>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</si>
  <si>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</si>
  <si>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</si>
  <si>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</si>
  <si>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</si>
  <si>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</si>
  <si>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</si>
  <si>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</si>
  <si>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</si>
  <si>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</si>
  <si>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</si>
  <si>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</si>
  <si>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</si>
  <si>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</si>
  <si>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</si>
  <si>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</si>
  <si>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</si>
  <si>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</si>
  <si>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</si>
  <si>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</si>
  <si>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</si>
  <si>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</si>
  <si>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</si>
  <si>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</si>
  <si>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</si>
  <si>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</si>
  <si>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</si>
  <si>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</si>
  <si>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</si>
  <si>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</si>
  <si>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</si>
  <si>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</si>
  <si>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</si>
  <si>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</si>
  <si>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</si>
  <si>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</si>
  <si>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</si>
  <si>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</si>
  <si>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</si>
  <si>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</si>
  <si>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</si>
  <si>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</si>
  <si>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</si>
  <si>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</si>
  <si>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</si>
  <si>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</si>
  <si>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</si>
  <si>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</si>
  <si>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</si>
  <si>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</si>
  <si>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</si>
  <si>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</si>
  <si>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</si>
  <si>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</si>
  <si>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</si>
  <si>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</si>
  <si>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</si>
  <si>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</si>
  <si>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</si>
  <si>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</si>
  <si>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</si>
  <si>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</si>
  <si>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</si>
  <si>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</si>
  <si>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</si>
  <si>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</si>
  <si>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</si>
  <si>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</si>
  <si>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</si>
  <si>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</si>
  <si>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</si>
  <si>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</si>
  <si>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</si>
  <si>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</si>
  <si>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</si>
  <si>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</si>
  <si>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</si>
  <si>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</si>
  <si>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</si>
  <si>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</si>
  <si>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</si>
  <si>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</si>
  <si>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</si>
  <si>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</si>
  <si>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</si>
  <si>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</si>
  <si>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</si>
  <si>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</si>
  <si>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</si>
  <si>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</si>
  <si>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</si>
  <si>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</si>
  <si>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</si>
  <si>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</si>
  <si>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</si>
  <si>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</si>
  <si>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</si>
  <si>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</si>
  <si>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</si>
  <si>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</si>
  <si>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</si>
  <si>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</si>
  <si>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</si>
  <si>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</si>
  <si>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</si>
  <si>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</si>
  <si>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</si>
  <si>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</si>
  <si>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</si>
  <si>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</si>
  <si>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</si>
  <si>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</si>
  <si>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</si>
  <si>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</si>
  <si>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</si>
  <si>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</si>
  <si>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</si>
  <si>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</si>
  <si>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</si>
  <si>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</si>
  <si>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</si>
  <si>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</si>
  <si>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</si>
  <si>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</si>
  <si>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</si>
  <si>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</si>
  <si>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</si>
  <si>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</si>
  <si>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</si>
  <si>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</si>
  <si>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</si>
  <si>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</si>
  <si>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</si>
  <si>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</si>
  <si>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</si>
  <si>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</si>
  <si>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</si>
  <si>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</si>
  <si>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</si>
  <si>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</si>
  <si>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</si>
  <si>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</si>
  <si>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</si>
  <si>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</si>
  <si>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</si>
  <si>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</si>
  <si>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</si>
  <si>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</si>
  <si>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</si>
  <si>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</si>
  <si>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</si>
  <si>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</si>
  <si>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</si>
  <si>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</si>
  <si>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</si>
  <si>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</si>
  <si>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</si>
  <si>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</si>
  <si>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</si>
  <si>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</si>
  <si>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</si>
  <si>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</si>
  <si>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</si>
  <si>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</si>
  <si>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</si>
  <si>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</si>
  <si>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</si>
  <si>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</si>
  <si>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</si>
  <si>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</si>
  <si>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</si>
  <si>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</si>
  <si>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</si>
  <si>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</si>
  <si>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</si>
  <si>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</si>
  <si>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</si>
  <si>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</si>
  <si>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</si>
  <si>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</si>
  <si>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</si>
  <si>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</si>
  <si>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</si>
  <si>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</si>
  <si>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</si>
  <si>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</si>
  <si>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</si>
  <si>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</si>
  <si>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</si>
  <si>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</si>
  <si>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</si>
  <si>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</si>
  <si>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</si>
  <si>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</si>
  <si>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</si>
  <si>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</si>
  <si>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</si>
  <si>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</si>
  <si>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</si>
  <si>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</si>
  <si>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</si>
  <si>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</si>
  <si>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</si>
  <si>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</si>
  <si>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</si>
  <si>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</si>
  <si>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</si>
  <si>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</si>
  <si>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</si>
  <si>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</si>
  <si>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</si>
  <si>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</si>
  <si>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</si>
  <si>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</si>
  <si>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</si>
  <si>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</si>
  <si>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</si>
  <si>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</si>
  <si>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</si>
  <si>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</si>
  <si>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</si>
  <si>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</si>
  <si>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</si>
  <si>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</si>
  <si>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</si>
  <si>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</si>
  <si>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</si>
  <si>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</si>
  <si>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</si>
  <si>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</si>
  <si>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</si>
  <si>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</si>
  <si>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</si>
  <si>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</si>
  <si>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</si>
  <si>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</si>
  <si>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</si>
  <si>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</si>
  <si>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</si>
  <si>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</si>
  <si>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</si>
  <si>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</si>
  <si>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</si>
  <si>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</si>
  <si>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</si>
  <si>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</si>
  <si>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</si>
  <si>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</si>
  <si>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</si>
  <si>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</si>
  <si>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</si>
  <si>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</si>
  <si>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</si>
  <si>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</si>
  <si>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</si>
  <si>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</si>
  <si>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</si>
  <si>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</si>
  <si>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</si>
  <si>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</si>
  <si>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</si>
  <si>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</si>
  <si>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</si>
  <si>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</si>
  <si>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</si>
  <si>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</si>
  <si>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</si>
  <si>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</si>
  <si>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</si>
  <si>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</si>
  <si>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</si>
  <si>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</si>
  <si>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</si>
  <si>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</si>
  <si>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</si>
  <si>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</si>
  <si>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</si>
  <si>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</si>
  <si>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</si>
  <si>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</si>
  <si>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</si>
  <si>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</si>
  <si>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</si>
  <si>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</si>
  <si>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</si>
  <si>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</si>
  <si>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</si>
  <si>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</si>
  <si>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</si>
  <si>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</si>
  <si>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</si>
  <si>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</si>
  <si>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</si>
  <si>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</si>
  <si>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</si>
  <si>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</si>
  <si>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</si>
  <si>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</si>
  <si>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</si>
  <si>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</si>
  <si>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</si>
  <si>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</si>
  <si>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</si>
  <si>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</si>
  <si>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</si>
  <si>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</si>
  <si>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</si>
  <si>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</si>
  <si>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</si>
  <si>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</si>
  <si>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</si>
  <si>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</si>
  <si>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</si>
  <si>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</si>
  <si>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</si>
  <si>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</si>
  <si>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</si>
  <si>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</si>
  <si>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</si>
  <si>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</si>
  <si>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</si>
  <si>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</si>
  <si>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</si>
  <si>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</si>
  <si>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</si>
  <si>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</si>
  <si>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</si>
  <si>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</si>
  <si>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</si>
  <si>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</si>
  <si>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</si>
  <si>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</si>
  <si>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</si>
  <si>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</si>
  <si>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</si>
  <si>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</si>
  <si>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</si>
  <si>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</si>
  <si>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</si>
  <si>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</si>
  <si>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</si>
  <si>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</si>
  <si>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</si>
  <si>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</si>
  <si>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</si>
  <si>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</si>
  <si>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</si>
  <si>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</si>
  <si>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</si>
  <si>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</si>
  <si>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</si>
  <si>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</si>
  <si>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</si>
  <si>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</si>
  <si>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</si>
  <si>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</si>
  <si>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</si>
  <si>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</si>
  <si>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</si>
  <si>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</si>
  <si>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</si>
  <si>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</si>
  <si>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</si>
  <si>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</si>
  <si>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</si>
  <si>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</si>
  <si>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</si>
  <si>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</si>
  <si>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</si>
  <si>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</si>
  <si>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</si>
  <si>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</si>
  <si>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</si>
  <si>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</si>
  <si>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</si>
  <si>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</si>
  <si>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</si>
  <si>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</si>
  <si>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</si>
  <si>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</si>
  <si>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</si>
  <si>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</si>
  <si>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</si>
  <si>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</si>
  <si>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</si>
  <si>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</si>
  <si>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</si>
  <si>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</si>
  <si>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</si>
  <si>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</si>
  <si>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</si>
  <si>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</si>
  <si>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</si>
  <si>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</si>
  <si>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</si>
  <si>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</si>
  <si>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</si>
  <si>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</si>
  <si>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</si>
  <si>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</si>
  <si>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</si>
  <si>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</si>
  <si>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</si>
  <si>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</si>
  <si>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</si>
  <si>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</si>
  <si>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</si>
  <si>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</si>
  <si>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</si>
  <si>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</si>
  <si>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</si>
  <si>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</si>
  <si>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</si>
  <si>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</si>
  <si>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</si>
  <si>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</si>
  <si>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</si>
  <si>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</si>
  <si>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</si>
  <si>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</si>
  <si>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</si>
  <si>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</si>
  <si>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</si>
  <si>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</si>
  <si>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</si>
  <si>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</si>
  <si>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</si>
  <si>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</si>
  <si>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</si>
  <si>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</si>
  <si>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</si>
  <si>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</si>
  <si>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</si>
  <si>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</si>
  <si>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</si>
  <si>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</si>
  <si>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</si>
  <si>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</si>
  <si>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</si>
  <si>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</si>
  <si>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</si>
  <si>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</si>
  <si>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</si>
  <si>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</si>
  <si>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</si>
  <si>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</si>
  <si>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</si>
  <si>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</si>
  <si>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</si>
  <si>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</si>
  <si>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</si>
  <si>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</si>
  <si>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</si>
  <si>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</si>
  <si>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</si>
  <si>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</si>
  <si>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</si>
  <si>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</si>
  <si>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</si>
  <si>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</si>
  <si>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</si>
  <si>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</si>
  <si>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</si>
  <si>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</si>
  <si>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</si>
  <si>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</si>
  <si>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</si>
  <si>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</si>
  <si>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</si>
  <si>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</si>
  <si>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</si>
  <si>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</si>
  <si>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</si>
  <si>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</si>
  <si>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</si>
  <si>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</si>
  <si>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</si>
  <si>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</si>
  <si>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</si>
  <si>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</si>
  <si>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</si>
  <si>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</si>
  <si>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</si>
  <si>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</si>
  <si>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</si>
  <si>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</si>
  <si>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</si>
  <si>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</si>
  <si>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</si>
  <si>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</si>
  <si>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</si>
  <si>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</si>
  <si>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</si>
  <si>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</si>
  <si>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</si>
  <si>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</si>
  <si>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</si>
  <si>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</si>
  <si>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</si>
  <si>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</si>
  <si>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</si>
  <si>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</si>
  <si>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</si>
  <si>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</si>
  <si>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</si>
  <si>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</si>
  <si>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</si>
  <si>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</si>
  <si>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</si>
  <si>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</si>
  <si>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</si>
  <si>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</si>
  <si>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</si>
  <si>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</si>
  <si>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</si>
  <si>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</si>
  <si>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</si>
  <si>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</si>
  <si>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</si>
  <si>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</si>
  <si>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</si>
  <si>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</si>
  <si>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</si>
  <si>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</si>
  <si>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</si>
  <si>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</si>
  <si>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</si>
  <si>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</si>
  <si>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</si>
  <si>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</si>
  <si>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</si>
  <si>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</si>
  <si>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</si>
  <si>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</si>
  <si>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</si>
  <si>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</si>
  <si>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</si>
  <si>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</si>
  <si>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</si>
  <si>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</si>
  <si>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</si>
  <si>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</si>
  <si>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</si>
  <si>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</si>
  <si>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</si>
  <si>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</si>
  <si>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</si>
  <si>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</si>
  <si>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</si>
  <si>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</si>
  <si>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</si>
  <si>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</si>
  <si>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</si>
  <si>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</si>
  <si>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</si>
  <si>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</si>
  <si>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</si>
  <si>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</si>
  <si>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</si>
  <si>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</si>
  <si>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</si>
  <si>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</si>
  <si>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</si>
  <si>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</si>
  <si>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</si>
  <si>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</si>
  <si>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</si>
  <si>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</si>
  <si>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</si>
  <si>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</si>
  <si>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</si>
  <si>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</si>
  <si>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</si>
  <si>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</si>
  <si>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</si>
  <si>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</si>
  <si>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</si>
  <si>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</si>
  <si>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</si>
  <si>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</si>
  <si>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</si>
  <si>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</si>
  <si>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</si>
  <si>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</si>
  <si>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</si>
  <si>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</si>
  <si>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</si>
  <si>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</si>
  <si>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</si>
  <si>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</si>
  <si>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</si>
  <si>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</si>
  <si>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</si>
  <si>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</si>
  <si>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</si>
  <si>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</si>
  <si>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</si>
  <si>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</si>
  <si>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</si>
  <si>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</si>
  <si>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</si>
  <si>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</si>
  <si>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</si>
  <si>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</si>
  <si>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</si>
  <si>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</si>
  <si>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</si>
  <si>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</si>
  <si>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</si>
  <si>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</si>
  <si>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</si>
  <si>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</si>
  <si>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</si>
  <si>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</si>
  <si>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</si>
  <si>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</si>
  <si>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</si>
  <si>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</si>
  <si>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</si>
  <si>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</si>
  <si>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</si>
  <si>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</si>
  <si>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</si>
  <si>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</si>
  <si>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</si>
  <si>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</si>
  <si>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</si>
  <si>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</si>
  <si>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</si>
  <si>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</si>
  <si>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</si>
  <si>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</si>
  <si>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</si>
  <si>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</si>
  <si>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</si>
  <si>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</si>
  <si>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</si>
  <si>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</si>
  <si>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</si>
  <si>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</si>
  <si>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</si>
  <si>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</si>
  <si>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</si>
  <si>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</si>
  <si>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</si>
  <si>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</si>
  <si>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</si>
  <si>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</si>
  <si>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</si>
  <si>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</si>
  <si>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</si>
  <si>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</si>
  <si>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</si>
  <si>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</si>
  <si>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</si>
  <si>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</si>
  <si>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</si>
  <si>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</si>
  <si>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</si>
  <si>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</si>
  <si>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</si>
  <si>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</si>
  <si>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</si>
  <si>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</si>
  <si>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</si>
  <si>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</si>
  <si>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</si>
  <si>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</si>
  <si>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</si>
  <si>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</si>
  <si>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</si>
  <si>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</si>
  <si>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</si>
  <si>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</si>
  <si>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</si>
  <si>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</si>
  <si>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</si>
  <si>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</si>
  <si>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</si>
  <si>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</si>
  <si>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</si>
  <si>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</si>
  <si>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</si>
  <si>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</si>
  <si>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</si>
  <si>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</si>
  <si>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</si>
  <si>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</si>
  <si>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</si>
  <si>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</si>
  <si>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</si>
  <si>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</si>
  <si>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</si>
  <si>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</si>
  <si>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</si>
  <si>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</si>
  <si>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</si>
  <si>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</si>
  <si>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</si>
  <si>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</si>
  <si>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</si>
  <si>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</si>
  <si>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</si>
  <si>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</si>
  <si>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</si>
  <si>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</si>
  <si>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</si>
  <si>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</si>
  <si>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</si>
  <si>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</si>
  <si>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</si>
  <si>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</si>
  <si>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</si>
  <si>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</si>
  <si>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</si>
  <si>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</si>
  <si>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</si>
  <si>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</si>
  <si>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</si>
  <si>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</si>
  <si>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</si>
  <si>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</si>
  <si>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</si>
  <si>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</si>
  <si>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</si>
  <si>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</si>
  <si>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</si>
  <si>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</si>
  <si>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</si>
  <si>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</si>
  <si>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</si>
  <si>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</si>
  <si>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</si>
  <si>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</si>
  <si>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</si>
  <si>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</si>
  <si>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</si>
  <si>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</si>
  <si>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</si>
  <si>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</si>
  <si>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</si>
  <si>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</si>
  <si>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</si>
  <si>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</si>
  <si>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</si>
  <si>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</si>
  <si>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</si>
  <si>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</si>
  <si>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</si>
  <si>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</si>
  <si>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</si>
  <si>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</si>
  <si>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</si>
  <si>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</si>
  <si>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</si>
  <si>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</si>
  <si>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</si>
  <si>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</si>
  <si>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</si>
  <si>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</si>
  <si>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</si>
  <si>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</si>
  <si>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</si>
  <si>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</si>
  <si>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</si>
  <si>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</si>
  <si>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</si>
  <si>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</si>
  <si>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</si>
  <si>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</si>
  <si>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</si>
  <si>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</si>
  <si>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</si>
  <si>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</si>
  <si>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</si>
  <si>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</si>
  <si>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</si>
  <si>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</si>
  <si>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</si>
  <si>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</si>
  <si>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</si>
  <si>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</si>
  <si>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</si>
  <si>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</si>
  <si>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</si>
  <si>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</si>
  <si>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</si>
  <si>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</si>
  <si>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</si>
  <si>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</si>
  <si>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</si>
  <si>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</si>
  <si>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</si>
  <si>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</si>
  <si>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</si>
  <si>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</si>
  <si>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</si>
  <si>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</si>
  <si>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</si>
  <si>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</si>
  <si>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</si>
  <si>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</si>
  <si>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</si>
  <si>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</si>
  <si>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</si>
  <si>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</si>
  <si>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</si>
  <si>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</si>
  <si>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</si>
  <si>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</si>
  <si>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</si>
  <si>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</si>
  <si>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</si>
  <si>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</si>
  <si>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</si>
  <si>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</si>
  <si>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</si>
  <si>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</si>
  <si>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</si>
  <si>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</si>
  <si>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</si>
  <si>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</si>
  <si>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</si>
  <si>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</si>
  <si>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</si>
  <si>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</si>
  <si>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</si>
  <si>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</si>
  <si>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</si>
  <si>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</si>
  <si>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</si>
  <si>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</si>
  <si>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</si>
  <si>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</si>
  <si>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</si>
  <si>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</si>
  <si>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</si>
  <si>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</si>
  <si>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</si>
  <si>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</si>
  <si>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</si>
  <si>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</si>
  <si>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</si>
  <si>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</si>
  <si>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</si>
  <si>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</si>
  <si>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</si>
  <si>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</si>
  <si>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</si>
  <si>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</si>
  <si>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</si>
  <si>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</si>
  <si>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</si>
  <si>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</si>
  <si>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</si>
  <si>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</si>
  <si>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</si>
  <si>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</si>
  <si>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</si>
  <si>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</si>
  <si>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</si>
  <si>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</si>
  <si>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</si>
  <si>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</si>
  <si>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</si>
  <si>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</si>
  <si>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</si>
  <si>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</si>
  <si>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</si>
  <si>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</si>
  <si>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</si>
  <si>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</si>
  <si>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</si>
  <si>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</si>
  <si>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</si>
  <si>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</si>
  <si>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</si>
  <si>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</si>
  <si>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</si>
  <si>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</si>
  <si>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</si>
  <si>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</si>
  <si>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</si>
  <si>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</si>
  <si>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</si>
  <si>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</si>
  <si>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</si>
  <si>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</si>
  <si>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</si>
  <si>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</si>
  <si>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</si>
  <si>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</si>
  <si>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</si>
  <si>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</si>
  <si>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</si>
  <si>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</si>
  <si>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</si>
  <si>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</si>
  <si>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</si>
  <si>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</si>
  <si>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</si>
  <si>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</si>
  <si>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</si>
  <si>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</si>
  <si>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</si>
  <si>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</si>
  <si>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</si>
  <si>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</si>
  <si>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</si>
  <si>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</si>
  <si>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</si>
  <si>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</si>
  <si>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</si>
  <si>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</si>
  <si>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</si>
  <si>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</si>
  <si>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</si>
  <si>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</si>
  <si>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</si>
  <si>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</si>
  <si>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</si>
  <si>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</si>
  <si>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</si>
  <si>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</si>
  <si>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</si>
  <si>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</si>
  <si>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</si>
  <si>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</si>
  <si>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</si>
  <si>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</si>
  <si>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</si>
  <si>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</si>
  <si>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</si>
  <si>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</si>
  <si>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</si>
  <si>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</si>
  <si>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</si>
  <si>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</si>
  <si>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</si>
  <si>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</si>
  <si>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</si>
  <si>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</si>
  <si>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</si>
  <si>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</si>
  <si>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</si>
  <si>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</si>
  <si>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</si>
  <si>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</si>
  <si>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</si>
  <si>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</si>
  <si>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</si>
  <si>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</si>
  <si>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</si>
  <si>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</si>
  <si>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</si>
  <si>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</si>
  <si>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</si>
  <si>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</si>
  <si>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</si>
  <si>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</si>
  <si>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</si>
  <si>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</si>
  <si>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</si>
  <si>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</si>
  <si>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</si>
  <si>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</si>
  <si>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</si>
  <si>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</si>
  <si>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</si>
  <si>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</si>
  <si>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</si>
  <si>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</si>
  <si>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</si>
  <si>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</si>
  <si>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</si>
  <si>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</si>
  <si>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</si>
  <si>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</si>
  <si>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</si>
  <si>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</si>
  <si>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</si>
  <si>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</si>
  <si>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</si>
  <si>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</si>
  <si>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</si>
  <si>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</si>
  <si>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</si>
  <si>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</si>
  <si>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</si>
  <si>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</si>
  <si>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</si>
  <si>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</si>
  <si>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</si>
  <si>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</si>
  <si>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</si>
  <si>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</si>
  <si>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</si>
  <si>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</si>
  <si>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</si>
  <si>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</si>
  <si>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</si>
  <si>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</si>
  <si>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</si>
  <si>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</si>
  <si>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</si>
  <si>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京（2019）朝不动产权第0046214号</t>
    <phoneticPr fontId="134" type="noConversion"/>
  </si>
  <si>
    <t>合计</t>
    <phoneticPr fontId="134" type="noConversion"/>
  </si>
  <si>
    <t>1层商业</t>
    <phoneticPr fontId="134" type="noConversion"/>
  </si>
  <si>
    <t>2层商业</t>
    <phoneticPr fontId="134" type="noConversion"/>
  </si>
  <si>
    <t>负1层商业</t>
    <phoneticPr fontId="134" type="noConversion"/>
  </si>
  <si>
    <t>负2层商业</t>
    <phoneticPr fontId="134" type="noConversion"/>
  </si>
  <si>
    <t>车位</t>
    <phoneticPr fontId="134" type="noConversion"/>
  </si>
  <si>
    <t>评估面积</t>
    <phoneticPr fontId="134" type="noConversion"/>
  </si>
  <si>
    <t>总建筑面积</t>
    <phoneticPr fontId="134" type="noConversion"/>
  </si>
  <si>
    <t>总土地面积</t>
    <phoneticPr fontId="134" type="noConversion"/>
  </si>
  <si>
    <t>分摊土地面积</t>
    <phoneticPr fontId="134" type="noConversion"/>
  </si>
  <si>
    <t>京（2019）朝不动产权第0046213号</t>
    <phoneticPr fontId="134" type="noConversion"/>
  </si>
  <si>
    <t>朝阳区清林东路4号院8号楼1层105等26套</t>
    <phoneticPr fontId="134" type="noConversion"/>
  </si>
  <si>
    <t>朝阳区清林东路4号院12幢-3层B2104等672套</t>
    <phoneticPr fontId="134" type="noConversion"/>
  </si>
  <si>
    <t>京（2020）朝不动产权第0027287号</t>
    <phoneticPr fontId="134" type="noConversion"/>
  </si>
  <si>
    <t>朝阳区清林东路4号院13幢-2层-201号等6套</t>
    <phoneticPr fontId="134" type="noConversion"/>
  </si>
  <si>
    <t>抵押</t>
  </si>
  <si>
    <t>房地产抵押价值</t>
  </si>
  <si>
    <t>北京市</t>
  </si>
  <si>
    <t>企业</t>
  </si>
  <si>
    <t>是</t>
  </si>
  <si>
    <t>地上</t>
  </si>
  <si>
    <t>地下</t>
  </si>
  <si>
    <t>车库—商业</t>
  </si>
  <si>
    <t>地上商业</t>
  </si>
  <si>
    <t>地上商业</t>
    <phoneticPr fontId="7" type="noConversion"/>
  </si>
  <si>
    <t>地下商业1</t>
  </si>
  <si>
    <t>地下商业1</t>
    <phoneticPr fontId="7" type="noConversion"/>
  </si>
  <si>
    <t>地下车库</t>
  </si>
  <si>
    <t>地下车库</t>
    <phoneticPr fontId="7" type="noConversion"/>
  </si>
  <si>
    <t>地下商业2</t>
  </si>
  <si>
    <t>地下商业2</t>
    <phoneticPr fontId="7" type="noConversion"/>
  </si>
  <si>
    <t>成新度</t>
  </si>
  <si>
    <t>地上商业</t>
    <phoneticPr fontId="3" type="noConversion"/>
  </si>
  <si>
    <r>
      <rPr>
        <sz val="10"/>
        <color indexed="8"/>
        <rFont val="宋体"/>
        <family val="3"/>
        <charset val="134"/>
      </rPr>
      <t>地下商业</t>
    </r>
    <r>
      <rPr>
        <sz val="10"/>
        <color indexed="8"/>
        <rFont val="Arial"/>
        <family val="2"/>
      </rPr>
      <t>1</t>
    </r>
    <phoneticPr fontId="3" type="noConversion"/>
  </si>
  <si>
    <t>利息：取LPR加浮动点数</t>
  </si>
  <si>
    <t>自定义容积率</t>
  </si>
  <si>
    <t>楼层修正</t>
  </si>
  <si>
    <t>不临65条商业街</t>
  </si>
  <si>
    <t>与级别开发程度一致</t>
  </si>
  <si>
    <t>一般</t>
  </si>
  <si>
    <t>较好</t>
  </si>
  <si>
    <t>好</t>
  </si>
  <si>
    <t>成本法-地下商业1</t>
  </si>
  <si>
    <t>成本法-地下商业1</t>
    <phoneticPr fontId="16" type="noConversion"/>
  </si>
  <si>
    <t>成本法-地下商业2</t>
  </si>
  <si>
    <t>成本法-地下商业2</t>
    <phoneticPr fontId="16" type="noConversion"/>
  </si>
  <si>
    <t>成本法-地下车库</t>
  </si>
  <si>
    <t>成本法-地下车库</t>
    <phoneticPr fontId="16" type="noConversion"/>
  </si>
  <si>
    <t>收益法-地下商业1</t>
  </si>
  <si>
    <t>收益法-地下商业1</t>
    <phoneticPr fontId="16" type="noConversion"/>
  </si>
  <si>
    <t>收益法-地下商业2</t>
  </si>
  <si>
    <t>收益法-地下商业2</t>
    <phoneticPr fontId="16" type="noConversion"/>
  </si>
  <si>
    <t>收益法-地下车库</t>
  </si>
  <si>
    <t>收益法-地下车库</t>
    <phoneticPr fontId="16" type="noConversion"/>
  </si>
  <si>
    <t>收益法</t>
  </si>
  <si>
    <t>钢混</t>
  </si>
  <si>
    <t>非生产用房</t>
  </si>
  <si>
    <t>否</t>
  </si>
  <si>
    <t>押一</t>
  </si>
  <si>
    <t>未包含在土地购买价格中</t>
  </si>
  <si>
    <t>全部缴纳</t>
  </si>
  <si>
    <t>已包含在土地取得成本中</t>
  </si>
  <si>
    <t>成本法</t>
  </si>
  <si>
    <t>总价</t>
  </si>
  <si>
    <t>上年</t>
    <phoneticPr fontId="134" type="noConversion"/>
  </si>
  <si>
    <t>本年</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</si>
</sst>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07" fillId="0" borderId="0" xfId="0" applyFont="1">
      <alignment vertical="center"/>
    </xf>
    <xf numFmtId="0" fontId="107" fillId="0" borderId="0" xfId="0" applyFont="1" applyFill="1">
      <alignment vertical="center"/>
    </xf>
    <xf numFmtId="0" fontId="77" fillId="12" borderId="0" xfId="0" applyFont="1" applyFill="1" applyAlignment="1" applyProtection="1">
      <alignment vertical="center"/>
      <protection locked="0"/>
    </xf>
    <xf numFmtId="0" fontId="47" fillId="22" borderId="0" xfId="0" applyFont="1" applyFill="1" applyAlignment="1" applyProtection="1">
      <alignment vertical="center"/>
      <protection locked="0"/>
    </xf>
    <xf numFmtId="1" fontId="159" fillId="0" borderId="0" xfId="12" applyNumberFormat="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1" fontId="159" fillId="0" borderId="0" xfId="17" applyNumberFormat="1" applyFont="1" applyAlignment="1" applyProtection="1">
      <alignment horizontal="left"/>
      <protection locked="0"/>
    </xf>
    <xf numFmtId="181" fontId="47" fillId="18" borderId="10" xfId="0" applyNumberFormat="1" applyFont="1" applyFill="1" applyBorder="1" applyAlignment="1" applyProtection="1">
      <alignment horizontal="center" vertical="center"/>
      <protection locked="0"/>
    </xf>
    <xf numFmtId="181" fontId="47" fillId="18" borderId="8"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181" fontId="99" fillId="18" borderId="1" xfId="0" applyNumberFormat="1" applyFont="1" applyFill="1" applyBorder="1" applyAlignment="1" applyProtection="1">
      <alignment horizontal="center" vertical="center"/>
      <protection locked="0"/>
    </xf>
    <xf numFmtId="181" fontId="44" fillId="18" borderId="1" xfId="0" applyNumberFormat="1" applyFont="1" applyFill="1" applyBorder="1" applyAlignment="1" applyProtection="1">
      <alignment horizontal="center" vertical="center"/>
      <protection locked="0"/>
    </xf>
    <xf numFmtId="177" fontId="47" fillId="18" borderId="1" xfId="1" applyNumberFormat="1" applyFont="1" applyFill="1" applyBorder="1" applyAlignment="1" applyProtection="1">
      <alignment horizontal="center" vertical="center"/>
      <protection locked="0"/>
    </xf>
    <xf numFmtId="0" fontId="47" fillId="18" borderId="0" xfId="0" applyFont="1" applyFill="1" applyAlignment="1" applyProtection="1">
      <alignment vertical="center"/>
      <protection locked="0"/>
    </xf>
    <xf numFmtId="10" fontId="47" fillId="18" borderId="1"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7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1DYGJ2/&#26368;&#32456;/2022-1-0123-P01DYGJ2&#26519;&#22885;&#22025;&#22253;&#21830;&#199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
      <sheetName val="结果表-地下商业1"/>
      <sheetName val="成本法-地下商业1"/>
      <sheetName val="收益法-地下商业1"/>
      <sheetName val="结果表-地下车库"/>
      <sheetName val="成本法-地下车库"/>
      <sheetName val="收益法-地下车库"/>
      <sheetName val="结果表-地下商业2"/>
      <sheetName val="成本法-地下商业2"/>
      <sheetName val="收益法-地下商业2"/>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86012</v>
          </cell>
        </row>
        <row r="15">
          <cell r="K15">
            <v>77590</v>
          </cell>
        </row>
        <row r="17">
          <cell r="K17">
            <v>27188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5.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0" customWidth="1"/>
    <col min="2" max="2" width="81" style="1207" customWidth="1"/>
    <col min="3" max="16384" width="9" style="1205"/>
  </cols>
  <sheetData>
    <row r="1" spans="1:2" s="1193" customFormat="1" ht="16.2" thickBot="1">
      <c r="A1" s="1192" t="s">
        <v>521</v>
      </c>
      <c r="B1" s="1191" t="s">
        <v>600</v>
      </c>
    </row>
    <row r="2" spans="1:2" s="1196" customFormat="1" ht="16.2" thickTop="1">
      <c r="A2" s="1194" t="s">
        <v>522</v>
      </c>
      <c r="B2" s="1195" t="str">
        <f>'预评函-封皮'!B37:I37</f>
        <v>北京市房地产抵押价值预评估</v>
      </c>
    </row>
    <row r="3" spans="1:2" s="1199" customFormat="1">
      <c r="A3" s="1197" t="s">
        <v>523</v>
      </c>
      <c r="B3" s="1198">
        <f>'预评函-封皮'!B40</f>
        <v>0</v>
      </c>
    </row>
    <row r="4" spans="1:2" s="1199" customFormat="1">
      <c r="A4" s="1197" t="s">
        <v>524</v>
      </c>
      <c r="B4" s="1198" t="str">
        <f>'预评函-封皮'!B46</f>
        <v>（注册号：0)、（注册号：0)</v>
      </c>
    </row>
    <row r="5" spans="1:2" s="1193" customFormat="1" ht="16.2" thickBot="1">
      <c r="A5" s="1200" t="s">
        <v>525</v>
      </c>
      <c r="B5" s="1201" t="str">
        <f>'预评函-封皮'!B49</f>
        <v>康正预评字号</v>
      </c>
    </row>
    <row r="6" spans="1:2" s="1196" customFormat="1" ht="16.2" thickTop="1">
      <c r="A6" s="1194" t="s">
        <v>526</v>
      </c>
      <c r="B6" s="1195" t="str">
        <f>'预评函-1'!A4</f>
        <v>受贵公司委托，我公司对北京市房地产抵押价值进行了预评估。</v>
      </c>
    </row>
    <row r="7" spans="1:2" s="1199" customFormat="1">
      <c r="A7" s="1197" t="s">
        <v>566</v>
      </c>
      <c r="B7" s="1198" t="str">
        <f>'预评函-1'!A7</f>
        <v>估价对象为北京市房地产，为所有。根据《国有土地使用证》[]，估价对象（分摊）出让国有建设用地使用权面积为12540.52平方米，建筑面积为99232.33平方米。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估价对象为北京市房地产,属开发建设的，该项目尚在开发建设中。根据《国有土地使用证》[]，估价对象（分摊）出让国有建设用地使用权面积为12540.52平方米，规划建筑面积为99232.33平方米。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2023年3月10日</v>
      </c>
    </row>
    <row r="13" spans="1:2" s="1199" customFormat="1">
      <c r="A13" s="1197" t="s">
        <v>529</v>
      </c>
      <c r="B13" s="1198" t="str">
        <f>'预评函-1'!A18</f>
        <v>本次估价的“房地产价值”是指在正常市场情况下，在价值时点2023年3月10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6.2" thickBot="1">
      <c r="A18" s="1200" t="s">
        <v>534</v>
      </c>
      <c r="B18" s="1201" t="str">
        <f>'预评函-1'!A24</f>
        <v>本次评估采用的主估价方法为成本法和收益法。</v>
      </c>
    </row>
    <row r="19" spans="1:2" s="1196" customFormat="1" ht="16.2"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80938</v>
      </c>
    </row>
    <row r="21" spans="1:2" s="1199" customFormat="1">
      <c r="A21" s="1197" t="s">
        <v>537</v>
      </c>
      <c r="B21" s="1198">
        <f ca="1">'预评函-2'!D7</f>
        <v>40815</v>
      </c>
    </row>
    <row r="22" spans="1:2" s="1199" customFormat="1">
      <c r="A22" s="1197" t="s">
        <v>538</v>
      </c>
      <c r="B22" s="1198" t="str">
        <f ca="1">'预评函-2'!D6</f>
        <v>捌亿零玖佰叁拾捌万元整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80938</v>
      </c>
    </row>
    <row r="31" spans="1:2" s="1199" customFormat="1">
      <c r="A31" s="1197" t="s">
        <v>576</v>
      </c>
      <c r="B31" s="1198">
        <f ca="1">'预评函-2'!D15</f>
        <v>40815</v>
      </c>
    </row>
    <row r="32" spans="1:2" s="1199" customFormat="1">
      <c r="A32" s="1197" t="s">
        <v>543</v>
      </c>
      <c r="B32" s="1198" t="str">
        <f ca="1">'预评函-2'!D14</f>
        <v>捌亿零玖佰叁拾捌万元整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北京市房地产</v>
      </c>
    </row>
    <row r="42" spans="1:2" s="1199" customFormat="1" ht="31.2">
      <c r="A42" s="1197" t="s">
        <v>590</v>
      </c>
      <c r="B42" s="1198" t="str">
        <f>'预评函-3'!B2</f>
        <v>建筑面积</v>
      </c>
    </row>
    <row r="43" spans="1:2" s="1199" customFormat="1">
      <c r="A43" s="1197" t="s">
        <v>591</v>
      </c>
      <c r="B43" s="1198">
        <f>'预评函-3'!B4</f>
        <v>99232.329999999987</v>
      </c>
    </row>
    <row r="44" spans="1:2" s="1199" customFormat="1" ht="31.2">
      <c r="A44" s="1197" t="s">
        <v>575</v>
      </c>
      <c r="B44" s="1198" t="str">
        <f>'预评函-3'!C2</f>
        <v>(分摊)土地面积</v>
      </c>
    </row>
    <row r="45" spans="1:2" s="1199" customFormat="1">
      <c r="A45" s="1197" t="s">
        <v>547</v>
      </c>
      <c r="B45" s="1198">
        <f>'预评函-3'!C4</f>
        <v>12540.52</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6.2" thickBot="1">
      <c r="A57" s="1200" t="s">
        <v>599</v>
      </c>
      <c r="B57" s="1201" t="str">
        <f>'预评函-3'!A6</f>
        <v>估价师知悉的法定优先受偿款</v>
      </c>
    </row>
    <row r="58" spans="1:2" s="1196" customFormat="1" ht="16.2"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9" customFormat="1">
      <c r="A67" s="1197" t="s">
        <v>571</v>
      </c>
      <c r="B67" s="11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9" customFormat="1">
      <c r="A68" s="1197" t="s">
        <v>572</v>
      </c>
      <c r="B68" s="1198" t="str">
        <f>'预评函-4'!A22</f>
        <v>8.其他需特殊说明事项：无（注意调整序号）</v>
      </c>
    </row>
    <row r="69" spans="1:2" s="1193" customFormat="1" ht="16.2" thickBot="1">
      <c r="A69" s="1200" t="s">
        <v>561</v>
      </c>
      <c r="B69" s="1202">
        <f>'预评函-4'!C31</f>
        <v>42551</v>
      </c>
    </row>
    <row r="70" spans="1:2" ht="16.2" thickTop="1">
      <c r="A70" s="1203" t="s">
        <v>562</v>
      </c>
      <c r="B70" s="1204">
        <f>'预评函-4'!A4</f>
        <v>0</v>
      </c>
    </row>
    <row r="71" spans="1:2">
      <c r="A71" s="1197" t="s">
        <v>563</v>
      </c>
      <c r="B71" s="1198">
        <f>'预评函-4'!B4</f>
        <v>0</v>
      </c>
    </row>
    <row r="72" spans="1:2">
      <c r="A72" s="1197" t="s">
        <v>564</v>
      </c>
      <c r="B72" s="1206">
        <f>'预评函-4'!A5</f>
        <v>0</v>
      </c>
    </row>
    <row r="73" spans="1:2" s="1193" customFormat="1" ht="16.2" thickBot="1">
      <c r="A73" s="1200" t="s">
        <v>565</v>
      </c>
      <c r="B73" s="1201">
        <f>'预评函-4'!B5</f>
        <v>0</v>
      </c>
    </row>
    <row r="74" spans="1:2" ht="16.2"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39" customWidth="1"/>
    <col min="2" max="9" width="10" style="839" customWidth="1"/>
    <col min="10" max="16384" width="9" style="839"/>
  </cols>
  <sheetData>
    <row r="36" spans="1:9">
      <c r="A36" s="838" t="s">
        <v>371</v>
      </c>
      <c r="B36" s="838" t="s">
        <v>372</v>
      </c>
    </row>
    <row r="37" spans="1:9" ht="27.75" customHeight="1">
      <c r="A37" s="838"/>
      <c r="B37" s="3475" t="str">
        <f>项目基本情况!B1</f>
        <v>北京市房地产抵押价值预评估</v>
      </c>
      <c r="C37" s="3475"/>
      <c r="D37" s="3475"/>
      <c r="E37" s="3475"/>
      <c r="F37" s="3475"/>
      <c r="G37" s="3475"/>
      <c r="H37" s="3475"/>
      <c r="I37" s="3475"/>
    </row>
    <row r="38" spans="1:9">
      <c r="A38" s="840"/>
      <c r="B38" s="840"/>
    </row>
    <row r="39" spans="1:9">
      <c r="A39" s="838" t="s">
        <v>371</v>
      </c>
      <c r="B39" s="838" t="s">
        <v>373</v>
      </c>
    </row>
    <row r="40" spans="1:9">
      <c r="A40" s="838"/>
      <c r="B40" s="1470">
        <f>项目基本情况!B5</f>
        <v>0</v>
      </c>
    </row>
    <row r="41" spans="1:9">
      <c r="A41" s="838"/>
      <c r="B41" s="838"/>
    </row>
    <row r="42" spans="1:9">
      <c r="A42" s="838" t="s">
        <v>371</v>
      </c>
      <c r="B42" s="838" t="s">
        <v>374</v>
      </c>
    </row>
    <row r="43" spans="1:9">
      <c r="A43" s="838"/>
      <c r="B43" s="1470" t="s">
        <v>375</v>
      </c>
    </row>
    <row r="44" spans="1:9">
      <c r="A44" s="838"/>
      <c r="B44" s="838"/>
    </row>
    <row r="45" spans="1:9">
      <c r="A45" s="838" t="s">
        <v>371</v>
      </c>
      <c r="B45" s="838" t="s">
        <v>376</v>
      </c>
    </row>
    <row r="46" spans="1:9" s="838" customFormat="1">
      <c r="B46" s="1470" t="str">
        <f>项目基本情况!K4</f>
        <v>（注册号：0)、（注册号：0)</v>
      </c>
    </row>
    <row r="47" spans="1:9">
      <c r="A47" s="838"/>
      <c r="B47" s="838" t="str">
        <f>项目基本情况!K5</f>
        <v>（注册号：0)、（注册号：0)</v>
      </c>
    </row>
    <row r="48" spans="1:9">
      <c r="A48" s="838" t="s">
        <v>371</v>
      </c>
      <c r="B48" s="838"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3" customWidth="1"/>
    <col min="2" max="16384" width="9" style="1473"/>
  </cols>
  <sheetData>
    <row r="1" spans="1:1" ht="22.8">
      <c r="A1" s="1472" t="s">
        <v>898</v>
      </c>
    </row>
    <row r="2" spans="1:1">
      <c r="A2" s="1474"/>
    </row>
    <row r="3" spans="1:1" ht="17.399999999999999">
      <c r="A3" s="1475" t="str">
        <f>项目基本情况!B5&amp;"："</f>
        <v>：</v>
      </c>
    </row>
    <row r="4" spans="1:1" ht="17.399999999999999">
      <c r="A4" s="1476" t="str">
        <f>"受贵公司委托，我公司对"&amp;项目基本情况!S1&amp;"进行了预评估。"</f>
        <v>受贵公司委托，我公司对北京市房地产抵押价值进行了预评估。</v>
      </c>
    </row>
    <row r="5" spans="1:1" ht="17.399999999999999">
      <c r="A5" s="1477" t="s">
        <v>899</v>
      </c>
    </row>
    <row r="6" spans="1:1" ht="17.399999999999999">
      <c r="A6" s="1478" t="s">
        <v>900</v>
      </c>
    </row>
    <row r="7" spans="1:1" ht="52.2">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估价对象为北京市房地产，为所有。根据《国有土地使用证》[]，估价对象（分摊）出让国有建设用地使用权面积为12540.52平方米，建筑面积为99232.33平方米。</v>
      </c>
    </row>
    <row r="8" spans="1:1" ht="54.6">
      <c r="A8" s="1479" t="s">
        <v>901</v>
      </c>
    </row>
    <row r="9" spans="1:1" ht="17.399999999999999">
      <c r="A9" s="1478" t="s">
        <v>902</v>
      </c>
    </row>
    <row r="10" spans="1:1" ht="52.2">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估价对象为北京市房地产,属开发建设的，该项目尚在开发建设中。根据《国有土地使用证》[]，估价对象（分摊）出让国有建设用地使用权面积为12540.52平方米，规划建筑面积为99232.33平方米。</v>
      </c>
    </row>
    <row r="11" spans="1:1" ht="72">
      <c r="A11" s="1479" t="s">
        <v>903</v>
      </c>
    </row>
    <row r="12" spans="1:1" ht="17.399999999999999">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1" t="s">
        <v>905</v>
      </c>
    </row>
    <row r="15" spans="1:1" ht="17.399999999999999">
      <c r="A15" s="1482" t="str">
        <f>TEXT(项目基本情况!D3,"yyyy年m月d日;;")&amp;IF(项目基本情况!D3=项目基本情况!B3,"（评估专业人员实地查勘之日）","")</f>
        <v>2023年3月10日</v>
      </c>
    </row>
    <row r="16" spans="1:1" ht="17.399999999999999">
      <c r="A16" s="1481" t="s">
        <v>906</v>
      </c>
    </row>
    <row r="17" spans="1:1" ht="69.599999999999994">
      <c r="A17" s="1476" t="s">
        <v>907</v>
      </c>
    </row>
    <row r="18" spans="1:1" ht="69.59999999999999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10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1" t="s">
        <v>896</v>
      </c>
    </row>
    <row r="24" spans="1:1" ht="17.399999999999999">
      <c r="A24" s="1483" t="str">
        <f>"本次评估采用的主估价方法为"&amp;结果表!K4&amp;"和"&amp;结果表!L4&amp;"。"</f>
        <v>本次评估采用的主估价方法为成本法和收益法。</v>
      </c>
    </row>
    <row r="25" spans="1:1" ht="17.399999999999999">
      <c r="A25" s="1483"/>
    </row>
    <row r="26" spans="1:1" ht="17.399999999999999">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8" customWidth="1"/>
    <col min="2" max="2" width="37.21875" style="1488" customWidth="1"/>
    <col min="3" max="3" width="11.33203125" style="1488" customWidth="1"/>
    <col min="4" max="4" width="31.77734375" style="1488" customWidth="1"/>
    <col min="5" max="5" width="0.44140625" style="1488" customWidth="1"/>
    <col min="6" max="7" width="13" style="1488" customWidth="1"/>
    <col min="8" max="16384" width="9" style="1488"/>
  </cols>
  <sheetData>
    <row r="1" spans="1:5" ht="17.399999999999999">
      <c r="A1" s="1486" t="s">
        <v>908</v>
      </c>
      <c r="B1" s="1487"/>
      <c r="C1" s="1487"/>
      <c r="D1" s="1487"/>
      <c r="E1" s="1487"/>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7.399999999999999">
      <c r="A3" s="3481" t="str">
        <f>IF(项目基本情况!B9="房地产市场价值","估价结果一览表（市场价值不需“结果表-1”）","估价结果一览表")</f>
        <v>估价结果一览表</v>
      </c>
      <c r="B3" s="3481"/>
      <c r="C3" s="3481"/>
      <c r="D3" s="3481"/>
      <c r="E3" s="3481"/>
    </row>
    <row r="4" spans="1:5" ht="18" thickBot="1">
      <c r="A4" s="1489"/>
      <c r="B4" s="3479" t="s">
        <v>917</v>
      </c>
      <c r="C4" s="3479"/>
      <c r="D4" s="3479"/>
      <c r="E4" s="1489"/>
    </row>
    <row r="5" spans="1:5" ht="16.2" thickTop="1">
      <c r="A5" s="1487"/>
      <c r="B5" s="3477" t="s">
        <v>909</v>
      </c>
      <c r="C5" s="1490" t="s">
        <v>910</v>
      </c>
      <c r="D5" s="846">
        <f ca="1">结果表!H101</f>
        <v>80938</v>
      </c>
      <c r="E5" s="1487"/>
    </row>
    <row r="6" spans="1:5" ht="15.6">
      <c r="A6" s="1487"/>
      <c r="B6" s="3477"/>
      <c r="C6" s="1490" t="s">
        <v>911</v>
      </c>
      <c r="D6" s="846" t="str">
        <f ca="1">NUMBERSTRING(INT(D5*10000),2)&amp;"元整"</f>
        <v>捌亿零玖佰叁拾捌万元整</v>
      </c>
      <c r="E6" s="1487"/>
    </row>
    <row r="7" spans="1:5" ht="15.6">
      <c r="A7" s="1487"/>
      <c r="B7" s="3482"/>
      <c r="C7" s="1491" t="s">
        <v>912</v>
      </c>
      <c r="D7" s="847">
        <f ca="1">结果表!H102</f>
        <v>40815</v>
      </c>
      <c r="E7" s="1487"/>
    </row>
    <row r="8" spans="1:5" ht="15.6">
      <c r="A8" s="1487"/>
      <c r="B8" s="3483" t="str">
        <f>结果表!E103</f>
        <v>2.估价师知悉的法定优先受偿款</v>
      </c>
      <c r="C8" s="1492" t="s">
        <v>913</v>
      </c>
      <c r="D8" s="847">
        <f>结果表!H103</f>
        <v>0</v>
      </c>
      <c r="E8" s="1487"/>
    </row>
    <row r="9" spans="1:5" ht="15.6">
      <c r="A9" s="1487"/>
      <c r="B9" s="3485"/>
      <c r="C9" s="1490" t="s">
        <v>911</v>
      </c>
      <c r="D9" s="846" t="str">
        <f>NUMBERSTRING(INT(D8*10000),2)&amp;"元整"</f>
        <v>零元整</v>
      </c>
      <c r="E9" s="1487"/>
    </row>
    <row r="10" spans="1:5" ht="15.6">
      <c r="A10" s="1487"/>
      <c r="B10" s="1493" t="s">
        <v>916</v>
      </c>
      <c r="C10" s="1494" t="s">
        <v>914</v>
      </c>
      <c r="D10" s="848">
        <f>结果表!H104</f>
        <v>0</v>
      </c>
      <c r="E10" s="1487"/>
    </row>
    <row r="11" spans="1:5" ht="15.6">
      <c r="A11" s="1487"/>
      <c r="B11" s="1493" t="s">
        <v>918</v>
      </c>
      <c r="C11" s="1494" t="s">
        <v>919</v>
      </c>
      <c r="D11" s="848">
        <f>结果表!H105</f>
        <v>0</v>
      </c>
      <c r="E11" s="1487"/>
    </row>
    <row r="12" spans="1:5" ht="15.6">
      <c r="A12" s="1487"/>
      <c r="B12" s="1493" t="s">
        <v>920</v>
      </c>
      <c r="C12" s="1494" t="s">
        <v>919</v>
      </c>
      <c r="D12" s="848">
        <f>结果表!H106</f>
        <v>0</v>
      </c>
      <c r="E12" s="1487"/>
    </row>
    <row r="13" spans="1:5" ht="15.6">
      <c r="A13" s="1487"/>
      <c r="B13" s="3476" t="str">
        <f>结果表!E107</f>
        <v>3.房地产抵押价值</v>
      </c>
      <c r="C13" s="1495" t="s">
        <v>910</v>
      </c>
      <c r="D13" s="849">
        <f ca="1">结果表!H107</f>
        <v>80938</v>
      </c>
      <c r="E13" s="1487"/>
    </row>
    <row r="14" spans="1:5" ht="15.6">
      <c r="A14" s="1487"/>
      <c r="B14" s="3477"/>
      <c r="C14" s="1490" t="s">
        <v>911</v>
      </c>
      <c r="D14" s="846" t="str">
        <f ca="1">NUMBERSTRING(INT(D13*10000),2)&amp;"元整"</f>
        <v>捌亿零玖佰叁拾捌万元整</v>
      </c>
      <c r="E14" s="1487"/>
    </row>
    <row r="15" spans="1:5" ht="15.6">
      <c r="A15" s="1487"/>
      <c r="B15" s="3482"/>
      <c r="C15" s="1491" t="s">
        <v>921</v>
      </c>
      <c r="D15" s="855">
        <f ca="1">结果表!H108</f>
        <v>40815</v>
      </c>
      <c r="E15" s="1487"/>
    </row>
    <row r="16" spans="1:5" ht="15.6">
      <c r="A16" s="1487"/>
      <c r="B16" s="3483" t="str">
        <f>结果表!E109</f>
        <v>——</v>
      </c>
      <c r="C16" s="1495" t="s">
        <v>922</v>
      </c>
      <c r="D16" s="1496" t="str">
        <f>结果表!H109</f>
        <v>——</v>
      </c>
      <c r="E16" s="1487"/>
    </row>
    <row r="17" spans="1:5" ht="15.6">
      <c r="A17" s="1487"/>
      <c r="B17" s="3484"/>
      <c r="C17" s="1490" t="s">
        <v>923</v>
      </c>
      <c r="D17" s="846" t="e">
        <f>NUMBERSTRING(INT(D16*10000),2)&amp;"元整"</f>
        <v>#VALUE!</v>
      </c>
      <c r="E17" s="1487"/>
    </row>
    <row r="18" spans="1:5" ht="15.6">
      <c r="A18" s="1487"/>
      <c r="B18" s="3485"/>
      <c r="C18" s="1491" t="s">
        <v>912</v>
      </c>
      <c r="D18" s="855" t="str">
        <f>结果表!H110</f>
        <v>——</v>
      </c>
      <c r="E18" s="1487"/>
    </row>
    <row r="19" spans="1:5" ht="15.6">
      <c r="A19" s="1487"/>
      <c r="B19" s="3476" t="str">
        <f>结果表!E111</f>
        <v>——</v>
      </c>
      <c r="C19" s="1495" t="s">
        <v>910</v>
      </c>
      <c r="D19" s="847" t="str">
        <f>结果表!H111</f>
        <v>——</v>
      </c>
      <c r="E19" s="1487"/>
    </row>
    <row r="20" spans="1:5" ht="15.6">
      <c r="A20" s="1487"/>
      <c r="B20" s="3477"/>
      <c r="C20" s="1490" t="s">
        <v>923</v>
      </c>
      <c r="D20" s="846" t="e">
        <f>NUMBERSTRING(INT(D19*10000),2)&amp;"元整"</f>
        <v>#VALUE!</v>
      </c>
      <c r="E20" s="1487"/>
    </row>
    <row r="21" spans="1:5" ht="16.2" thickBot="1">
      <c r="A21" s="1487"/>
      <c r="B21" s="3478"/>
      <c r="C21" s="1497" t="s">
        <v>921</v>
      </c>
      <c r="D21" s="856" t="str">
        <f>结果表!H112</f>
        <v>——</v>
      </c>
      <c r="E21" s="1487"/>
    </row>
    <row r="22" spans="1:5" ht="14.4" thickTop="1">
      <c r="A22" s="1487"/>
      <c r="B22" s="1498" t="s">
        <v>924</v>
      </c>
      <c r="C22" s="1487"/>
      <c r="D22" s="1487"/>
      <c r="E22" s="1487"/>
    </row>
    <row r="23" spans="1:5">
      <c r="A23" s="1487"/>
      <c r="B23" s="1487"/>
      <c r="C23" s="1487"/>
      <c r="D23" s="1487"/>
      <c r="E23" s="1487"/>
    </row>
    <row r="24" spans="1:5" ht="17.399999999999999">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3" customWidth="1"/>
    <col min="2" max="9" width="12.109375" style="1473" customWidth="1"/>
    <col min="10" max="16384" width="9" style="1473"/>
  </cols>
  <sheetData>
    <row r="1" spans="1:9" ht="18"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6">
      <c r="A3" s="3488"/>
      <c r="B3" s="3488"/>
      <c r="C3" s="3488"/>
      <c r="D3" s="850" t="s">
        <v>925</v>
      </c>
      <c r="E3" s="850" t="s">
        <v>931</v>
      </c>
      <c r="F3" s="850" t="s">
        <v>925</v>
      </c>
      <c r="G3" s="850" t="s">
        <v>926</v>
      </c>
      <c r="H3" s="850" t="s">
        <v>925</v>
      </c>
      <c r="I3" s="850" t="s">
        <v>926</v>
      </c>
    </row>
    <row r="4" spans="1:9" ht="15">
      <c r="A4" s="1501" t="str">
        <f>项目基本情况!S2</f>
        <v>北京市房地产</v>
      </c>
      <c r="B4" s="850">
        <f>项目基本情况!C17</f>
        <v>99232.329999999987</v>
      </c>
      <c r="C4" s="850">
        <f>项目基本情况!C18</f>
        <v>12540.52</v>
      </c>
      <c r="D4" s="850" t="e">
        <f ca="1">结果表!D118</f>
        <v>#REF!</v>
      </c>
      <c r="E4" s="850" t="e">
        <f ca="1">结果表!E118</f>
        <v>#REF!</v>
      </c>
      <c r="F4" s="850" t="e">
        <f ca="1">结果表!F118</f>
        <v>#REF!</v>
      </c>
      <c r="G4" s="850" t="e">
        <f ca="1">结果表!G118</f>
        <v>#REF!</v>
      </c>
      <c r="H4" s="850">
        <f ca="1">结果表!H118</f>
        <v>80938</v>
      </c>
      <c r="I4" s="850">
        <f ca="1">结果表!I118</f>
        <v>40815</v>
      </c>
    </row>
    <row r="5" spans="1:9" ht="30" customHeight="1">
      <c r="A5" s="3488" t="s">
        <v>927</v>
      </c>
      <c r="B5" s="3488"/>
      <c r="C5" s="3488"/>
      <c r="D5" s="3488" t="e">
        <f ca="1">结果表!D119</f>
        <v>#REF!</v>
      </c>
      <c r="E5" s="3488"/>
      <c r="F5" s="3488" t="e">
        <f ca="1">结果表!F119</f>
        <v>#REF!</v>
      </c>
      <c r="G5" s="3488"/>
      <c r="H5" s="3488" t="str">
        <f ca="1">结果表!H119</f>
        <v>捌亿零玖佰叁拾捌万元整</v>
      </c>
      <c r="I5" s="3488"/>
    </row>
    <row r="6" spans="1:9" ht="15.6">
      <c r="A6" s="3489" t="str">
        <f>结果表!A120</f>
        <v>估价师知悉的法定优先受偿款</v>
      </c>
      <c r="B6" s="3489"/>
      <c r="C6" s="3489"/>
      <c r="D6" s="3489">
        <f>结果表!D120</f>
        <v>0</v>
      </c>
      <c r="E6" s="3489"/>
      <c r="F6" s="3489"/>
      <c r="G6" s="3489"/>
      <c r="H6" s="3489"/>
      <c r="I6" s="3489"/>
    </row>
    <row r="7" spans="1:9" ht="15">
      <c r="A7" s="3488" t="s">
        <v>927</v>
      </c>
      <c r="B7" s="3488"/>
      <c r="C7" s="3488"/>
      <c r="D7" s="3490" t="str">
        <f>结果表!D121</f>
        <v>零元整</v>
      </c>
      <c r="E7" s="3491"/>
      <c r="F7" s="3491"/>
      <c r="G7" s="3491"/>
      <c r="H7" s="3491"/>
      <c r="I7" s="3492"/>
    </row>
    <row r="8" spans="1:9" ht="15.6">
      <c r="A8" s="3489" t="str">
        <f>结果表!A122</f>
        <v>房地产抵押价值</v>
      </c>
      <c r="B8" s="3489"/>
      <c r="C8" s="3489"/>
      <c r="D8" s="3489">
        <f ca="1">结果表!D122</f>
        <v>80938</v>
      </c>
      <c r="E8" s="3489"/>
      <c r="F8" s="3489"/>
      <c r="G8" s="3489"/>
      <c r="H8" s="3489"/>
      <c r="I8" s="3489"/>
    </row>
    <row r="9" spans="1:9" ht="15">
      <c r="A9" s="3488" t="s">
        <v>927</v>
      </c>
      <c r="B9" s="3488"/>
      <c r="C9" s="3488"/>
      <c r="D9" s="3488" t="str">
        <f ca="1">结果表!D123</f>
        <v>捌亿零玖佰叁拾捌万元整</v>
      </c>
      <c r="E9" s="3488"/>
      <c r="F9" s="3488"/>
      <c r="G9" s="3488"/>
      <c r="H9" s="3488"/>
      <c r="I9" s="3488"/>
    </row>
    <row r="10" spans="1:9" ht="15.6">
      <c r="A10" s="3489" t="str">
        <f>结果表!A124</f>
        <v/>
      </c>
      <c r="B10" s="3489"/>
      <c r="C10" s="3489"/>
      <c r="D10" s="3489" t="str">
        <f>结果表!D124</f>
        <v>——</v>
      </c>
      <c r="E10" s="3489"/>
      <c r="F10" s="3489"/>
      <c r="G10" s="3489"/>
      <c r="H10" s="3489"/>
      <c r="I10" s="3489"/>
    </row>
    <row r="11" spans="1:9" ht="15">
      <c r="A11" s="3488" t="s">
        <v>927</v>
      </c>
      <c r="B11" s="3488"/>
      <c r="C11" s="3488"/>
      <c r="D11" s="3488" t="e">
        <f>结果表!D125</f>
        <v>#VALUE!</v>
      </c>
      <c r="E11" s="3488"/>
      <c r="F11" s="3488"/>
      <c r="G11" s="3488"/>
      <c r="H11" s="3488"/>
      <c r="I11" s="3488"/>
    </row>
    <row r="12" spans="1:9" ht="15.6">
      <c r="A12" s="3489" t="str">
        <f>结果表!A126</f>
        <v/>
      </c>
      <c r="B12" s="3489"/>
      <c r="C12" s="3489"/>
      <c r="D12" s="3489" t="str">
        <f>结果表!D126</f>
        <v>——</v>
      </c>
      <c r="E12" s="3489"/>
      <c r="F12" s="3489"/>
      <c r="G12" s="3489"/>
      <c r="H12" s="3489"/>
      <c r="I12" s="3489"/>
    </row>
    <row r="13" spans="1:9" ht="15.6" thickBot="1">
      <c r="A13" s="3493" t="s">
        <v>927</v>
      </c>
      <c r="B13" s="3493"/>
      <c r="C13" s="3493"/>
      <c r="D13" s="3493" t="e">
        <f>结果表!D127</f>
        <v>#VALUE!</v>
      </c>
      <c r="E13" s="3493"/>
      <c r="F13" s="3493"/>
      <c r="G13" s="3493"/>
      <c r="H13" s="3493"/>
      <c r="I13" s="3493"/>
    </row>
    <row r="14" spans="1:9" ht="14.4" thickTop="1">
      <c r="A14" s="3494" t="s">
        <v>932</v>
      </c>
      <c r="B14" s="3494"/>
      <c r="C14" s="3494"/>
      <c r="D14" s="3494"/>
      <c r="E14" s="3494"/>
      <c r="F14" s="3494"/>
      <c r="G14" s="3494"/>
      <c r="H14" s="3494"/>
      <c r="I14" s="3494"/>
    </row>
    <row r="16" spans="1:9" ht="17.399999999999999">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3" customWidth="1"/>
    <col min="2" max="3" width="22.33203125" style="1473" customWidth="1"/>
    <col min="4" max="4" width="23" style="1473" customWidth="1"/>
    <col min="5" max="16384" width="9" style="1473"/>
  </cols>
  <sheetData>
    <row r="1" spans="1:4" ht="17.399999999999999">
      <c r="A1" s="3495" t="s">
        <v>949</v>
      </c>
      <c r="B1" s="3495"/>
      <c r="C1" s="3495"/>
      <c r="D1" s="3495"/>
    </row>
    <row r="2" spans="1:4" ht="17.399999999999999">
      <c r="A2" s="3496" t="s">
        <v>933</v>
      </c>
      <c r="B2" s="3496"/>
      <c r="C2" s="3496"/>
      <c r="D2" s="3496"/>
    </row>
    <row r="3" spans="1:4" ht="17.399999999999999">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7.399999999999999">
      <c r="A6" s="3496" t="s">
        <v>939</v>
      </c>
      <c r="B6" s="3496"/>
      <c r="C6" s="3496"/>
      <c r="D6" s="3496"/>
    </row>
    <row r="7" spans="1:4" ht="17.399999999999999">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7.399999999999999">
      <c r="A10" s="1512" t="s">
        <v>941</v>
      </c>
      <c r="B10" s="673"/>
      <c r="C10" s="673"/>
      <c r="D10" s="673"/>
    </row>
    <row r="11" spans="1:4" ht="30" customHeight="1">
      <c r="A11" s="3497" t="s">
        <v>942</v>
      </c>
      <c r="B11" s="3498"/>
      <c r="C11" s="3498"/>
      <c r="D11" s="3498"/>
    </row>
    <row r="12" spans="1:4" ht="15.6">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8" t="str">
        <f>IF(项目基本情况!B8="抵押","4.本次评估估价师所知悉的法定优先受偿款情况说明如下：","——")</f>
        <v>4.本次评估估价师所知悉的法定优先受偿款情况说明如下：</v>
      </c>
      <c r="B14" s="3499"/>
      <c r="C14" s="3499"/>
      <c r="D14" s="3499"/>
    </row>
    <row r="15" spans="1:4" ht="42" customHeight="1">
      <c r="A15" s="34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8"/>
      <c r="C15" s="3498"/>
      <c r="D15" s="3498"/>
    </row>
    <row r="16" spans="1:4" ht="30" customHeight="1">
      <c r="A16" s="3501" t="s">
        <v>943</v>
      </c>
      <c r="B16" s="3501"/>
      <c r="C16" s="3501"/>
      <c r="D16" s="3501"/>
    </row>
    <row r="17" spans="1:4" ht="144" customHeight="1">
      <c r="A17" s="3501" t="s">
        <v>944</v>
      </c>
      <c r="B17" s="3501"/>
      <c r="C17" s="3501"/>
      <c r="D17" s="3501"/>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8"/>
      <c r="C20" s="3498"/>
      <c r="D20" s="3498"/>
    </row>
    <row r="21" spans="1:4" ht="57.75" customHeight="1">
      <c r="A21" s="35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2"/>
      <c r="C21" s="3502"/>
      <c r="D21" s="3502"/>
    </row>
    <row r="22" spans="1:4" ht="18.75" customHeight="1">
      <c r="A22" s="3503" t="s">
        <v>945</v>
      </c>
      <c r="B22" s="3503"/>
      <c r="C22" s="3503"/>
      <c r="D22" s="3503"/>
    </row>
    <row r="23" spans="1:4">
      <c r="A23" s="1513"/>
      <c r="B23" s="1485"/>
      <c r="C23" s="1485"/>
      <c r="D23" s="1485"/>
    </row>
    <row r="24" spans="1:4">
      <c r="A24" s="1513"/>
      <c r="B24" s="1485"/>
      <c r="C24" s="1485"/>
      <c r="D24" s="1485"/>
    </row>
    <row r="25" spans="1:4" ht="17.399999999999999">
      <c r="A25" s="1514" t="s">
        <v>946</v>
      </c>
    </row>
    <row r="26" spans="1:4" ht="17.399999999999999">
      <c r="A26" s="1483"/>
    </row>
    <row r="27" spans="1:4" ht="17.399999999999999">
      <c r="A27" s="1483" t="s">
        <v>947</v>
      </c>
    </row>
    <row r="30" spans="1:4" ht="17.399999999999999">
      <c r="D30" s="1514" t="s">
        <v>948</v>
      </c>
    </row>
    <row r="31" spans="1:4" ht="13.5" customHeight="1">
      <c r="C31" s="3500">
        <v>42551</v>
      </c>
      <c r="D31" s="35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1" customWidth="1"/>
    <col min="3" max="10" width="12.44140625" style="1471" customWidth="1"/>
    <col min="11" max="16384" width="9" style="1471"/>
  </cols>
  <sheetData>
    <row r="1" spans="1:10" ht="17.399999999999999">
      <c r="A1" s="1504" t="s">
        <v>391</v>
      </c>
      <c r="B1" s="1515"/>
      <c r="C1" s="1515"/>
      <c r="D1" s="1515"/>
      <c r="E1" s="1515"/>
      <c r="F1" s="1515"/>
      <c r="G1" s="1515"/>
      <c r="H1" s="1515"/>
      <c r="I1" s="1515"/>
      <c r="J1" s="1515"/>
    </row>
    <row r="2" spans="1:10" ht="17.399999999999999">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1" customWidth="1"/>
    <col min="2" max="16384" width="14.44140625" style="1503"/>
  </cols>
  <sheetData>
    <row r="1" spans="1:7" s="1518" customFormat="1" ht="17.399999999999999">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4.4">
      <c r="A15" s="3509" t="s">
        <v>956</v>
      </c>
      <c r="B15" s="3504" t="s">
        <v>109</v>
      </c>
      <c r="C15" s="3505"/>
    </row>
    <row r="16" spans="1:7" ht="14.4">
      <c r="A16" s="3510"/>
      <c r="B16" s="3504" t="s">
        <v>42</v>
      </c>
      <c r="C16" s="3505"/>
    </row>
    <row r="17" spans="1:3" ht="14.4">
      <c r="A17" s="3510"/>
      <c r="B17" s="3507" t="s">
        <v>957</v>
      </c>
      <c r="C17" s="1528" t="s">
        <v>956</v>
      </c>
    </row>
    <row r="18" spans="1:3" ht="14.4">
      <c r="A18" s="3510"/>
      <c r="B18" s="3507"/>
      <c r="C18" s="1528" t="s">
        <v>958</v>
      </c>
    </row>
    <row r="19" spans="1:3" ht="14.4">
      <c r="A19" s="3510"/>
      <c r="B19" s="3507"/>
      <c r="C19" s="1528" t="s">
        <v>959</v>
      </c>
    </row>
    <row r="20" spans="1:3" ht="14.4">
      <c r="A20" s="3511"/>
      <c r="B20" s="3506" t="s">
        <v>960</v>
      </c>
      <c r="C20" s="3505"/>
    </row>
    <row r="21" spans="1:3" ht="14.4">
      <c r="A21" s="1529" t="s">
        <v>961</v>
      </c>
      <c r="B21" s="1530"/>
      <c r="C21" s="1531"/>
    </row>
    <row r="22" spans="1:3" ht="14.4">
      <c r="A22" s="3508" t="s">
        <v>962</v>
      </c>
      <c r="B22" s="3506" t="s">
        <v>963</v>
      </c>
      <c r="C22" s="3505"/>
    </row>
    <row r="23" spans="1:3" ht="14.4">
      <c r="A23" s="3508"/>
      <c r="B23" s="3506" t="s">
        <v>964</v>
      </c>
      <c r="C23" s="3505"/>
    </row>
    <row r="24" spans="1:3" ht="14.4">
      <c r="A24" s="3508"/>
      <c r="B24" s="3506" t="s">
        <v>965</v>
      </c>
      <c r="C24" s="3505"/>
    </row>
    <row r="25" spans="1:3" ht="14.4">
      <c r="A25" s="3508"/>
      <c r="B25" s="3507" t="s">
        <v>966</v>
      </c>
      <c r="C25" s="1528" t="s">
        <v>967</v>
      </c>
    </row>
    <row r="26" spans="1:3" ht="14.4">
      <c r="A26" s="3508"/>
      <c r="B26" s="3507"/>
      <c r="C26" s="1528" t="s">
        <v>968</v>
      </c>
    </row>
    <row r="27" spans="1:3" ht="14.4">
      <c r="A27" s="3508"/>
      <c r="B27" s="3507"/>
      <c r="C27" s="1528" t="s">
        <v>969</v>
      </c>
    </row>
    <row r="28" spans="1:3" ht="14.4">
      <c r="A28" s="3508"/>
      <c r="B28" s="3507"/>
      <c r="C28" s="1528" t="s">
        <v>970</v>
      </c>
    </row>
    <row r="29" spans="1:3" ht="14.4">
      <c r="A29" s="3508"/>
      <c r="B29" s="3507"/>
      <c r="C29" s="1528" t="s">
        <v>971</v>
      </c>
    </row>
    <row r="30" spans="1:3" ht="14.4">
      <c r="A30" s="3508"/>
      <c r="B30" s="3507"/>
      <c r="C30" s="1528" t="s">
        <v>972</v>
      </c>
    </row>
    <row r="31" spans="1:3" ht="14.4">
      <c r="A31" s="3508"/>
      <c r="B31" s="3507"/>
      <c r="C31" s="1528" t="s">
        <v>973</v>
      </c>
    </row>
    <row r="32" spans="1:3" ht="14.4">
      <c r="A32" s="3508"/>
      <c r="B32" s="3507"/>
      <c r="C32" s="1528" t="s">
        <v>974</v>
      </c>
    </row>
    <row r="33" spans="1:3" ht="14.4">
      <c r="A33" s="3508"/>
      <c r="B33" s="3507"/>
      <c r="C33" s="1528" t="s">
        <v>975</v>
      </c>
    </row>
    <row r="34" spans="1:3">
      <c r="A34" s="1532" t="s">
        <v>49</v>
      </c>
    </row>
    <row r="37" spans="1:3">
      <c r="A37" s="1532" t="s">
        <v>976</v>
      </c>
    </row>
    <row r="38" spans="1:3" ht="14.4">
      <c r="A38" s="1533" t="s">
        <v>50</v>
      </c>
    </row>
    <row r="39" spans="1:3" ht="14.4">
      <c r="A39" s="1533" t="s">
        <v>51</v>
      </c>
    </row>
    <row r="40" spans="1:3" ht="14.4">
      <c r="A40" s="1533" t="s">
        <v>52</v>
      </c>
    </row>
    <row r="41" spans="1:3" ht="14.4">
      <c r="A41" s="1534" t="s">
        <v>53</v>
      </c>
    </row>
    <row r="42" spans="1:3" ht="14.4">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3" customWidth="1"/>
    <col min="2" max="2" width="38.6640625" style="2333" customWidth="1"/>
    <col min="3" max="3" width="26" style="2333" customWidth="1"/>
    <col min="4" max="4" width="35" style="2333" hidden="1" customWidth="1"/>
    <col min="5" max="5" width="30.109375" style="2333" customWidth="1"/>
    <col min="6" max="6" width="35.44140625" style="2333" customWidth="1"/>
    <col min="7" max="7" width="31" style="2333" customWidth="1"/>
    <col min="8" max="8" width="37.44140625" style="2333" hidden="1" customWidth="1"/>
    <col min="9" max="16384" width="22.6640625" style="2333"/>
  </cols>
  <sheetData>
    <row r="1" spans="1:8" ht="24" customHeight="1">
      <c r="A1" s="2332"/>
      <c r="B1" s="2332"/>
      <c r="C1" s="2332"/>
      <c r="D1" s="2332"/>
      <c r="E1" s="2332"/>
      <c r="F1" s="2332"/>
      <c r="G1" s="2332"/>
      <c r="H1" s="2332"/>
    </row>
    <row r="2" spans="1:8" ht="24" customHeight="1">
      <c r="A2" s="2334" t="s">
        <v>2139</v>
      </c>
      <c r="B2" s="2335">
        <f ca="1">TODAY()</f>
        <v>44995</v>
      </c>
      <c r="C2" s="2336" t="s">
        <v>2140</v>
      </c>
      <c r="D2" s="2336"/>
      <c r="E2" s="2336"/>
      <c r="F2" s="2332"/>
      <c r="G2" s="2332"/>
      <c r="H2" s="2332"/>
    </row>
    <row r="3" spans="1:8" ht="24" customHeight="1">
      <c r="A3" s="2337" t="s">
        <v>2141</v>
      </c>
      <c r="B3" s="2338" t="s">
        <v>2142</v>
      </c>
      <c r="C3" s="2338" t="s">
        <v>2143</v>
      </c>
      <c r="D3" s="2339" t="s">
        <v>2144</v>
      </c>
      <c r="E3" s="2340" t="s">
        <v>2145</v>
      </c>
      <c r="F3" s="1300" t="s">
        <v>2146</v>
      </c>
      <c r="G3" s="2338" t="s">
        <v>2143</v>
      </c>
      <c r="H3" s="2339" t="s">
        <v>2147</v>
      </c>
    </row>
    <row r="4" spans="1:8" ht="24" customHeight="1">
      <c r="A4" s="1300" t="s">
        <v>2148</v>
      </c>
      <c r="B4" s="1300">
        <f ca="1">IF(C4&lt;B2,"已过期",1119970066)</f>
        <v>1119970066</v>
      </c>
      <c r="C4" s="2341">
        <v>45937</v>
      </c>
      <c r="D4" s="2342" t="str">
        <f ca="1">A4&amp;"（注册号："&amp;B4&amp;"）"</f>
        <v>梁津（注册号：1119970066）</v>
      </c>
      <c r="E4" s="2343" t="s">
        <v>2148</v>
      </c>
      <c r="F4" s="1300">
        <f ca="1">IF(G4&lt;B2,"已过期",96010014)</f>
        <v>96010014</v>
      </c>
      <c r="G4" s="2344">
        <v>47118</v>
      </c>
      <c r="H4" s="2345" t="str">
        <f ca="1">E4&amp;"（注册号："&amp;F4&amp;"）"</f>
        <v>梁津（注册号：96010014）</v>
      </c>
    </row>
    <row r="5" spans="1:8" ht="24" customHeight="1">
      <c r="A5" s="1300" t="s">
        <v>2149</v>
      </c>
      <c r="B5" s="1300">
        <f ca="1">IF(C5&lt;B2,"已过期",1119970111)</f>
        <v>1119970111</v>
      </c>
      <c r="C5" s="2341">
        <v>45937</v>
      </c>
      <c r="D5" s="2342" t="str">
        <f t="shared" ref="D5:D15" ca="1" si="0">A5&amp;"（注册号："&amp;B5&amp;"）"</f>
        <v>叶凌（注册号：1119970111）</v>
      </c>
      <c r="E5" s="2343" t="s">
        <v>2149</v>
      </c>
      <c r="F5" s="1300">
        <f ca="1">IF(G5&lt;B2,"已过期",94010078)</f>
        <v>94010078</v>
      </c>
      <c r="G5" s="2344">
        <v>46387</v>
      </c>
      <c r="H5" s="2345" t="str">
        <f t="shared" ref="H5:H16" ca="1" si="1">E5&amp;"（注册号："&amp;F5&amp;"）"</f>
        <v>叶凌（注册号：94010078）</v>
      </c>
    </row>
    <row r="6" spans="1:8" ht="24" customHeight="1">
      <c r="A6" s="1300" t="s">
        <v>2150</v>
      </c>
      <c r="B6" s="1300">
        <f ca="1">IF(C6&lt;B2,"已过期",1120050019)</f>
        <v>1120050019</v>
      </c>
      <c r="C6" s="2341">
        <v>45410</v>
      </c>
      <c r="D6" s="2342" t="str">
        <f t="shared" ca="1" si="0"/>
        <v>王鹏（注册号：1120050019）</v>
      </c>
      <c r="E6" s="2343" t="s">
        <v>2150</v>
      </c>
      <c r="F6" s="1300">
        <f ca="1">IF(G6&lt;B2,"已过期",2002110030)</f>
        <v>2002110030</v>
      </c>
      <c r="G6" s="2344">
        <v>46387</v>
      </c>
      <c r="H6" s="2345" t="str">
        <f t="shared" ca="1" si="1"/>
        <v>王鹏（注册号：2002110030）</v>
      </c>
    </row>
    <row r="7" spans="1:8" ht="24" customHeight="1">
      <c r="A7" s="1300" t="s">
        <v>2151</v>
      </c>
      <c r="B7" s="1300">
        <f ca="1">IF(C7&lt;B2,"已过期",1120000080)</f>
        <v>1120000080</v>
      </c>
      <c r="C7" s="2341">
        <v>45937</v>
      </c>
      <c r="D7" s="2342" t="str">
        <f t="shared" ca="1" si="0"/>
        <v>欧红伟（注册号：1120000080）</v>
      </c>
      <c r="E7" s="2343" t="s">
        <v>2151</v>
      </c>
      <c r="F7" s="1300">
        <f ca="1">IF(G7&lt;B2,"已过期",2000110082)</f>
        <v>2000110082</v>
      </c>
      <c r="G7" s="2344">
        <v>46387</v>
      </c>
      <c r="H7" s="2345" t="str">
        <f t="shared" ca="1" si="1"/>
        <v>欧红伟（注册号：2000110082）</v>
      </c>
    </row>
    <row r="8" spans="1:8" ht="24" customHeight="1">
      <c r="A8" s="1300" t="s">
        <v>2152</v>
      </c>
      <c r="B8" s="1300">
        <f ca="1">IF(C8&lt;B2,"已过期",1419970001)</f>
        <v>1419970001</v>
      </c>
      <c r="C8" s="2341">
        <v>45937</v>
      </c>
      <c r="D8" s="2342" t="str">
        <f t="shared" ca="1" si="0"/>
        <v>吴薇（注册号：1419970001）</v>
      </c>
      <c r="E8" s="2343" t="s">
        <v>2152</v>
      </c>
      <c r="F8" s="1300">
        <f ca="1">IF(G8&lt;B2,"已过期",2002110125)</f>
        <v>2002110125</v>
      </c>
      <c r="G8" s="2344">
        <v>47118</v>
      </c>
      <c r="H8" s="2345" t="str">
        <f t="shared" ca="1" si="1"/>
        <v>吴薇（注册号：2002110125）</v>
      </c>
    </row>
    <row r="9" spans="1:8" ht="24" customHeight="1">
      <c r="A9" s="1300" t="s">
        <v>2153</v>
      </c>
      <c r="B9" s="1300">
        <f ca="1">IF(C9&lt;B2,"已过期",1120060040)</f>
        <v>1120060040</v>
      </c>
      <c r="C9" s="2346">
        <v>45592</v>
      </c>
      <c r="D9" s="2342" t="str">
        <f t="shared" ca="1" si="0"/>
        <v>陈颖（注册号：1120060040）</v>
      </c>
      <c r="E9" s="2343" t="s">
        <v>2153</v>
      </c>
      <c r="F9" s="1300">
        <f ca="1">IF(G9&lt;B2,"已过期",2004110096)</f>
        <v>2004110096</v>
      </c>
      <c r="G9" s="2344">
        <v>47118</v>
      </c>
      <c r="H9" s="2345" t="str">
        <f t="shared" ca="1" si="1"/>
        <v>陈颖（注册号：2004110096）</v>
      </c>
    </row>
    <row r="10" spans="1:8" ht="24" customHeight="1">
      <c r="A10" s="1300" t="s">
        <v>2154</v>
      </c>
      <c r="B10" s="1300">
        <f ca="1">IF(C10&lt;B2,"已过期",1120100036)</f>
        <v>1120100036</v>
      </c>
      <c r="C10" s="2346">
        <v>45752</v>
      </c>
      <c r="D10" s="2342" t="str">
        <f t="shared" ca="1" si="0"/>
        <v>崔锴（注册号：1120100036）</v>
      </c>
      <c r="E10" s="2343" t="s">
        <v>2154</v>
      </c>
      <c r="F10" s="1300">
        <f ca="1">IF(G10&lt;B2,"已过期",2010110070)</f>
        <v>2010110070</v>
      </c>
      <c r="G10" s="2344">
        <v>47907</v>
      </c>
      <c r="H10" s="2345" t="str">
        <f t="shared" ca="1" si="1"/>
        <v>崔锴（注册号：2010110070）</v>
      </c>
    </row>
    <row r="11" spans="1:8" ht="24" customHeight="1">
      <c r="A11" s="1300" t="s">
        <v>2155</v>
      </c>
      <c r="B11" s="1300">
        <f ca="1">IF(C11&lt;B2,"已过期",1120070131)</f>
        <v>1120070131</v>
      </c>
      <c r="C11" s="2341">
        <v>45937</v>
      </c>
      <c r="D11" s="2342" t="str">
        <f t="shared" ca="1" si="0"/>
        <v>郑燚（注册号：1120070131）</v>
      </c>
      <c r="E11" s="2343" t="s">
        <v>2155</v>
      </c>
      <c r="F11" s="1300">
        <f ca="1">IF(G11&lt;B2,"已过期",2014110011)</f>
        <v>2014110011</v>
      </c>
      <c r="G11" s="2344">
        <v>49302</v>
      </c>
      <c r="H11" s="2345" t="str">
        <f t="shared" ca="1" si="1"/>
        <v>郑燚（注册号：2014110011）</v>
      </c>
    </row>
    <row r="12" spans="1:8" ht="24" customHeight="1">
      <c r="A12" s="1300" t="s">
        <v>2156</v>
      </c>
      <c r="B12" s="1300">
        <f ca="1">IF(C12&lt;B2,"已过期",1120040230)</f>
        <v>1120040230</v>
      </c>
      <c r="C12" s="2346">
        <v>45937</v>
      </c>
      <c r="D12" s="2342" t="str">
        <f t="shared" ca="1" si="0"/>
        <v>苏海（注册号：1120040230）</v>
      </c>
      <c r="E12" s="2343" t="s">
        <v>2156</v>
      </c>
      <c r="F12" s="1300">
        <f ca="1">IF(G12&lt;B2,"已过期",98030020)</f>
        <v>98030020</v>
      </c>
      <c r="G12" s="2344">
        <v>47118</v>
      </c>
      <c r="H12" s="2345" t="str">
        <f t="shared" ca="1" si="1"/>
        <v>苏海（注册号：98030020）</v>
      </c>
    </row>
    <row r="13" spans="1:8" ht="24" customHeight="1">
      <c r="A13" s="1300" t="s">
        <v>2157</v>
      </c>
      <c r="B13" s="1300">
        <f ca="1">IF(C13&lt;B2,"已过期",1120020033)</f>
        <v>1120020033</v>
      </c>
      <c r="C13" s="2341">
        <v>45375</v>
      </c>
      <c r="D13" s="2342" t="str">
        <f t="shared" ca="1" si="0"/>
        <v>刘敬东（注册号：1120020033）</v>
      </c>
      <c r="E13" s="2343" t="s">
        <v>2157</v>
      </c>
      <c r="F13" s="1300">
        <f ca="1">IF(G13&lt;B2,"已过期",2000110137)</f>
        <v>2000110137</v>
      </c>
      <c r="G13" s="2344">
        <v>46387</v>
      </c>
      <c r="H13" s="2345" t="str">
        <f t="shared" ca="1" si="1"/>
        <v>刘敬东（注册号：2000110137）</v>
      </c>
    </row>
    <row r="14" spans="1:8" ht="24" customHeight="1">
      <c r="A14" s="1300" t="s">
        <v>2158</v>
      </c>
      <c r="B14" s="1300" t="str">
        <f ca="1">IF(C14&lt;B2,"已过期",1119980106)</f>
        <v>已过期</v>
      </c>
      <c r="C14" s="2346">
        <v>44969</v>
      </c>
      <c r="D14" s="2342" t="str">
        <f t="shared" ca="1" si="0"/>
        <v>刘俊财（注册号：已过期）</v>
      </c>
      <c r="E14" s="2343" t="s">
        <v>2158</v>
      </c>
      <c r="F14" s="1300">
        <f ca="1">IF(G14&lt;B2,"已过期",96010063)</f>
        <v>96010063</v>
      </c>
      <c r="G14" s="2344">
        <v>47483</v>
      </c>
      <c r="H14" s="2345" t="str">
        <f t="shared" ca="1" si="1"/>
        <v>刘俊财（注册号：96010063）</v>
      </c>
    </row>
    <row r="15" spans="1:8" ht="24" customHeight="1">
      <c r="A15" s="1300" t="s">
        <v>2440</v>
      </c>
      <c r="B15" s="1300">
        <v>1120210056</v>
      </c>
      <c r="C15" s="2346">
        <v>45410</v>
      </c>
      <c r="D15" s="2342" t="str">
        <f t="shared" si="0"/>
        <v>宁小鳗（注册号：1120210056）</v>
      </c>
      <c r="E15" s="2343" t="s">
        <v>2159</v>
      </c>
      <c r="F15" s="1300">
        <f ca="1">IF(G15&lt;B2,"已过期",2011110090)</f>
        <v>2011110090</v>
      </c>
      <c r="G15" s="2344">
        <v>48302</v>
      </c>
      <c r="H15" s="2345" t="str">
        <f t="shared" ca="1" si="1"/>
        <v>赵雯（注册号：2011110090）</v>
      </c>
    </row>
    <row r="16" spans="1:8" s="2348" customFormat="1" ht="24" customHeight="1">
      <c r="A16" s="1300"/>
      <c r="B16" s="1300"/>
      <c r="C16" s="1300"/>
      <c r="D16" s="2342" t="str">
        <f>A16&amp;"（注册号："&amp;B16&amp;"）"</f>
        <v>（注册号：）</v>
      </c>
      <c r="E16" s="2343"/>
      <c r="F16" s="1300"/>
      <c r="G16" s="1300"/>
      <c r="H16" s="2347"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9"/>
      <c r="E18" s="3514" t="s">
        <v>2162</v>
      </c>
      <c r="F18" s="3513"/>
      <c r="G18" s="3513"/>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2441</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76" priority="53">
      <formula>AND($C4-TODAY()&lt;30,TODAY()&lt;$C4)</formula>
    </cfRule>
  </conditionalFormatting>
  <conditionalFormatting sqref="C20:D20">
    <cfRule type="expression" dxfId="275" priority="52">
      <formula>AND($C20-TODAY()&lt;30,TODAY()&lt;$C20)</formula>
    </cfRule>
  </conditionalFormatting>
  <conditionalFormatting sqref="C20:D20 G4 C4:D5 C13:D13">
    <cfRule type="cellIs" dxfId="274" priority="54" stopIfTrue="1" operator="lessThan">
      <formula>$B$2</formula>
    </cfRule>
  </conditionalFormatting>
  <conditionalFormatting sqref="G5 G7 G9">
    <cfRule type="cellIs" dxfId="273" priority="51" stopIfTrue="1" operator="lessThan">
      <formula>$B$2</formula>
    </cfRule>
  </conditionalFormatting>
  <conditionalFormatting sqref="C6:D6 D14 D16">
    <cfRule type="expression" dxfId="272" priority="49">
      <formula>AND($C6-TODAY()&lt;30,TODAY()&lt;$C6)</formula>
    </cfRule>
  </conditionalFormatting>
  <conditionalFormatting sqref="G6 G8 G10 C6:D6 D7:D12 D14 D16">
    <cfRule type="cellIs" dxfId="271" priority="50" stopIfTrue="1" operator="lessThan">
      <formula>$B$2</formula>
    </cfRule>
  </conditionalFormatting>
  <conditionalFormatting sqref="D12">
    <cfRule type="expression" dxfId="270" priority="47">
      <formula>AND($C12-TODAY()&lt;30,TODAY()&lt;$C12)</formula>
    </cfRule>
  </conditionalFormatting>
  <conditionalFormatting sqref="D12">
    <cfRule type="cellIs" dxfId="269" priority="48" stopIfTrue="1" operator="lessThan">
      <formula>$B$2</formula>
    </cfRule>
  </conditionalFormatting>
  <conditionalFormatting sqref="C13:D13">
    <cfRule type="expression" dxfId="268" priority="45">
      <formula>AND($C13-TODAY()&lt;30,TODAY()&lt;$C13)</formula>
    </cfRule>
  </conditionalFormatting>
  <conditionalFormatting sqref="C13:D13">
    <cfRule type="cellIs" dxfId="267" priority="46" stopIfTrue="1" operator="lessThan">
      <formula>$B$2</formula>
    </cfRule>
  </conditionalFormatting>
  <conditionalFormatting sqref="D14">
    <cfRule type="expression" dxfId="266" priority="43">
      <formula>AND($C14-TODAY()&lt;30,TODAY()&lt;$C14)</formula>
    </cfRule>
  </conditionalFormatting>
  <conditionalFormatting sqref="D14">
    <cfRule type="cellIs" dxfId="265" priority="44" stopIfTrue="1" operator="lessThan">
      <formula>$B$2</formula>
    </cfRule>
  </conditionalFormatting>
  <conditionalFormatting sqref="G13">
    <cfRule type="cellIs" dxfId="264" priority="42" stopIfTrue="1" operator="lessThan">
      <formula>$B$2</formula>
    </cfRule>
  </conditionalFormatting>
  <conditionalFormatting sqref="B4:B11 F4:F11 B13 F13:F14">
    <cfRule type="cellIs" dxfId="263" priority="41" stopIfTrue="1" operator="equal">
      <formula>"已过期"</formula>
    </cfRule>
  </conditionalFormatting>
  <conditionalFormatting sqref="C7">
    <cfRule type="cellIs" dxfId="262" priority="38" stopIfTrue="1" operator="lessThan">
      <formula>$B$2</formula>
    </cfRule>
  </conditionalFormatting>
  <conditionalFormatting sqref="C7">
    <cfRule type="expression" dxfId="261" priority="37">
      <formula>AND($C7-TODAY()&lt;30,TODAY()&lt;$C7)</formula>
    </cfRule>
  </conditionalFormatting>
  <conditionalFormatting sqref="C8">
    <cfRule type="expression" dxfId="260" priority="35">
      <formula>AND($C8-TODAY()&lt;30,TODAY()&lt;$C8)</formula>
    </cfRule>
  </conditionalFormatting>
  <conditionalFormatting sqref="C8">
    <cfRule type="cellIs" dxfId="259" priority="36" stopIfTrue="1" operator="lessThan">
      <formula>$B$2</formula>
    </cfRule>
  </conditionalFormatting>
  <conditionalFormatting sqref="C11">
    <cfRule type="expression" dxfId="258" priority="33">
      <formula>AND($C11-TODAY()&lt;30,TODAY()&lt;$C11)</formula>
    </cfRule>
  </conditionalFormatting>
  <conditionalFormatting sqref="C11">
    <cfRule type="cellIs" dxfId="257" priority="34" stopIfTrue="1" operator="lessThan">
      <formula>$B$2</formula>
    </cfRule>
  </conditionalFormatting>
  <conditionalFormatting sqref="A16:C16">
    <cfRule type="cellIs" dxfId="256" priority="32" stopIfTrue="1" operator="equal">
      <formula>"已过期"</formula>
    </cfRule>
  </conditionalFormatting>
  <conditionalFormatting sqref="E16:G16">
    <cfRule type="cellIs" dxfId="255" priority="31" stopIfTrue="1" operator="equal">
      <formula>"已过期"</formula>
    </cfRule>
  </conditionalFormatting>
  <conditionalFormatting sqref="G11">
    <cfRule type="cellIs" dxfId="254" priority="30" stopIfTrue="1" operator="lessThan">
      <formula>$B$2</formula>
    </cfRule>
  </conditionalFormatting>
  <conditionalFormatting sqref="F12">
    <cfRule type="cellIs" dxfId="253" priority="29" stopIfTrue="1" operator="equal">
      <formula>"已过期"</formula>
    </cfRule>
  </conditionalFormatting>
  <conditionalFormatting sqref="G12">
    <cfRule type="cellIs" dxfId="252" priority="28" stopIfTrue="1" operator="lessThan">
      <formula>$B$2</formula>
    </cfRule>
  </conditionalFormatting>
  <conditionalFormatting sqref="C12">
    <cfRule type="cellIs" dxfId="251" priority="27" stopIfTrue="1" operator="lessThan">
      <formula>$B$2</formula>
    </cfRule>
  </conditionalFormatting>
  <conditionalFormatting sqref="C12">
    <cfRule type="expression" dxfId="250" priority="25">
      <formula>AND($C12-TODAY()&lt;30,TODAY()&lt;$C12)</formula>
    </cfRule>
  </conditionalFormatting>
  <conditionalFormatting sqref="C12">
    <cfRule type="cellIs" dxfId="249" priority="26" stopIfTrue="1" operator="lessThan">
      <formula>$B$2</formula>
    </cfRule>
  </conditionalFormatting>
  <conditionalFormatting sqref="B12">
    <cfRule type="cellIs" dxfId="248" priority="24" stopIfTrue="1" operator="equal">
      <formula>"已过期"</formula>
    </cfRule>
  </conditionalFormatting>
  <conditionalFormatting sqref="C9:C10">
    <cfRule type="expression" dxfId="247" priority="22">
      <formula>AND($C9-TODAY()&lt;30,TODAY()&lt;$C9)</formula>
    </cfRule>
  </conditionalFormatting>
  <conditionalFormatting sqref="C9:C10">
    <cfRule type="cellIs" dxfId="246" priority="23" stopIfTrue="1" operator="lessThan">
      <formula>$B$2</formula>
    </cfRule>
  </conditionalFormatting>
  <conditionalFormatting sqref="G21">
    <cfRule type="expression" dxfId="245" priority="20" stopIfTrue="1">
      <formula>AND(#REF!-TODAY()&lt;30,TODAY()&lt;#REF!)</formula>
    </cfRule>
  </conditionalFormatting>
  <conditionalFormatting sqref="G21">
    <cfRule type="cellIs" dxfId="244" priority="21" stopIfTrue="1" operator="lessThan">
      <formula>$B$2</formula>
    </cfRule>
  </conditionalFormatting>
  <conditionalFormatting sqref="C14">
    <cfRule type="expression" dxfId="243" priority="18">
      <formula>AND($C14-TODAY()&lt;30,TODAY()&lt;$C14)</formula>
    </cfRule>
  </conditionalFormatting>
  <conditionalFormatting sqref="C14">
    <cfRule type="cellIs" dxfId="242" priority="19" stopIfTrue="1" operator="lessThan">
      <formula>$B$2</formula>
    </cfRule>
  </conditionalFormatting>
  <conditionalFormatting sqref="C14">
    <cfRule type="expression" dxfId="241" priority="16">
      <formula>AND($C14-TODAY()&lt;30,TODAY()&lt;$C14)</formula>
    </cfRule>
  </conditionalFormatting>
  <conditionalFormatting sqref="C14">
    <cfRule type="cellIs" dxfId="240" priority="17" stopIfTrue="1" operator="lessThan">
      <formula>$B$2</formula>
    </cfRule>
  </conditionalFormatting>
  <conditionalFormatting sqref="B14">
    <cfRule type="cellIs" dxfId="239" priority="15" stopIfTrue="1" operator="equal">
      <formula>"已过期"</formula>
    </cfRule>
  </conditionalFormatting>
  <conditionalFormatting sqref="G14">
    <cfRule type="cellIs" dxfId="238" priority="14" stopIfTrue="1" operator="lessThan">
      <formula>$B$2</formula>
    </cfRule>
  </conditionalFormatting>
  <conditionalFormatting sqref="D15">
    <cfRule type="expression" dxfId="237" priority="12">
      <formula>AND($C15-TODAY()&lt;30,TODAY()&lt;$C15)</formula>
    </cfRule>
  </conditionalFormatting>
  <conditionalFormatting sqref="D15">
    <cfRule type="cellIs" dxfId="236" priority="13" stopIfTrue="1" operator="lessThan">
      <formula>$B$2</formula>
    </cfRule>
  </conditionalFormatting>
  <conditionalFormatting sqref="D15">
    <cfRule type="expression" dxfId="235" priority="10">
      <formula>AND($C15-TODAY()&lt;30,TODAY()&lt;$C15)</formula>
    </cfRule>
  </conditionalFormatting>
  <conditionalFormatting sqref="D15">
    <cfRule type="cellIs" dxfId="234" priority="11" stopIfTrue="1" operator="lessThan">
      <formula>$B$2</formula>
    </cfRule>
  </conditionalFormatting>
  <conditionalFormatting sqref="F15">
    <cfRule type="cellIs" dxfId="233" priority="9" stopIfTrue="1" operator="equal">
      <formula>"已过期"</formula>
    </cfRule>
  </conditionalFormatting>
  <conditionalFormatting sqref="C15">
    <cfRule type="expression" dxfId="232" priority="7">
      <formula>AND($C15-TODAY()&lt;30,TODAY()&lt;$C15)</formula>
    </cfRule>
  </conditionalFormatting>
  <conditionalFormatting sqref="C15">
    <cfRule type="cellIs" dxfId="231" priority="8" stopIfTrue="1" operator="lessThan">
      <formula>$B$2</formula>
    </cfRule>
  </conditionalFormatting>
  <conditionalFormatting sqref="C15">
    <cfRule type="expression" dxfId="230" priority="5">
      <formula>AND($C15-TODAY()&lt;30,TODAY()&lt;$C15)</formula>
    </cfRule>
  </conditionalFormatting>
  <conditionalFormatting sqref="C15">
    <cfRule type="cellIs" dxfId="229" priority="6" stopIfTrue="1" operator="lessThan">
      <formula>$B$2</formula>
    </cfRule>
  </conditionalFormatting>
  <conditionalFormatting sqref="B15">
    <cfRule type="cellIs" dxfId="228" priority="4" stopIfTrue="1" operator="equal">
      <formula>"已过期"</formula>
    </cfRule>
  </conditionalFormatting>
  <conditionalFormatting sqref="G15">
    <cfRule type="cellIs" dxfId="227" priority="3" stopIfTrue="1" operator="lessThan">
      <formula>$B$2</formula>
    </cfRule>
  </conditionalFormatting>
  <conditionalFormatting sqref="G20">
    <cfRule type="expression" dxfId="226" priority="1" stopIfTrue="1">
      <formula>AND(#REF!-TODAY()&lt;30,TODAY()&lt;#REF!)</formula>
    </cfRule>
  </conditionalFormatting>
  <conditionalFormatting sqref="G20">
    <cfRule type="cellIs" dxfId="22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6" sqref="E16"/>
    </sheetView>
  </sheetViews>
  <sheetFormatPr defaultColWidth="9" defaultRowHeight="14.4"/>
  <cols>
    <col min="1" max="1" width="13.44140625" style="1552" customWidth="1"/>
    <col min="2" max="2" width="23.21875" style="1503" customWidth="1"/>
    <col min="3" max="3" width="13" style="1547" customWidth="1"/>
    <col min="4" max="4" width="5.77734375" style="1544" customWidth="1"/>
    <col min="5" max="5" width="7.109375" style="1544" customWidth="1"/>
    <col min="6" max="6" width="10.6640625" style="1544" customWidth="1"/>
    <col min="7" max="7" width="7.44140625" style="1544" customWidth="1"/>
    <col min="8" max="8" width="11.88671875" style="1547" customWidth="1"/>
    <col min="9" max="9" width="11.6640625" style="1547" customWidth="1"/>
    <col min="10" max="10" width="9" style="1547" customWidth="1"/>
    <col min="11" max="19" width="9" style="1544" customWidth="1"/>
    <col min="20" max="23" width="9" style="1547" customWidth="1"/>
    <col min="24" max="24" width="21.109375" style="1503" customWidth="1"/>
    <col min="25" max="16384" width="9" style="1503"/>
  </cols>
  <sheetData>
    <row r="1" spans="1:23" s="1541" customFormat="1" ht="43.2">
      <c r="A1" s="1535" t="s">
        <v>44</v>
      </c>
      <c r="B1" s="1536" t="s">
        <v>977</v>
      </c>
      <c r="C1" s="1537" t="s">
        <v>314</v>
      </c>
      <c r="D1" s="1539" t="s">
        <v>3357</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3343</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3344</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3345</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3346</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3347</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3348</v>
      </c>
    </row>
    <row r="8" spans="1:23">
      <c r="A8" s="1542" t="s">
        <v>1026</v>
      </c>
      <c r="B8" s="1542" t="s">
        <v>1027</v>
      </c>
      <c r="C8" s="1543" t="s">
        <v>319</v>
      </c>
      <c r="F8" s="1544" t="s">
        <v>1028</v>
      </c>
      <c r="H8" s="1544" t="s">
        <v>2580</v>
      </c>
      <c r="I8" s="1544" t="s">
        <v>3349</v>
      </c>
    </row>
    <row r="9" spans="1:23">
      <c r="A9" s="1542" t="s">
        <v>1029</v>
      </c>
      <c r="B9" s="1542" t="s">
        <v>1030</v>
      </c>
      <c r="C9" s="1543" t="s">
        <v>320</v>
      </c>
      <c r="F9" s="1544" t="s">
        <v>1031</v>
      </c>
      <c r="H9" s="1544"/>
      <c r="I9" s="1547" t="s">
        <v>3350</v>
      </c>
    </row>
    <row r="10" spans="1:23">
      <c r="A10" s="1542" t="s">
        <v>1032</v>
      </c>
      <c r="B10" s="1542" t="s">
        <v>1033</v>
      </c>
      <c r="C10" s="1543" t="s">
        <v>321</v>
      </c>
      <c r="F10" s="1544" t="s">
        <v>2581</v>
      </c>
      <c r="I10" s="1547" t="s">
        <v>3351</v>
      </c>
    </row>
    <row r="11" spans="1:23">
      <c r="A11" s="1542" t="s">
        <v>1034</v>
      </c>
      <c r="B11" s="1542" t="s">
        <v>1035</v>
      </c>
      <c r="C11" s="1543" t="s">
        <v>322</v>
      </c>
      <c r="F11" s="1544" t="s">
        <v>13</v>
      </c>
      <c r="I11" s="1547" t="s">
        <v>3352</v>
      </c>
    </row>
    <row r="12" spans="1:23">
      <c r="A12" s="1542" t="s">
        <v>1036</v>
      </c>
      <c r="B12" s="1542" t="s">
        <v>1037</v>
      </c>
      <c r="C12" s="1543" t="s">
        <v>323</v>
      </c>
      <c r="I12" s="1547" t="s">
        <v>3353</v>
      </c>
    </row>
    <row r="13" spans="1:23">
      <c r="A13" s="1542" t="s">
        <v>1038</v>
      </c>
      <c r="B13" s="1542" t="s">
        <v>1039</v>
      </c>
      <c r="C13" s="1543" t="s">
        <v>324</v>
      </c>
      <c r="I13" s="1547" t="s">
        <v>3354</v>
      </c>
    </row>
    <row r="14" spans="1:23">
      <c r="A14" s="1542" t="s">
        <v>1040</v>
      </c>
      <c r="B14" s="1542" t="s">
        <v>1041</v>
      </c>
      <c r="C14" s="1544" t="s">
        <v>13</v>
      </c>
      <c r="I14" s="1547" t="s">
        <v>3355</v>
      </c>
    </row>
    <row r="15" spans="1:23">
      <c r="A15" s="1542" t="s">
        <v>1042</v>
      </c>
      <c r="B15" s="1542" t="s">
        <v>1043</v>
      </c>
      <c r="C15" s="1543"/>
      <c r="I15" s="1547" t="s">
        <v>3356</v>
      </c>
    </row>
    <row r="16" spans="1:23">
      <c r="A16" s="1542" t="s">
        <v>1044</v>
      </c>
      <c r="B16" s="1542" t="s">
        <v>312</v>
      </c>
      <c r="C16" s="1543"/>
    </row>
    <row r="17" spans="1:3">
      <c r="A17" s="1542" t="s">
        <v>1045</v>
      </c>
      <c r="B17" s="1542" t="s">
        <v>2293</v>
      </c>
      <c r="C17" s="1543"/>
    </row>
    <row r="18" spans="1:3">
      <c r="A18" s="1542" t="s">
        <v>1046</v>
      </c>
      <c r="B18" s="1542" t="s">
        <v>2436</v>
      </c>
      <c r="C18" s="1543"/>
    </row>
    <row r="19" spans="1:3">
      <c r="A19" s="1542" t="s">
        <v>1047</v>
      </c>
      <c r="B19" s="1542" t="s">
        <v>3422</v>
      </c>
      <c r="C19" s="1543"/>
    </row>
    <row r="20" spans="1:3">
      <c r="A20" s="1542" t="s">
        <v>1048</v>
      </c>
      <c r="B20" s="1542" t="s">
        <v>3424</v>
      </c>
      <c r="C20" s="1543"/>
    </row>
    <row r="21" spans="1:3">
      <c r="A21" s="1542" t="s">
        <v>1049</v>
      </c>
      <c r="B21" s="1542" t="s">
        <v>3426</v>
      </c>
      <c r="C21" s="1543"/>
    </row>
    <row r="22" spans="1:3">
      <c r="A22" s="1542" t="s">
        <v>1050</v>
      </c>
      <c r="B22" s="1542" t="s">
        <v>3428</v>
      </c>
      <c r="C22" s="1543"/>
    </row>
    <row r="23" spans="1:3">
      <c r="A23" s="1542" t="s">
        <v>1051</v>
      </c>
      <c r="B23" s="1542" t="s">
        <v>3430</v>
      </c>
      <c r="C23" s="1543"/>
    </row>
    <row r="24" spans="1:3">
      <c r="A24" s="1542" t="s">
        <v>1052</v>
      </c>
      <c r="B24" s="1542" t="s">
        <v>3432</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1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0" t="s">
        <v>385</v>
      </c>
      <c r="C54" s="1547" t="s">
        <v>583</v>
      </c>
    </row>
    <row r="55" spans="1:4">
      <c r="A55" s="3515"/>
      <c r="B55" s="1550" t="s">
        <v>386</v>
      </c>
      <c r="C55" s="1547" t="s">
        <v>584</v>
      </c>
    </row>
    <row r="56" spans="1:4">
      <c r="A56" s="3515"/>
      <c r="B56" s="1550" t="s">
        <v>387</v>
      </c>
      <c r="C56" s="1547" t="s">
        <v>588</v>
      </c>
    </row>
    <row r="57" spans="1:4">
      <c r="A57" s="351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12"/>
    <col min="8" max="8" width="5.44140625" style="3012" customWidth="1"/>
    <col min="9" max="13" width="9.44140625" style="3054" customWidth="1"/>
    <col min="14" max="18" width="9.44140625" style="3012" customWidth="1"/>
    <col min="19" max="16384" width="15.21875" style="3012"/>
  </cols>
  <sheetData>
    <row r="1" spans="1:18">
      <c r="A1" s="3009" t="s">
        <v>2503</v>
      </c>
      <c r="B1" s="3010"/>
      <c r="C1" s="3010"/>
      <c r="D1" s="3010"/>
      <c r="E1" s="3010"/>
      <c r="F1" s="3011"/>
      <c r="I1" s="3433" t="s">
        <v>2596</v>
      </c>
      <c r="J1" s="3222"/>
      <c r="K1" s="3222"/>
      <c r="L1" s="3222"/>
      <c r="M1" s="3222"/>
      <c r="N1" s="3434"/>
      <c r="O1" s="3434"/>
      <c r="P1" s="3434"/>
      <c r="Q1" s="3434"/>
      <c r="R1" s="3434"/>
    </row>
    <row r="2" spans="1:18">
      <c r="A2" s="3013"/>
      <c r="B2" s="3014"/>
      <c r="C2" s="3014"/>
      <c r="D2" s="3014"/>
      <c r="E2" s="3014"/>
      <c r="F2" s="3015"/>
      <c r="I2" s="3516" t="s">
        <v>2583</v>
      </c>
      <c r="J2" s="3516"/>
      <c r="K2" s="3516"/>
      <c r="L2" s="3516"/>
      <c r="M2" s="3516"/>
      <c r="N2" s="3516"/>
      <c r="O2" s="3516"/>
      <c r="P2" s="3516"/>
      <c r="Q2" s="3516"/>
      <c r="R2" s="3516"/>
    </row>
    <row r="3" spans="1:18">
      <c r="A3" s="3016" t="s">
        <v>2504</v>
      </c>
      <c r="B3" s="3017">
        <f>项目基本情况!D3</f>
        <v>44995</v>
      </c>
      <c r="C3" s="3019"/>
      <c r="D3" s="3019"/>
      <c r="E3" s="3019"/>
      <c r="F3" s="3015"/>
      <c r="I3" s="3435"/>
      <c r="J3" s="3435" t="s">
        <v>2587</v>
      </c>
      <c r="K3" s="3435" t="s">
        <v>2588</v>
      </c>
      <c r="L3" s="3435" t="s">
        <v>2589</v>
      </c>
      <c r="M3" s="3435" t="s">
        <v>2590</v>
      </c>
      <c r="N3" s="3436" t="s">
        <v>2591</v>
      </c>
      <c r="O3" s="3436" t="s">
        <v>2592</v>
      </c>
      <c r="P3" s="3436" t="s">
        <v>2593</v>
      </c>
      <c r="Q3" s="3436" t="s">
        <v>2594</v>
      </c>
      <c r="R3" s="3436" t="s">
        <v>2595</v>
      </c>
    </row>
    <row r="4" spans="1:18">
      <c r="A4" s="3016" t="s">
        <v>2505</v>
      </c>
      <c r="B4" s="3019" t="s">
        <v>2506</v>
      </c>
      <c r="C4" s="3019" t="s">
        <v>2507</v>
      </c>
      <c r="D4" s="3019" t="s">
        <v>2508</v>
      </c>
      <c r="E4" s="3019" t="s">
        <v>2509</v>
      </c>
      <c r="F4" s="3015"/>
      <c r="I4" s="3435" t="s">
        <v>2584</v>
      </c>
      <c r="J4" s="3435">
        <v>80</v>
      </c>
      <c r="K4" s="3435">
        <v>70</v>
      </c>
      <c r="L4" s="3435">
        <v>20</v>
      </c>
      <c r="M4" s="3435">
        <v>30</v>
      </c>
      <c r="N4" s="3019">
        <v>45</v>
      </c>
      <c r="O4" s="3019">
        <v>60</v>
      </c>
      <c r="P4" s="3019">
        <v>50</v>
      </c>
      <c r="Q4" s="3019">
        <v>20</v>
      </c>
      <c r="R4" s="3019">
        <v>375</v>
      </c>
    </row>
    <row r="5" spans="1:18">
      <c r="A5" s="3020">
        <v>40</v>
      </c>
      <c r="B5" s="3017">
        <v>46375</v>
      </c>
      <c r="C5" s="3019">
        <f>ROUNDDOWN(MIN((B5-B3)/365,A5),2)</f>
        <v>3.78</v>
      </c>
      <c r="D5" s="3021">
        <f>IF(ISERROR(ROUND(POWER(1+E5,A5-C5)*(POWER(1+E5,C5)-1)/(POWER(1+E5,A5)-1),3)),0,ROUND(POWER(1+E5,A5-C5)*(POWER(1+E5,C5)-1)/(POWER(1+E5,A5)-1),4))</f>
        <v>0.17399999999999999</v>
      </c>
      <c r="E5" s="3022">
        <v>0.04</v>
      </c>
      <c r="F5" s="3015"/>
      <c r="I5" s="3435" t="s">
        <v>2585</v>
      </c>
      <c r="J5" s="3435">
        <v>70</v>
      </c>
      <c r="K5" s="3435">
        <v>60</v>
      </c>
      <c r="L5" s="3435">
        <v>15</v>
      </c>
      <c r="M5" s="3435">
        <v>25</v>
      </c>
      <c r="N5" s="3019">
        <v>40</v>
      </c>
      <c r="O5" s="3019">
        <v>50</v>
      </c>
      <c r="P5" s="3019">
        <v>40</v>
      </c>
      <c r="Q5" s="3019">
        <v>15</v>
      </c>
      <c r="R5" s="3019">
        <v>315</v>
      </c>
    </row>
    <row r="6" spans="1:18">
      <c r="A6" s="3020">
        <v>50</v>
      </c>
      <c r="B6" s="3017">
        <v>50028</v>
      </c>
      <c r="C6" s="3019">
        <f>ROUNDDOWN(MIN((B6-B3)/365,A6),2)</f>
        <v>13.78</v>
      </c>
      <c r="D6" s="3021">
        <f>IF(ISERROR(ROUND(POWER(1+E6,A6-C6)*(POWER(1+E6,C6)-1)/(POWER(1+E6,A6)-1),3)),0,ROUND(POWER(1+E6,A6-C6)*(POWER(1+E6,C6)-1)/(POWER(1+E6,A6)-1),4))</f>
        <v>0.4859</v>
      </c>
      <c r="E6" s="3022">
        <v>0.04</v>
      </c>
      <c r="F6" s="3015"/>
      <c r="I6" s="3435" t="s">
        <v>2586</v>
      </c>
      <c r="J6" s="3435">
        <v>60</v>
      </c>
      <c r="K6" s="3435">
        <v>50</v>
      </c>
      <c r="L6" s="3435">
        <v>10</v>
      </c>
      <c r="M6" s="3435">
        <v>20</v>
      </c>
      <c r="N6" s="3019">
        <v>35</v>
      </c>
      <c r="O6" s="3019">
        <v>40</v>
      </c>
      <c r="P6" s="3019">
        <v>30</v>
      </c>
      <c r="Q6" s="3019">
        <v>10</v>
      </c>
      <c r="R6" s="3019">
        <v>255</v>
      </c>
    </row>
    <row r="7" spans="1:18">
      <c r="A7" s="3020">
        <v>70</v>
      </c>
      <c r="B7" s="3017">
        <v>57333</v>
      </c>
      <c r="C7" s="3019">
        <f>ROUNDDOWN(MIN((B7-B3)/365,A7),2)</f>
        <v>33.799999999999997</v>
      </c>
      <c r="D7" s="3021">
        <f>IF(ISERROR(ROUND(POWER(1+E7,A7-C7)*(POWER(1+E7,C7)-1)/(POWER(1+E7,A7)-1),3)),0,ROUND(POWER(1+E7,A7-C7)*(POWER(1+E7,C7)-1)/(POWER(1+E7,A7)-1),4))</f>
        <v>0.78480000000000005</v>
      </c>
      <c r="E7" s="3022">
        <v>0.04</v>
      </c>
      <c r="F7" s="3015"/>
    </row>
    <row r="8" spans="1:18">
      <c r="A8" s="3013"/>
      <c r="B8" s="3014"/>
      <c r="C8" s="3014"/>
      <c r="D8" s="3014"/>
      <c r="E8" s="3014"/>
      <c r="F8" s="3015"/>
    </row>
    <row r="9" spans="1:18">
      <c r="A9" s="3016" t="s">
        <v>2510</v>
      </c>
      <c r="B9" s="3019"/>
      <c r="C9" s="3019"/>
      <c r="D9" s="3019"/>
      <c r="E9" s="3019"/>
      <c r="F9" s="3023"/>
    </row>
    <row r="10" spans="1:18">
      <c r="A10" s="3016" t="s">
        <v>2511</v>
      </c>
      <c r="B10" s="3019"/>
      <c r="C10" s="3019"/>
      <c r="D10" s="3019" t="s">
        <v>2509</v>
      </c>
      <c r="E10" s="3019"/>
      <c r="F10" s="3023" t="s">
        <v>2508</v>
      </c>
    </row>
    <row r="11" spans="1:18">
      <c r="A11" s="3016" t="s">
        <v>2512</v>
      </c>
      <c r="B11" s="3024">
        <v>70</v>
      </c>
      <c r="C11" s="3019" t="s">
        <v>2513</v>
      </c>
      <c r="D11" s="3025">
        <v>4.4999999999999998E-2</v>
      </c>
      <c r="E11" s="3019" t="s">
        <v>2514</v>
      </c>
      <c r="F11" s="3026">
        <f>ROUND(1-(1/(POWER(1+D11,B11))),4)</f>
        <v>0.95409999999999995</v>
      </c>
    </row>
    <row r="12" spans="1:18">
      <c r="A12" s="3016" t="s">
        <v>2515</v>
      </c>
      <c r="B12" s="3024">
        <v>40</v>
      </c>
      <c r="C12" s="3019" t="s">
        <v>2516</v>
      </c>
      <c r="D12" s="3025">
        <v>4.4999999999999998E-2</v>
      </c>
      <c r="E12" s="3019" t="s">
        <v>2517</v>
      </c>
      <c r="F12" s="3026">
        <f>ROUND(1-(1/(POWER(1+D12,B12))),4)</f>
        <v>0.82809999999999995</v>
      </c>
    </row>
    <row r="13" spans="1:18">
      <c r="A13" s="3016" t="s">
        <v>2518</v>
      </c>
      <c r="B13" s="3019"/>
      <c r="C13" s="3019"/>
      <c r="D13" s="3014"/>
      <c r="E13" s="3014"/>
      <c r="F13" s="3015"/>
    </row>
    <row r="14" spans="1:18">
      <c r="A14" s="3016" t="s">
        <v>2519</v>
      </c>
      <c r="B14" s="3024">
        <v>5000</v>
      </c>
      <c r="C14" s="3018"/>
      <c r="D14" s="3014"/>
      <c r="E14" s="3014"/>
      <c r="F14" s="3015"/>
    </row>
    <row r="15" spans="1:18">
      <c r="A15" s="3016" t="s">
        <v>2520</v>
      </c>
      <c r="B15" s="3019">
        <f>ROUND(B14*F12/F11,2)</f>
        <v>4339.6899999999996</v>
      </c>
      <c r="C15" s="3019">
        <f>ROUND(F12/F11,4)</f>
        <v>0.8679</v>
      </c>
      <c r="D15" s="3014"/>
      <c r="E15" s="3014"/>
      <c r="F15" s="3015"/>
    </row>
    <row r="16" spans="1:18">
      <c r="A16" s="3016" t="s">
        <v>2521</v>
      </c>
      <c r="B16" s="3019"/>
      <c r="C16" s="3019"/>
      <c r="D16" s="3014"/>
      <c r="E16" s="3014"/>
      <c r="F16" s="3015"/>
    </row>
    <row r="17" spans="1:13">
      <c r="A17" s="3016" t="s">
        <v>2520</v>
      </c>
      <c r="B17" s="3025">
        <v>4810</v>
      </c>
      <c r="C17" s="3018"/>
      <c r="D17" s="3014"/>
      <c r="E17" s="3014"/>
      <c r="F17" s="3015"/>
    </row>
    <row r="18" spans="1:13" ht="15" thickBot="1">
      <c r="A18" s="3027" t="s">
        <v>2519</v>
      </c>
      <c r="B18" s="3028">
        <f>ROUND(B17*F11/F12,2)</f>
        <v>5541.87</v>
      </c>
      <c r="C18" s="3028">
        <f>ROUND(F11/F12,4)</f>
        <v>1.1521999999999999</v>
      </c>
      <c r="D18" s="3029"/>
      <c r="E18" s="3029"/>
      <c r="F18" s="3030"/>
    </row>
    <row r="19" spans="1:13" ht="15" thickBot="1"/>
    <row r="20" spans="1:13" s="3065" customFormat="1" ht="15" thickTop="1">
      <c r="A20" s="3062" t="s">
        <v>2522</v>
      </c>
      <c r="B20" s="3063"/>
      <c r="C20" s="3063"/>
      <c r="D20" s="3063"/>
      <c r="E20" s="3063"/>
      <c r="F20" s="3063"/>
      <c r="G20" s="3064"/>
      <c r="I20" s="3066" t="s">
        <v>2567</v>
      </c>
      <c r="J20" s="3066" t="s">
        <v>2572</v>
      </c>
      <c r="K20" s="3066"/>
      <c r="L20" s="3066"/>
      <c r="M20" s="3066"/>
    </row>
    <row r="21" spans="1:13">
      <c r="A21" s="3031"/>
      <c r="B21" s="3032" t="s">
        <v>2523</v>
      </c>
      <c r="C21" s="3032" t="s">
        <v>2524</v>
      </c>
      <c r="D21" s="3032" t="s">
        <v>2525</v>
      </c>
      <c r="E21" s="3032" t="s">
        <v>2526</v>
      </c>
      <c r="F21" s="3032" t="s">
        <v>2527</v>
      </c>
      <c r="G21" s="3033" t="s">
        <v>2528</v>
      </c>
      <c r="I21" s="3054">
        <v>5</v>
      </c>
      <c r="J21" s="3054">
        <v>54.2</v>
      </c>
    </row>
    <row r="22" spans="1:13">
      <c r="A22" s="3031" t="s">
        <v>2529</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2530</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2570</v>
      </c>
      <c r="M23" s="3054" t="s">
        <v>2571</v>
      </c>
    </row>
    <row r="24" spans="1:13">
      <c r="A24" s="3031" t="s">
        <v>2531</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2569</v>
      </c>
      <c r="M24" s="3054">
        <v>10</v>
      </c>
    </row>
    <row r="25" spans="1:13">
      <c r="A25" s="3031" t="s">
        <v>2532</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2573</v>
      </c>
      <c r="M25" s="3054">
        <v>8</v>
      </c>
    </row>
    <row r="26" spans="1:13">
      <c r="A26" s="3036"/>
      <c r="B26" s="3037"/>
      <c r="C26" s="3037"/>
      <c r="D26" s="3037"/>
      <c r="E26" s="3037"/>
      <c r="F26" s="3037"/>
      <c r="G26" s="3038"/>
      <c r="I26" s="3054">
        <v>30</v>
      </c>
      <c r="J26" s="3054">
        <v>90.5</v>
      </c>
      <c r="K26" s="3054">
        <f t="shared" si="2"/>
        <v>4.2000000000000028</v>
      </c>
      <c r="L26" s="3054" t="s">
        <v>2574</v>
      </c>
      <c r="M26" s="3054">
        <v>5</v>
      </c>
    </row>
    <row r="27" spans="1:13">
      <c r="A27" s="3036" t="s">
        <v>2533</v>
      </c>
      <c r="B27" s="3037"/>
      <c r="C27" s="3037"/>
      <c r="D27" s="3037"/>
      <c r="E27" s="3037"/>
      <c r="F27" s="3037"/>
      <c r="G27" s="3038"/>
      <c r="I27" s="3054">
        <v>35</v>
      </c>
      <c r="J27" s="3054">
        <v>93.8</v>
      </c>
      <c r="K27" s="3054">
        <f t="shared" si="2"/>
        <v>3.2999999999999972</v>
      </c>
      <c r="L27" s="3054" t="s">
        <v>2575</v>
      </c>
      <c r="M27" s="3054">
        <v>3</v>
      </c>
    </row>
    <row r="28" spans="1:13">
      <c r="A28" s="3036" t="s">
        <v>2534</v>
      </c>
      <c r="B28" s="3037"/>
      <c r="C28" s="3037"/>
      <c r="D28" s="3037"/>
      <c r="E28" s="3037"/>
      <c r="F28" s="3037"/>
      <c r="G28" s="3038"/>
      <c r="I28" s="3054">
        <v>40</v>
      </c>
      <c r="J28" s="3054">
        <v>96.4</v>
      </c>
      <c r="K28" s="3054">
        <f t="shared" si="2"/>
        <v>2.6000000000000085</v>
      </c>
      <c r="L28" s="3054" t="s">
        <v>2576</v>
      </c>
      <c r="M28" s="3054">
        <v>2</v>
      </c>
    </row>
    <row r="29" spans="1:13">
      <c r="A29" s="3036" t="s">
        <v>2535</v>
      </c>
      <c r="B29" s="3037"/>
      <c r="C29" s="3037"/>
      <c r="D29" s="3037"/>
      <c r="E29" s="3037"/>
      <c r="F29" s="3037"/>
      <c r="G29" s="3038"/>
      <c r="I29" s="3054">
        <v>45</v>
      </c>
      <c r="J29" s="3054">
        <v>98.4</v>
      </c>
      <c r="K29" s="3054">
        <f t="shared" si="2"/>
        <v>2</v>
      </c>
    </row>
    <row r="30" spans="1:13">
      <c r="A30" s="3036" t="s">
        <v>2536</v>
      </c>
      <c r="B30" s="3037"/>
      <c r="C30" s="3037"/>
      <c r="D30" s="3037"/>
      <c r="E30" s="3037"/>
      <c r="F30" s="3037"/>
      <c r="G30" s="3038"/>
      <c r="I30" s="3054">
        <v>50</v>
      </c>
      <c r="J30" s="3054">
        <v>100</v>
      </c>
      <c r="K30" s="3054">
        <f t="shared" si="2"/>
        <v>1.5999999999999943</v>
      </c>
    </row>
    <row r="31" spans="1:13">
      <c r="A31" s="3036" t="s">
        <v>2537</v>
      </c>
      <c r="B31" s="3037"/>
      <c r="C31" s="3037"/>
      <c r="D31" s="3037"/>
      <c r="E31" s="3037"/>
      <c r="F31" s="3037"/>
      <c r="G31" s="3038"/>
      <c r="I31" s="3054" t="s">
        <v>2568</v>
      </c>
    </row>
    <row r="32" spans="1:13">
      <c r="A32" s="3036" t="s">
        <v>2538</v>
      </c>
      <c r="B32" s="3037"/>
      <c r="C32" s="3037"/>
      <c r="D32" s="3037"/>
      <c r="E32" s="3037"/>
      <c r="F32" s="3037"/>
      <c r="G32" s="3038"/>
    </row>
    <row r="33" spans="1:13">
      <c r="A33" s="3036" t="s">
        <v>2539</v>
      </c>
      <c r="B33" s="3037"/>
      <c r="C33" s="3037"/>
      <c r="D33" s="3037"/>
      <c r="E33" s="3037"/>
      <c r="F33" s="3037"/>
      <c r="G33" s="3038"/>
      <c r="I33" s="3054" t="s">
        <v>2567</v>
      </c>
      <c r="J33" s="3054" t="s">
        <v>2577</v>
      </c>
    </row>
    <row r="34" spans="1:13">
      <c r="A34" s="3036" t="s">
        <v>2540</v>
      </c>
      <c r="B34" s="3037"/>
      <c r="C34" s="3037"/>
      <c r="D34" s="3037"/>
      <c r="E34" s="3037"/>
      <c r="F34" s="3037"/>
      <c r="G34" s="3038"/>
      <c r="I34" s="3054">
        <v>5</v>
      </c>
      <c r="J34" s="3054">
        <v>55.1</v>
      </c>
    </row>
    <row r="35" spans="1:13">
      <c r="A35" s="3036" t="s">
        <v>2541</v>
      </c>
      <c r="B35" s="3037"/>
      <c r="C35" s="3037"/>
      <c r="D35" s="3037"/>
      <c r="E35" s="3037"/>
      <c r="F35" s="3037"/>
      <c r="G35" s="3038"/>
      <c r="I35" s="3054">
        <v>10</v>
      </c>
      <c r="J35" s="3054">
        <v>67</v>
      </c>
      <c r="K35" s="3054">
        <f>J35-J34</f>
        <v>11.899999999999999</v>
      </c>
    </row>
    <row r="36" spans="1:13">
      <c r="A36" s="3036" t="s">
        <v>2542</v>
      </c>
      <c r="B36" s="3037"/>
      <c r="C36" s="3037"/>
      <c r="D36" s="3037"/>
      <c r="E36" s="3037"/>
      <c r="F36" s="3037"/>
      <c r="G36" s="3038"/>
      <c r="I36" s="3054">
        <v>15</v>
      </c>
      <c r="J36" s="3054">
        <v>76.3</v>
      </c>
      <c r="K36" s="3054">
        <f t="shared" ref="K36:K41" si="3">J36-J35</f>
        <v>9.2999999999999972</v>
      </c>
      <c r="L36" s="3054" t="s">
        <v>2570</v>
      </c>
      <c r="M36" s="3054" t="s">
        <v>2571</v>
      </c>
    </row>
    <row r="37" spans="1:13">
      <c r="A37" s="3036" t="s">
        <v>2543</v>
      </c>
      <c r="B37" s="3037"/>
      <c r="C37" s="3037"/>
      <c r="D37" s="3037"/>
      <c r="E37" s="3037"/>
      <c r="F37" s="3037"/>
      <c r="G37" s="3038"/>
      <c r="I37" s="3054">
        <v>20</v>
      </c>
      <c r="J37" s="3054">
        <v>83.6</v>
      </c>
      <c r="K37" s="3054">
        <f t="shared" si="3"/>
        <v>7.2999999999999972</v>
      </c>
      <c r="L37" s="3054" t="s">
        <v>2569</v>
      </c>
      <c r="M37" s="3054">
        <v>10</v>
      </c>
    </row>
    <row r="38" spans="1:13">
      <c r="A38" s="3036" t="s">
        <v>2544</v>
      </c>
      <c r="B38" s="3037"/>
      <c r="C38" s="3037"/>
      <c r="D38" s="3037"/>
      <c r="E38" s="3037"/>
      <c r="F38" s="3037"/>
      <c r="G38" s="3038"/>
      <c r="I38" s="3054">
        <v>25</v>
      </c>
      <c r="J38" s="3054">
        <v>89.3</v>
      </c>
      <c r="K38" s="3054">
        <f t="shared" si="3"/>
        <v>5.7000000000000028</v>
      </c>
      <c r="L38" s="3054" t="s">
        <v>2573</v>
      </c>
      <c r="M38" s="3054">
        <v>8</v>
      </c>
    </row>
    <row r="39" spans="1:13">
      <c r="A39" s="3036"/>
      <c r="B39" s="3037"/>
      <c r="C39" s="3037"/>
      <c r="D39" s="3037"/>
      <c r="E39" s="3037"/>
      <c r="F39" s="3037"/>
      <c r="G39" s="3038"/>
      <c r="I39" s="3054">
        <v>30</v>
      </c>
      <c r="J39" s="3054">
        <v>93.8</v>
      </c>
      <c r="K39" s="3054">
        <f t="shared" si="3"/>
        <v>4.5</v>
      </c>
      <c r="L39" s="3054" t="s">
        <v>2574</v>
      </c>
      <c r="M39" s="3054">
        <v>6</v>
      </c>
    </row>
    <row r="40" spans="1:13">
      <c r="A40" s="3039" t="s">
        <v>2545</v>
      </c>
      <c r="B40" s="3040"/>
      <c r="C40" s="3040"/>
      <c r="D40" s="3040"/>
      <c r="E40" s="3040"/>
      <c r="F40" s="3040"/>
      <c r="G40" s="3041"/>
      <c r="I40" s="3054">
        <v>35</v>
      </c>
      <c r="J40" s="3054">
        <v>97.2</v>
      </c>
      <c r="K40" s="3054">
        <f t="shared" si="3"/>
        <v>3.4000000000000057</v>
      </c>
      <c r="L40" s="3054" t="s">
        <v>2575</v>
      </c>
      <c r="M40" s="3054">
        <v>3</v>
      </c>
    </row>
    <row r="41" spans="1:13">
      <c r="A41" s="3042" t="s">
        <v>2546</v>
      </c>
      <c r="B41" s="3043" t="s">
        <v>2547</v>
      </c>
      <c r="C41" s="3044" t="s">
        <v>2548</v>
      </c>
      <c r="D41" s="3044" t="s">
        <v>2549</v>
      </c>
      <c r="E41" s="3045"/>
      <c r="F41" s="3046"/>
      <c r="G41" s="3047"/>
      <c r="I41" s="3054">
        <v>40</v>
      </c>
      <c r="J41" s="3054">
        <v>100</v>
      </c>
      <c r="K41" s="3054">
        <f t="shared" si="3"/>
        <v>2.7999999999999972</v>
      </c>
    </row>
    <row r="42" spans="1:13">
      <c r="A42" s="3042" t="s">
        <v>2550</v>
      </c>
      <c r="B42" s="3043" t="s">
        <v>2551</v>
      </c>
      <c r="C42" s="3044" t="s">
        <v>2552</v>
      </c>
      <c r="D42" s="3048" t="s">
        <v>2553</v>
      </c>
      <c r="E42" s="3040" t="s">
        <v>2554</v>
      </c>
      <c r="F42" s="3040"/>
      <c r="G42" s="3041"/>
    </row>
    <row r="43" spans="1:13">
      <c r="A43" s="3042" t="s">
        <v>2555</v>
      </c>
      <c r="B43" s="3043" t="s">
        <v>2556</v>
      </c>
      <c r="C43" s="3044" t="s">
        <v>2557</v>
      </c>
      <c r="D43" s="3044" t="s">
        <v>2558</v>
      </c>
      <c r="E43" s="3045" t="s">
        <v>2559</v>
      </c>
      <c r="F43" s="3046"/>
      <c r="G43" s="3047"/>
      <c r="I43" s="3054" t="s">
        <v>2567</v>
      </c>
      <c r="J43" s="3054" t="s">
        <v>2578</v>
      </c>
    </row>
    <row r="44" spans="1:13">
      <c r="A44" s="3042" t="s">
        <v>2560</v>
      </c>
      <c r="B44" s="3043" t="s">
        <v>2561</v>
      </c>
      <c r="C44" s="3044" t="s">
        <v>2562</v>
      </c>
      <c r="D44" s="3048">
        <v>0.5</v>
      </c>
      <c r="E44" s="3045" t="s">
        <v>2563</v>
      </c>
      <c r="F44" s="3046"/>
      <c r="G44" s="3047"/>
      <c r="I44" s="3054">
        <v>30</v>
      </c>
      <c r="J44" s="3054">
        <v>81.7</v>
      </c>
    </row>
    <row r="45" spans="1:13" ht="15" thickBot="1">
      <c r="A45" s="3049" t="s">
        <v>2564</v>
      </c>
      <c r="B45" s="3050" t="s">
        <v>2551</v>
      </c>
      <c r="C45" s="3051" t="s">
        <v>2551</v>
      </c>
      <c r="D45" s="3051" t="s">
        <v>2565</v>
      </c>
      <c r="E45" s="3052" t="s">
        <v>2566</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9" sqref="G29"/>
    </sheetView>
  </sheetViews>
  <sheetFormatPr defaultColWidth="10" defaultRowHeight="13.2"/>
  <cols>
    <col min="1" max="1" width="16.88671875" style="1741" customWidth="1"/>
    <col min="2" max="2" width="10" style="1741" customWidth="1"/>
    <col min="3" max="3" width="11.44140625" style="1741" customWidth="1"/>
    <col min="4" max="4" width="10" style="1741" customWidth="1"/>
    <col min="5" max="5" width="12.6640625" style="1741" customWidth="1"/>
    <col min="6" max="6" width="10" style="1741" customWidth="1"/>
    <col min="7" max="7" width="10.77734375" style="1741" customWidth="1"/>
    <col min="8" max="8" width="10" style="1741" customWidth="1"/>
    <col min="9" max="9" width="11.10937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8" thickBot="1">
      <c r="A1" s="2362" t="s">
        <v>2168</v>
      </c>
      <c r="B1" s="3517" t="str">
        <f>IF(B10="北京市","北京市",C10)&amp;F10&amp;IF(结果表!G1="在建","出让国有建设用地使用权及在建建筑物",IF(结果表!G1="土地","出让国有建设用地使用权",))&amp;B9&amp;"预评估"</f>
        <v>北京市房地产抵押价值预评估</v>
      </c>
      <c r="C1" s="3518"/>
      <c r="D1" s="3518"/>
      <c r="E1" s="3518"/>
      <c r="F1" s="3518"/>
      <c r="G1" s="3518"/>
      <c r="H1" s="3518"/>
      <c r="I1" s="3519"/>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2169</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1" t="s">
        <v>2170</v>
      </c>
      <c r="B3" s="2369"/>
      <c r="C3" s="2370" t="s">
        <v>2171</v>
      </c>
      <c r="D3" s="2369">
        <v>44995</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8" thickBot="1">
      <c r="A4" s="1086"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8" thickTop="1">
      <c r="A5" s="2375" t="s">
        <v>2173</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2174</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2175</v>
      </c>
      <c r="B7" s="2383"/>
      <c r="C7" s="2381"/>
      <c r="D7" s="2382"/>
      <c r="E7" s="2658"/>
      <c r="F7" s="2660"/>
      <c r="G7" s="2660"/>
      <c r="H7" s="2660"/>
      <c r="I7" s="2660"/>
      <c r="J7" s="2435"/>
      <c r="K7" s="2612"/>
      <c r="L7" s="2609"/>
      <c r="M7" s="2609"/>
      <c r="N7" s="2435"/>
      <c r="O7" s="2446"/>
      <c r="P7" s="2435"/>
      <c r="Q7" s="2435"/>
      <c r="R7" s="2435"/>
    </row>
    <row r="8" spans="1:30">
      <c r="A8" s="2384" t="s">
        <v>2176</v>
      </c>
      <c r="B8" s="2385" t="s">
        <v>3394</v>
      </c>
      <c r="C8" s="2386"/>
      <c r="D8" s="3520" t="s">
        <v>2177</v>
      </c>
      <c r="E8" s="2387" t="s">
        <v>3395</v>
      </c>
      <c r="F8" s="2388"/>
      <c r="G8" s="2659"/>
      <c r="H8" s="2659"/>
      <c r="I8" s="2659"/>
      <c r="J8" s="2435"/>
      <c r="K8" s="2610"/>
      <c r="L8" s="2609"/>
      <c r="M8" s="2609"/>
      <c r="N8" s="2435"/>
      <c r="O8" s="2446"/>
      <c r="P8" s="2435"/>
      <c r="Q8" s="2435"/>
      <c r="R8" s="2435"/>
    </row>
    <row r="9" spans="1:30" ht="13.8" thickBot="1">
      <c r="A9" s="2389" t="s">
        <v>2178</v>
      </c>
      <c r="B9" s="2390" t="s">
        <v>3395</v>
      </c>
      <c r="C9" s="2391"/>
      <c r="D9" s="3521"/>
      <c r="E9" s="2390"/>
      <c r="F9" s="2392"/>
      <c r="G9" s="2661"/>
      <c r="H9" s="2661"/>
      <c r="I9" s="2661"/>
      <c r="J9" s="2435"/>
      <c r="K9" s="2612"/>
      <c r="L9" s="2609"/>
      <c r="M9" s="2609"/>
      <c r="N9" s="2435"/>
      <c r="O9" s="2446"/>
      <c r="P9" s="2435"/>
      <c r="Q9" s="2435"/>
      <c r="R9" s="2435"/>
    </row>
    <row r="10" spans="1:30" ht="13.8" thickTop="1">
      <c r="A10" s="2393" t="s">
        <v>2179</v>
      </c>
      <c r="B10" s="2394" t="s">
        <v>3396</v>
      </c>
      <c r="C10" s="2395"/>
      <c r="D10" s="2378"/>
      <c r="E10" s="2396" t="s">
        <v>2180</v>
      </c>
      <c r="F10" s="2662"/>
      <c r="G10" s="2663"/>
      <c r="H10" s="2664"/>
      <c r="I10" s="2665"/>
      <c r="J10" s="2435"/>
      <c r="K10" s="2612"/>
      <c r="L10" s="2609"/>
      <c r="M10" s="2609"/>
      <c r="N10" s="2435"/>
      <c r="O10" s="2446"/>
      <c r="P10" s="2435"/>
      <c r="Q10" s="2435"/>
      <c r="R10" s="2435"/>
    </row>
    <row r="11" spans="1:30">
      <c r="A11" s="2397" t="s">
        <v>2181</v>
      </c>
      <c r="B11" s="2398" t="s">
        <v>3397</v>
      </c>
      <c r="C11" s="2399"/>
      <c r="D11" s="2400"/>
      <c r="E11" s="2366"/>
      <c r="F11" s="2366"/>
      <c r="G11" s="2366"/>
      <c r="H11" s="2366"/>
      <c r="I11" s="2366"/>
      <c r="J11" s="3057"/>
      <c r="K11" s="3056"/>
      <c r="L11" s="2609"/>
      <c r="M11" s="2609"/>
      <c r="N11" s="2435"/>
      <c r="O11" s="2446"/>
      <c r="P11" s="2435"/>
      <c r="Q11" s="2435"/>
      <c r="R11" s="2435"/>
    </row>
    <row r="12" spans="1:30">
      <c r="A12" s="2401" t="s">
        <v>2182</v>
      </c>
      <c r="B12" s="322" t="s">
        <v>2183</v>
      </c>
      <c r="C12" s="2402" t="s">
        <v>2184</v>
      </c>
      <c r="D12" s="2402" t="s">
        <v>2185</v>
      </c>
      <c r="E12" s="2402" t="s">
        <v>2186</v>
      </c>
      <c r="F12" s="2402" t="s">
        <v>2187</v>
      </c>
      <c r="G12" s="2402" t="s">
        <v>2188</v>
      </c>
      <c r="H12" s="2402" t="s">
        <v>2189</v>
      </c>
      <c r="I12" s="3055" t="s">
        <v>2579</v>
      </c>
      <c r="J12" s="3058"/>
      <c r="K12" s="2609"/>
      <c r="L12" s="2609"/>
      <c r="M12" s="2435"/>
      <c r="N12" s="2446"/>
      <c r="O12" s="2435"/>
      <c r="P12" s="2435"/>
      <c r="Q12" s="2435"/>
      <c r="AD12" s="1741"/>
    </row>
    <row r="13" spans="1:30">
      <c r="A13" s="3419" t="s">
        <v>3339</v>
      </c>
      <c r="B13" s="2403" t="s">
        <v>2190</v>
      </c>
      <c r="C13" s="852"/>
      <c r="D13" s="852">
        <v>55156</v>
      </c>
      <c r="E13" s="852"/>
      <c r="F13" s="852">
        <v>58809</v>
      </c>
      <c r="G13" s="852"/>
      <c r="H13" s="852"/>
      <c r="I13" s="852"/>
      <c r="J13" s="3058"/>
      <c r="K13" s="2609"/>
      <c r="L13" s="2609"/>
      <c r="M13" s="2435"/>
      <c r="N13" s="2446"/>
      <c r="O13" s="2435"/>
      <c r="P13" s="2435"/>
      <c r="Q13" s="2435"/>
      <c r="AD13" s="1741"/>
    </row>
    <row r="14" spans="1:30">
      <c r="A14" s="1077"/>
      <c r="B14" s="2403" t="s">
        <v>2191</v>
      </c>
      <c r="C14" s="2404"/>
      <c r="D14" s="2404">
        <v>40</v>
      </c>
      <c r="E14" s="2404"/>
      <c r="F14" s="2404">
        <v>50</v>
      </c>
      <c r="G14" s="2404"/>
      <c r="H14" s="2404"/>
      <c r="I14" s="2404"/>
      <c r="J14" s="3059"/>
      <c r="K14" s="2609"/>
      <c r="L14" s="2609"/>
      <c r="M14" s="2435"/>
      <c r="N14" s="2446"/>
      <c r="O14" s="2435"/>
      <c r="P14" s="2435"/>
      <c r="Q14" s="2435"/>
      <c r="AD14" s="1741"/>
    </row>
    <row r="15" spans="1:30">
      <c r="A15" s="319"/>
      <c r="B15" s="2405" t="s">
        <v>2192</v>
      </c>
      <c r="C15" s="2406" t="str">
        <f>IF(A13="出让",IF(C13="","",ROUNDDOWN(MIN((C13-$D$3)/365,C14),2)),C14)</f>
        <v/>
      </c>
      <c r="D15" s="2406">
        <f>IF(A13="出让",IF(D13="","",ROUNDDOWN(MIN((D13-$D$3)/365,D14),2)),D14)</f>
        <v>27.83</v>
      </c>
      <c r="E15" s="2406" t="str">
        <f>IF(A13="出让",IF(E13="","",ROUNDDOWN(MIN((E13-$D$3)/365,E14),2)),E14)</f>
        <v/>
      </c>
      <c r="F15" s="2406">
        <f>IF(A13="出让",IF(F13="","",ROUNDDOWN(MIN((F13-$D$3)/365,F14),2)),F14)</f>
        <v>37.840000000000003</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2193</v>
      </c>
      <c r="B16" s="3527"/>
      <c r="C16" s="3528"/>
      <c r="D16" s="3529"/>
      <c r="E16" s="2409" t="s">
        <v>2194</v>
      </c>
      <c r="F16" s="3530"/>
      <c r="G16" s="3531"/>
      <c r="H16" s="3531"/>
      <c r="I16" s="3532"/>
      <c r="J16" s="2435"/>
      <c r="K16" s="2613"/>
      <c r="L16" s="2447"/>
      <c r="M16" s="2447"/>
      <c r="N16" s="2505"/>
      <c r="O16" s="2447"/>
      <c r="P16" s="2505"/>
      <c r="Q16" s="2435"/>
      <c r="R16" s="2435"/>
    </row>
    <row r="17" spans="1:28">
      <c r="A17" s="312" t="s">
        <v>2195</v>
      </c>
      <c r="B17" s="301" t="s">
        <v>2196</v>
      </c>
      <c r="C17" s="8">
        <f>'数据-汇总表'!E3</f>
        <v>99232.329999999987</v>
      </c>
      <c r="D17" s="2318" t="s">
        <v>2197</v>
      </c>
      <c r="E17" s="3533" t="s">
        <v>2198</v>
      </c>
      <c r="F17" s="3534"/>
      <c r="G17" s="3534"/>
      <c r="H17" s="3534"/>
      <c r="I17" s="3535"/>
      <c r="J17" s="2435"/>
      <c r="K17" s="2614"/>
      <c r="L17" s="2447"/>
      <c r="M17" s="2447"/>
      <c r="N17" s="2505"/>
      <c r="O17" s="2447"/>
      <c r="P17" s="2505"/>
      <c r="Q17" s="2435"/>
      <c r="R17" s="2435"/>
      <c r="S17" s="2435"/>
      <c r="T17" s="2435"/>
      <c r="U17" s="2435"/>
      <c r="V17" s="2435"/>
    </row>
    <row r="18" spans="1:28" ht="24.6" thickBot="1">
      <c r="A18" s="2410" t="s">
        <v>2199</v>
      </c>
      <c r="B18" s="1086" t="s">
        <v>2200</v>
      </c>
      <c r="C18" s="2411">
        <f>'数据-汇总表'!D3</f>
        <v>12540.52</v>
      </c>
      <c r="D18" s="1088" t="s">
        <v>2201</v>
      </c>
      <c r="E18" s="3536" t="s">
        <v>2202</v>
      </c>
      <c r="F18" s="3537"/>
      <c r="G18" s="3537"/>
      <c r="H18" s="3537"/>
      <c r="I18" s="3538"/>
      <c r="J18" s="2435"/>
      <c r="K18" s="2614"/>
      <c r="L18" s="2447"/>
      <c r="M18" s="2447"/>
      <c r="N18" s="2505"/>
      <c r="O18" s="2447"/>
      <c r="P18" s="2505"/>
      <c r="Q18" s="2435"/>
      <c r="R18" s="2435"/>
      <c r="S18" s="2435"/>
      <c r="T18" s="2435"/>
      <c r="U18" s="2435"/>
      <c r="V18" s="2435"/>
    </row>
    <row r="19" spans="1:28" ht="37.200000000000003" thickTop="1" thickBot="1">
      <c r="A19" s="326" t="s">
        <v>1055</v>
      </c>
      <c r="B19" s="306" t="s">
        <v>2203</v>
      </c>
      <c r="C19" s="1559"/>
      <c r="D19" s="1560" t="s">
        <v>2204</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2205</v>
      </c>
      <c r="B20" s="3523" t="s">
        <v>2206</v>
      </c>
      <c r="C20" s="3524"/>
      <c r="D20" s="3525" t="s">
        <v>2207</v>
      </c>
      <c r="E20" s="3526"/>
      <c r="F20" s="2643" t="s">
        <v>1056</v>
      </c>
      <c r="G20" s="2660"/>
      <c r="H20" s="2660"/>
      <c r="I20" s="2660"/>
      <c r="J20" s="2435"/>
      <c r="K20" s="3522"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36.6" thickBot="1">
      <c r="A21" s="2628"/>
      <c r="B21" s="2629" t="s">
        <v>2209</v>
      </c>
      <c r="C21" s="2630" t="s">
        <v>1057</v>
      </c>
      <c r="D21" s="1564" t="s">
        <v>2210</v>
      </c>
      <c r="E21" s="2631" t="s">
        <v>1057</v>
      </c>
      <c r="F21" s="2644"/>
      <c r="G21" s="2660"/>
      <c r="H21" s="2660"/>
      <c r="I21" s="2660"/>
      <c r="J21" s="2435"/>
      <c r="K21" s="352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36.6" thickBot="1">
      <c r="A22" s="2628"/>
      <c r="B22" s="2632" t="s">
        <v>2211</v>
      </c>
      <c r="C22" s="2630" t="s">
        <v>1058</v>
      </c>
      <c r="D22" s="2659"/>
      <c r="E22" s="2659"/>
      <c r="F22" s="2659"/>
      <c r="G22" s="2660"/>
      <c r="H22" s="2660"/>
      <c r="I22" s="2660"/>
      <c r="J22" s="2435"/>
      <c r="K22" s="352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2212</v>
      </c>
      <c r="B23" s="2498" t="s">
        <v>2213</v>
      </c>
      <c r="C23" s="2634"/>
      <c r="D23" s="2635" t="s">
        <v>2213</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8"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8" thickTop="1">
      <c r="A27" s="3540" t="s">
        <v>2214</v>
      </c>
      <c r="B27" s="319" t="s">
        <v>2215</v>
      </c>
      <c r="C27" s="2412"/>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0"/>
      <c r="B28" s="301" t="s">
        <v>2216</v>
      </c>
      <c r="C28" s="2414"/>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0"/>
      <c r="B29" s="301" t="s">
        <v>2217</v>
      </c>
      <c r="C29" s="2416"/>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1"/>
      <c r="B30" s="301" t="s">
        <v>2218</v>
      </c>
      <c r="C30" s="3542"/>
      <c r="D30" s="3543"/>
      <c r="E30" s="2660"/>
      <c r="F30" s="2660"/>
      <c r="G30" s="2660"/>
      <c r="H30" s="2660"/>
      <c r="I30" s="2660"/>
      <c r="J30" s="2435"/>
      <c r="K30" s="2612"/>
      <c r="L30" s="2609"/>
      <c r="M30" s="2609"/>
      <c r="N30" s="2435"/>
      <c r="O30" s="2446"/>
      <c r="P30" s="2435"/>
      <c r="Q30" s="2435"/>
      <c r="R30" s="2435"/>
      <c r="S30" s="2435"/>
      <c r="T30" s="2435"/>
      <c r="U30" s="2435"/>
      <c r="V30" s="2435"/>
    </row>
    <row r="31" spans="1:28">
      <c r="A31" s="3544" t="s">
        <v>2219</v>
      </c>
      <c r="B31" s="2418"/>
      <c r="C31" s="2319" t="str">
        <f>IF(B31="现房","成新及维护状况正常否",IF(B31="在建","工程状态是否正常",IF(B31="土地","是否闲置","-")))</f>
        <v>-</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45"/>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45"/>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1" t="s">
        <v>2220</v>
      </c>
      <c r="B34" s="2022"/>
      <c r="C34" s="2022"/>
      <c r="D34" s="2022"/>
      <c r="E34" s="2022"/>
      <c r="F34" s="2022"/>
      <c r="G34" s="2022"/>
      <c r="H34" s="2022"/>
      <c r="I34" s="2660"/>
      <c r="J34" s="2435"/>
      <c r="K34" s="2423">
        <f>COUNTIF(B34:H34,"——")</f>
        <v>0</v>
      </c>
      <c r="L34" s="322" t="s">
        <v>2221</v>
      </c>
      <c r="M34" s="322" t="s">
        <v>2222</v>
      </c>
      <c r="N34" s="322" t="s">
        <v>2223</v>
      </c>
      <c r="O34" s="322" t="s">
        <v>2224</v>
      </c>
      <c r="P34" s="322" t="s">
        <v>2225</v>
      </c>
      <c r="Q34" s="322" t="s">
        <v>2226</v>
      </c>
      <c r="R34" s="322" t="s">
        <v>2227</v>
      </c>
      <c r="S34" s="3539" t="s">
        <v>2228</v>
      </c>
      <c r="T34" s="2424" t="str">
        <f>NUMBERSTRING(7-K34,1)&amp;"通"</f>
        <v>七通</v>
      </c>
      <c r="U34" s="2435"/>
      <c r="V34" s="2435"/>
    </row>
    <row r="35" spans="1:30">
      <c r="A35" s="2425"/>
      <c r="B35" s="3546" t="s">
        <v>2229</v>
      </c>
      <c r="C35" s="3546"/>
      <c r="D35" s="3546"/>
      <c r="E35" s="3546"/>
      <c r="F35" s="663">
        <f>C10</f>
        <v>0</v>
      </c>
      <c r="G35" s="2660"/>
      <c r="H35" s="2660"/>
      <c r="I35" s="2660"/>
      <c r="J35" s="2435"/>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39"/>
      <c r="T35" s="328" t="str">
        <f>IF(T34="一通",L35,IF(T34="二通",M35,IF(T34="三通",N35,IF(T34="四通",O35,IF(T34="五通",P35,IF(T34="六通",Q35,R35))))))</f>
        <v>、、、、、、</v>
      </c>
      <c r="U35" s="2435"/>
      <c r="V35" s="2435"/>
    </row>
    <row r="36" spans="1:30">
      <c r="A36" s="2426"/>
      <c r="B36" s="663" t="s">
        <v>2185</v>
      </c>
      <c r="C36" s="663" t="s">
        <v>2186</v>
      </c>
      <c r="D36" s="663" t="s">
        <v>2184</v>
      </c>
      <c r="E36" s="663" t="s">
        <v>2189</v>
      </c>
      <c r="F36" s="3061" t="s">
        <v>2582</v>
      </c>
      <c r="G36" s="2660"/>
      <c r="H36" s="2660"/>
      <c r="I36" s="2660"/>
      <c r="J36" s="2435"/>
      <c r="K36" s="2612"/>
      <c r="L36" s="2609"/>
      <c r="M36" s="2609"/>
      <c r="N36" s="2435"/>
      <c r="O36" s="2446"/>
      <c r="P36" s="2435"/>
      <c r="Q36" s="2435"/>
      <c r="R36" s="2435"/>
      <c r="S36" s="2435"/>
      <c r="T36" s="2435"/>
      <c r="U36" s="2435"/>
      <c r="V36" s="2435"/>
    </row>
    <row r="37" spans="1:30">
      <c r="A37" s="2626" t="s">
        <v>2230</v>
      </c>
      <c r="B37" s="2427" t="s">
        <v>303</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8" thickBot="1">
      <c r="A38" s="2627" t="s">
        <v>2231</v>
      </c>
      <c r="B38" s="2428" t="s">
        <v>2990</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4" thickTop="1" thickBot="1">
      <c r="A39" s="2429" t="s">
        <v>2232</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2233</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2">
      <c r="A42" s="322" t="s">
        <v>2234</v>
      </c>
      <c r="B42" s="8" t="s">
        <v>2235</v>
      </c>
      <c r="C42" s="8" t="s">
        <v>2236</v>
      </c>
      <c r="D42" s="8" t="s">
        <v>2237</v>
      </c>
      <c r="E42" s="8" t="s">
        <v>2238</v>
      </c>
      <c r="F42" s="8" t="s">
        <v>2239</v>
      </c>
      <c r="G42" s="8" t="s">
        <v>2240</v>
      </c>
      <c r="H42" s="8" t="s">
        <v>2241</v>
      </c>
      <c r="I42" s="8" t="s">
        <v>2242</v>
      </c>
      <c r="J42" s="2622" t="s">
        <v>2243</v>
      </c>
      <c r="K42" s="2623" t="s">
        <v>2244</v>
      </c>
      <c r="L42" s="2623" t="s">
        <v>2245</v>
      </c>
      <c r="M42" s="2623" t="s">
        <v>2246</v>
      </c>
      <c r="N42" s="2616" t="s">
        <v>2247</v>
      </c>
      <c r="O42" s="2616" t="s">
        <v>2248</v>
      </c>
      <c r="P42" s="2616" t="s">
        <v>2249</v>
      </c>
      <c r="Q42" s="2617" t="s">
        <v>2250</v>
      </c>
      <c r="R42" s="2617" t="s">
        <v>2251</v>
      </c>
      <c r="S42" s="2435"/>
      <c r="T42" s="2435"/>
      <c r="U42" s="2435"/>
      <c r="V42" s="2435"/>
    </row>
    <row r="43" spans="1:30" s="1739" customFormat="1">
      <c r="A43" s="1566"/>
      <c r="B43" s="1047"/>
      <c r="C43" s="1047"/>
      <c r="D43" s="1047"/>
      <c r="E43" s="1047"/>
      <c r="F43" s="1047"/>
      <c r="G43" s="1047"/>
      <c r="H43" s="1047"/>
      <c r="I43" s="1047"/>
      <c r="J43" s="2433"/>
      <c r="K43" s="2434"/>
      <c r="L43" s="2434"/>
      <c r="M43" s="1047"/>
      <c r="N43" s="1047"/>
      <c r="O43" s="1047"/>
      <c r="P43" s="1047"/>
      <c r="Q43" s="1047"/>
      <c r="R43" s="1047"/>
      <c r="S43" s="2435"/>
      <c r="T43" s="2435"/>
      <c r="U43" s="2435"/>
      <c r="V43" s="2435"/>
    </row>
    <row r="44" spans="1:30" s="1739" customFormat="1">
      <c r="A44" s="1566"/>
      <c r="B44" s="1566"/>
      <c r="C44" s="1047"/>
      <c r="D44" s="1047"/>
      <c r="E44" s="1047"/>
      <c r="F44" s="1047"/>
      <c r="G44" s="1047"/>
      <c r="H44" s="1047"/>
      <c r="I44" s="1047"/>
      <c r="J44" s="2433"/>
      <c r="K44" s="2434"/>
      <c r="L44" s="2434"/>
      <c r="M44" s="1047"/>
      <c r="N44" s="1047"/>
      <c r="O44" s="1047"/>
      <c r="P44" s="1047"/>
      <c r="Q44" s="1047"/>
      <c r="R44" s="1047"/>
      <c r="S44" s="2435"/>
      <c r="T44" s="2435"/>
      <c r="U44" s="2435"/>
      <c r="V44" s="2435"/>
    </row>
    <row r="45" spans="1:30" s="1739" customFormat="1">
      <c r="A45" s="1566"/>
      <c r="B45" s="1566"/>
      <c r="C45" s="1047"/>
      <c r="D45" s="1047"/>
      <c r="E45" s="1047"/>
      <c r="F45" s="1047"/>
      <c r="G45" s="1047"/>
      <c r="H45" s="1047"/>
      <c r="I45" s="1047"/>
      <c r="J45" s="2433"/>
      <c r="K45" s="2434"/>
      <c r="L45" s="2434"/>
      <c r="M45" s="1047"/>
      <c r="N45" s="1047"/>
      <c r="O45" s="1047"/>
      <c r="P45" s="1047"/>
      <c r="Q45" s="1047"/>
      <c r="R45" s="1047"/>
      <c r="S45" s="2435"/>
      <c r="T45" s="2435"/>
      <c r="U45" s="2435"/>
      <c r="V45" s="2435"/>
    </row>
    <row r="46" spans="1:30" s="1739" customFormat="1">
      <c r="A46" s="1566"/>
      <c r="B46" s="1566"/>
      <c r="C46" s="1047"/>
      <c r="D46" s="1047"/>
      <c r="E46" s="1047"/>
      <c r="F46" s="1047"/>
      <c r="G46" s="1047"/>
      <c r="H46" s="1047"/>
      <c r="I46" s="1047"/>
      <c r="J46" s="2433"/>
      <c r="K46" s="2434"/>
      <c r="L46" s="2434"/>
      <c r="M46" s="1047"/>
      <c r="N46" s="1047"/>
      <c r="O46" s="1047"/>
      <c r="P46" s="1047"/>
      <c r="Q46" s="1047"/>
      <c r="R46" s="1047"/>
      <c r="S46" s="2435"/>
      <c r="T46" s="2435"/>
      <c r="U46" s="2435"/>
      <c r="V46" s="2435"/>
    </row>
    <row r="47" spans="1:30" s="1739" customFormat="1">
      <c r="A47" s="1566"/>
      <c r="B47" s="1566"/>
      <c r="C47" s="1047"/>
      <c r="D47" s="1047"/>
      <c r="E47" s="1047"/>
      <c r="F47" s="1047"/>
      <c r="G47" s="1047"/>
      <c r="H47" s="1047"/>
      <c r="I47" s="1047"/>
      <c r="J47" s="2433"/>
      <c r="K47" s="2434"/>
      <c r="L47" s="2434"/>
      <c r="M47" s="1047"/>
      <c r="N47" s="1047"/>
      <c r="O47" s="1047"/>
      <c r="P47" s="1047"/>
      <c r="Q47" s="1047"/>
      <c r="R47" s="1047"/>
      <c r="S47" s="2435"/>
      <c r="T47" s="2435"/>
      <c r="U47" s="2435"/>
      <c r="V47" s="2435"/>
    </row>
    <row r="48" spans="1:30" s="1739" customFormat="1">
      <c r="A48" s="1566"/>
      <c r="B48" s="1566"/>
      <c r="C48" s="1047"/>
      <c r="D48" s="1047"/>
      <c r="E48" s="1047"/>
      <c r="F48" s="1047"/>
      <c r="G48" s="1047"/>
      <c r="H48" s="1047"/>
      <c r="I48" s="1047"/>
      <c r="J48" s="2433"/>
      <c r="K48" s="2434"/>
      <c r="L48" s="2434"/>
      <c r="M48" s="1047"/>
      <c r="N48" s="1047"/>
      <c r="O48" s="1047"/>
      <c r="P48" s="1047"/>
      <c r="Q48" s="1047"/>
      <c r="R48" s="1047"/>
      <c r="S48" s="2435"/>
      <c r="T48" s="2435"/>
      <c r="U48" s="2435"/>
      <c r="V48" s="2435"/>
    </row>
    <row r="49" spans="1:22" s="1739" customFormat="1">
      <c r="A49" s="1566"/>
      <c r="B49" s="1566"/>
      <c r="C49" s="1047"/>
      <c r="D49" s="1047"/>
      <c r="E49" s="1047"/>
      <c r="F49" s="1047"/>
      <c r="G49" s="1047"/>
      <c r="H49" s="1047"/>
      <c r="I49" s="1047"/>
      <c r="J49" s="2433"/>
      <c r="K49" s="2434"/>
      <c r="L49" s="2434"/>
      <c r="M49" s="1047"/>
      <c r="N49" s="1047"/>
      <c r="O49" s="1047"/>
      <c r="P49" s="1047"/>
      <c r="Q49" s="1047"/>
      <c r="R49" s="1047"/>
      <c r="S49" s="2435"/>
      <c r="T49" s="2435"/>
      <c r="U49" s="2435"/>
      <c r="V49" s="2435"/>
    </row>
    <row r="50" spans="1:22" s="1739" customFormat="1">
      <c r="A50" s="1566"/>
      <c r="B50" s="1566"/>
      <c r="C50" s="1047"/>
      <c r="D50" s="1047"/>
      <c r="E50" s="1047"/>
      <c r="F50" s="1047"/>
      <c r="G50" s="1047"/>
      <c r="H50" s="1047"/>
      <c r="I50" s="1047"/>
      <c r="J50" s="2433"/>
      <c r="K50" s="2434"/>
      <c r="L50" s="2434"/>
      <c r="M50" s="1047"/>
      <c r="N50" s="1047"/>
      <c r="O50" s="1047"/>
      <c r="P50" s="1047"/>
      <c r="Q50" s="1047"/>
      <c r="R50" s="1047"/>
      <c r="S50" s="2435"/>
      <c r="T50" s="2435"/>
      <c r="U50" s="2435"/>
      <c r="V50" s="2435"/>
    </row>
    <row r="51" spans="1:22" s="1739" customFormat="1">
      <c r="A51" s="1566"/>
      <c r="B51" s="1566"/>
      <c r="C51" s="1047"/>
      <c r="D51" s="1047"/>
      <c r="E51" s="1047"/>
      <c r="F51" s="1047"/>
      <c r="G51" s="1047"/>
      <c r="H51" s="1047"/>
      <c r="I51" s="1047"/>
      <c r="J51" s="2433"/>
      <c r="K51" s="2434"/>
      <c r="L51" s="2434"/>
      <c r="M51" s="1047"/>
      <c r="N51" s="1047"/>
      <c r="O51" s="1047"/>
      <c r="P51" s="1047"/>
      <c r="Q51" s="1047"/>
      <c r="R51" s="1047"/>
    </row>
    <row r="52" spans="1:22" s="1739" customFormat="1">
      <c r="A52" s="1566"/>
      <c r="B52" s="1566"/>
      <c r="C52" s="1566"/>
      <c r="D52" s="1566"/>
      <c r="E52" s="1566"/>
      <c r="F52" s="1047"/>
      <c r="G52" s="1566"/>
      <c r="H52" s="1566"/>
      <c r="I52" s="1566"/>
      <c r="J52" s="2436"/>
      <c r="K52" s="2434"/>
      <c r="L52" s="2434"/>
      <c r="M52" s="2434"/>
      <c r="N52" s="1566"/>
      <c r="O52" s="1566"/>
      <c r="P52" s="1566"/>
      <c r="Q52" s="1566"/>
      <c r="R52" s="1566"/>
    </row>
    <row r="53" spans="1:22" s="1739" customFormat="1">
      <c r="A53" s="1566"/>
      <c r="B53" s="1566"/>
      <c r="C53" s="1566"/>
      <c r="D53" s="1566"/>
      <c r="E53" s="1566"/>
      <c r="F53" s="1047"/>
      <c r="G53" s="1566"/>
      <c r="H53" s="1566"/>
      <c r="I53" s="1566"/>
      <c r="J53" s="2436"/>
      <c r="K53" s="2434"/>
      <c r="L53" s="2434"/>
      <c r="M53" s="2434"/>
      <c r="N53" s="1566"/>
      <c r="O53" s="1566"/>
      <c r="P53" s="1566"/>
      <c r="Q53" s="1566"/>
      <c r="R53" s="1566"/>
    </row>
    <row r="54" spans="1:22" s="1739" customFormat="1">
      <c r="A54" s="1566"/>
      <c r="B54" s="1566"/>
      <c r="C54" s="1566"/>
      <c r="D54" s="1566"/>
      <c r="E54" s="1566"/>
      <c r="F54" s="1047"/>
      <c r="G54" s="1566"/>
      <c r="H54" s="1566"/>
      <c r="I54" s="1566"/>
      <c r="J54" s="2436"/>
      <c r="K54" s="2434"/>
      <c r="L54" s="2434"/>
      <c r="M54" s="2434"/>
      <c r="N54" s="1566"/>
      <c r="O54" s="1566"/>
      <c r="P54" s="1566"/>
      <c r="Q54" s="1566"/>
      <c r="R54" s="1566"/>
    </row>
    <row r="55" spans="1:22" s="1739" customFormat="1">
      <c r="A55" s="1566"/>
      <c r="B55" s="1566"/>
      <c r="C55" s="1566"/>
      <c r="D55" s="1566"/>
      <c r="E55" s="1566"/>
      <c r="F55" s="1047"/>
      <c r="G55" s="1566"/>
      <c r="H55" s="1566"/>
      <c r="I55" s="1566"/>
      <c r="J55" s="2436"/>
      <c r="K55" s="2434"/>
      <c r="L55" s="2434"/>
      <c r="M55" s="2434"/>
      <c r="N55" s="1566"/>
      <c r="O55" s="1566"/>
      <c r="P55" s="1566"/>
      <c r="Q55" s="1566"/>
      <c r="R55" s="1566"/>
    </row>
    <row r="56" spans="1:22" s="1739" customFormat="1">
      <c r="A56" s="1566"/>
      <c r="B56" s="1566"/>
      <c r="C56" s="1566"/>
      <c r="D56" s="1566"/>
      <c r="E56" s="1566"/>
      <c r="F56" s="1047"/>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I13" activePane="bottomRight" state="frozen"/>
      <selection activeCell="C50" sqref="C50"/>
      <selection pane="topRight" activeCell="C50" sqref="C50"/>
      <selection pane="bottomLeft" activeCell="C50" sqref="C50"/>
      <selection pane="bottomRight" activeCell="M14" sqref="M14"/>
    </sheetView>
  </sheetViews>
  <sheetFormatPr defaultColWidth="8.88671875" defaultRowHeight="13.8"/>
  <cols>
    <col min="1" max="1" width="10.6640625" style="1569" customWidth="1"/>
    <col min="2" max="2" width="11" style="1569" customWidth="1"/>
    <col min="3" max="3" width="10.33203125" style="1569" customWidth="1"/>
    <col min="4" max="4" width="9.109375" style="1569" customWidth="1"/>
    <col min="5" max="6" width="10" style="1630" customWidth="1"/>
    <col min="7" max="8" width="10" style="1569" customWidth="1"/>
    <col min="9" max="9" width="10.6640625" style="1569" customWidth="1"/>
    <col min="10" max="10" width="9.44140625" style="1569" hidden="1" customWidth="1"/>
    <col min="11" max="11" width="11" style="1569" customWidth="1"/>
    <col min="12" max="12" width="9.44140625" style="1569" hidden="1" customWidth="1"/>
    <col min="13" max="14" width="9.44140625" style="1569" customWidth="1"/>
    <col min="15" max="15" width="9.88671875" style="1569" customWidth="1"/>
    <col min="16" max="16" width="9.77734375" style="1569" customWidth="1"/>
    <col min="17" max="17" width="9.33203125" style="1569" customWidth="1"/>
    <col min="18" max="18" width="9.21875" style="1569" customWidth="1"/>
    <col min="19" max="19" width="10.88671875" style="1569" customWidth="1"/>
    <col min="20" max="21" width="10.77734375" style="1569" customWidth="1"/>
    <col min="22" max="22" width="10.88671875" style="1569" customWidth="1"/>
    <col min="23" max="27" width="10.77734375" style="1569" customWidth="1"/>
    <col min="28" max="28" width="10.88671875" style="1569" customWidth="1"/>
    <col min="29" max="29" width="11" style="1569" bestFit="1" customWidth="1"/>
    <col min="30" max="30" width="10" style="1569" bestFit="1" customWidth="1"/>
    <col min="31" max="31" width="9.77734375" style="1569" customWidth="1"/>
    <col min="32" max="46" width="9.44140625" style="1569" customWidth="1"/>
    <col min="47" max="47" width="18.109375" style="1569" customWidth="1"/>
    <col min="48" max="50" width="9.77734375" style="1569" customWidth="1"/>
    <col min="51" max="55" width="10.44140625" style="1569" bestFit="1" customWidth="1"/>
    <col min="56" max="56" width="9.44140625" style="1569" bestFit="1" customWidth="1"/>
    <col min="57" max="63" width="9.109375" style="1569" bestFit="1" customWidth="1"/>
    <col min="64" max="64" width="9.44140625" style="1569" bestFit="1" customWidth="1"/>
    <col min="65" max="65" width="9.109375" style="1569" bestFit="1" customWidth="1"/>
    <col min="66" max="66" width="9.44140625" style="1569" bestFit="1" customWidth="1"/>
    <col min="67" max="69" width="9.109375" style="1569" bestFit="1" customWidth="1"/>
    <col min="70" max="70" width="9.44140625" style="1569" bestFit="1" customWidth="1"/>
    <col min="71" max="71" width="9" style="1569" customWidth="1"/>
    <col min="72" max="72" width="9.109375" style="1569" bestFit="1" customWidth="1"/>
    <col min="73" max="16384" width="8.88671875" style="1569"/>
  </cols>
  <sheetData>
    <row r="1" spans="1:72" ht="21">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3.2">
      <c r="A3" s="10">
        <v>12540.52</v>
      </c>
      <c r="B3" s="11">
        <f>IF(C3="否",G5-AT5,G5)</f>
        <v>99232.329999999987</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3.2">
      <c r="A5" s="12" t="s">
        <v>1071</v>
      </c>
      <c r="B5" s="1343"/>
      <c r="C5" s="1343"/>
      <c r="D5" s="1345"/>
      <c r="E5" s="13" t="s">
        <v>0</v>
      </c>
      <c r="F5" s="13">
        <f>SUM(F13:F587)</f>
        <v>0</v>
      </c>
      <c r="G5" s="13">
        <f>SUM(G13:G587)</f>
        <v>99232.329999999987</v>
      </c>
      <c r="H5" s="13">
        <f t="shared" ref="H5:AT5" si="0">SUM(H13:H656)</f>
        <v>99232.329999999987</v>
      </c>
      <c r="I5" s="13">
        <f t="shared" si="0"/>
        <v>19830.27</v>
      </c>
      <c r="J5" s="13">
        <f t="shared" si="0"/>
        <v>0</v>
      </c>
      <c r="K5" s="13">
        <f t="shared" si="0"/>
        <v>48742.99</v>
      </c>
      <c r="L5" s="13">
        <f t="shared" si="0"/>
        <v>0</v>
      </c>
      <c r="M5" s="13">
        <f t="shared" si="0"/>
        <v>30659.07</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99232.329999999987</v>
      </c>
      <c r="BA5" s="15">
        <f t="shared" si="1"/>
        <v>99232.329999999987</v>
      </c>
      <c r="BB5" s="15">
        <f t="shared" si="1"/>
        <v>19830.27</v>
      </c>
      <c r="BC5" s="15">
        <f t="shared" si="1"/>
        <v>48742.99</v>
      </c>
      <c r="BD5" s="15">
        <f t="shared" si="1"/>
        <v>30659.07</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3.2">
      <c r="A6" s="12" t="s">
        <v>1072</v>
      </c>
      <c r="B6" s="1582"/>
      <c r="C6" s="1582"/>
      <c r="D6" s="1583"/>
      <c r="E6" s="13">
        <f>H6+AC6+AT6</f>
        <v>12540.52</v>
      </c>
      <c r="F6" s="13" t="s">
        <v>0</v>
      </c>
      <c r="G6" s="13" t="s">
        <v>1</v>
      </c>
      <c r="H6" s="17">
        <f>SUMIF(I$12:AB$12,"总值",I6:AB6)</f>
        <v>12540.52</v>
      </c>
      <c r="I6" s="13">
        <f t="shared" ref="I6:AB6" si="2">ROUND($A$3*I5/$B$3,2)</f>
        <v>2506.06</v>
      </c>
      <c r="J6" s="13">
        <f t="shared" si="2"/>
        <v>0</v>
      </c>
      <c r="K6" s="13">
        <f t="shared" si="2"/>
        <v>6159.91</v>
      </c>
      <c r="L6" s="13">
        <f t="shared" si="2"/>
        <v>0</v>
      </c>
      <c r="M6" s="13">
        <f t="shared" si="2"/>
        <v>3874.55</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12540.52</v>
      </c>
      <c r="AZ6" s="13" t="s">
        <v>2</v>
      </c>
      <c r="BA6" s="13">
        <f>ROUND($AY$6*BA5/$AZ$5,2)</f>
        <v>12540.52</v>
      </c>
      <c r="BB6" s="13">
        <f>ROUND($AY$6*BB5/$AZ$5,2)</f>
        <v>2506.06</v>
      </c>
      <c r="BC6" s="13">
        <f t="shared" ref="BC6:BH6" si="4">ROUND($AY$6*BC5/$AZ$5,2)</f>
        <v>6159.91</v>
      </c>
      <c r="BD6" s="13">
        <f t="shared" si="4"/>
        <v>3874.55</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5.2">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5"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3.2">
      <c r="A9" s="1590"/>
      <c r="B9" s="1590"/>
      <c r="C9" s="1590"/>
      <c r="D9" s="1590"/>
      <c r="E9" s="1590"/>
      <c r="F9" s="1590"/>
      <c r="G9" s="1066"/>
      <c r="H9" s="1598" t="s">
        <v>1091</v>
      </c>
      <c r="I9" s="1599" t="s">
        <v>3399</v>
      </c>
      <c r="J9" s="805"/>
      <c r="K9" s="1599" t="s">
        <v>3400</v>
      </c>
      <c r="L9" s="805"/>
      <c r="M9" s="1599" t="s">
        <v>3400</v>
      </c>
      <c r="N9" s="805"/>
      <c r="O9" s="1599"/>
      <c r="P9" s="805"/>
      <c r="Q9" s="1599"/>
      <c r="R9" s="805"/>
      <c r="S9" s="1599"/>
      <c r="T9" s="805"/>
      <c r="U9" s="1599"/>
      <c r="V9" s="805"/>
      <c r="W9" s="1599"/>
      <c r="X9" s="1600"/>
      <c r="Y9" s="1599"/>
      <c r="Z9" s="805"/>
      <c r="AA9" s="1599"/>
      <c r="AB9" s="805"/>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3.2">
      <c r="A10" s="1590"/>
      <c r="B10" s="1590"/>
      <c r="C10" s="1590"/>
      <c r="D10" s="1590"/>
      <c r="E10" s="1590"/>
      <c r="F10" s="1590"/>
      <c r="G10" s="1066"/>
      <c r="H10" s="25"/>
      <c r="I10" s="1599" t="s">
        <v>673</v>
      </c>
      <c r="J10" s="805"/>
      <c r="K10" s="1605" t="s">
        <v>673</v>
      </c>
      <c r="L10" s="805"/>
      <c r="M10" s="1605" t="s">
        <v>3401</v>
      </c>
      <c r="N10" s="805"/>
      <c r="O10" s="1605"/>
      <c r="P10" s="805"/>
      <c r="Q10" s="1605"/>
      <c r="R10" s="805"/>
      <c r="S10" s="1605"/>
      <c r="T10" s="805"/>
      <c r="U10" s="1605"/>
      <c r="V10" s="805"/>
      <c r="W10" s="1605"/>
      <c r="X10" s="805"/>
      <c r="Y10" s="1605"/>
      <c r="Z10" s="805"/>
      <c r="AA10" s="1605"/>
      <c r="AB10" s="805"/>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3.2">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商业</v>
      </c>
      <c r="BC11" s="1595" t="str">
        <f>K10</f>
        <v>商业</v>
      </c>
      <c r="BD11" s="1595" t="str">
        <f>M10</f>
        <v>车库—商业</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3.2">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3.2">
      <c r="A13" s="1047"/>
      <c r="B13" s="1047"/>
      <c r="C13" s="1047"/>
      <c r="D13" s="1621" t="s">
        <v>3398</v>
      </c>
      <c r="E13" s="13">
        <f>IF($C$3="是",ROUND($A$3*G13/$B$3,2),ROUND($A$3*(G13-AT13)/$B$3,2))</f>
        <v>12540.52</v>
      </c>
      <c r="F13" s="29"/>
      <c r="G13" s="30">
        <f>H13+AC13+AT13</f>
        <v>99232.329999999987</v>
      </c>
      <c r="H13" s="17">
        <f>SUMIF(I$12:AB$12,"总值",I13:AB13)</f>
        <v>99232.329999999987</v>
      </c>
      <c r="I13" s="1622">
        <f>Sheet1!C8+Sheet1!C9</f>
        <v>19830.27</v>
      </c>
      <c r="J13" s="1622"/>
      <c r="K13" s="1622">
        <f>Sheet1!C10+Sheet1!C11</f>
        <v>48742.99</v>
      </c>
      <c r="L13" s="1622"/>
      <c r="M13" s="1622">
        <f>Sheet1!C12</f>
        <v>30659.07</v>
      </c>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0</v>
      </c>
      <c r="AY13" s="1345">
        <f>ROUND($AY$6*AZ13/$AZ$5,2)</f>
        <v>12540.52</v>
      </c>
      <c r="AZ13" s="13">
        <f>BA13+BL13</f>
        <v>99232.329999999987</v>
      </c>
      <c r="BA13" s="13">
        <f>SUM(BB13:BK13)</f>
        <v>99232.329999999987</v>
      </c>
      <c r="BB13" s="13">
        <f>IF($D13="是",I13-J13,0)</f>
        <v>19830.27</v>
      </c>
      <c r="BC13" s="13">
        <f>IF($D13="是",K13-L13,0)</f>
        <v>48742.99</v>
      </c>
      <c r="BD13" s="13">
        <f>IF($D13="是",M13-N13,0)</f>
        <v>30659.07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3.2">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3.2">
      <c r="A15" s="1047"/>
      <c r="B15" s="1047"/>
      <c r="C15" s="1566"/>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3.2">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3.2">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topLeftCell="B1" workbookViewId="0">
      <selection activeCell="B26" sqref="B26"/>
    </sheetView>
  </sheetViews>
  <sheetFormatPr defaultColWidth="9" defaultRowHeight="12"/>
  <cols>
    <col min="1" max="1" width="9" style="3470"/>
    <col min="2" max="2" width="16.88671875" style="3470" customWidth="1"/>
    <col min="3" max="3" width="11.21875" style="3470" customWidth="1"/>
    <col min="4" max="7" width="9" style="3470"/>
    <col min="8" max="8" width="10.44140625" style="3470" bestFit="1" customWidth="1"/>
    <col min="9" max="16384" width="9" style="3470"/>
  </cols>
  <sheetData>
    <row r="2" spans="2:8">
      <c r="B2" s="3470" t="s">
        <v>3389</v>
      </c>
      <c r="C2" s="3470" t="s">
        <v>3390</v>
      </c>
      <c r="D2" s="3470">
        <v>19830.27</v>
      </c>
    </row>
    <row r="3" spans="2:8">
      <c r="B3" s="3470" t="s">
        <v>3378</v>
      </c>
      <c r="C3" s="3470" t="s">
        <v>3391</v>
      </c>
      <c r="D3" s="3471">
        <v>62645.83</v>
      </c>
      <c r="E3" s="3471"/>
      <c r="F3" s="3471"/>
    </row>
    <row r="4" spans="2:8">
      <c r="B4" s="3470" t="s">
        <v>3392</v>
      </c>
      <c r="C4" s="3470" t="s">
        <v>3393</v>
      </c>
      <c r="D4" s="3470">
        <v>16756.23</v>
      </c>
    </row>
    <row r="7" spans="2:8">
      <c r="C7" s="3470" t="s">
        <v>3379</v>
      </c>
      <c r="D7" s="3470">
        <v>1</v>
      </c>
      <c r="E7" s="3470">
        <v>2</v>
      </c>
      <c r="F7" s="3470">
        <v>3</v>
      </c>
    </row>
    <row r="8" spans="2:8">
      <c r="B8" s="3470" t="s">
        <v>3380</v>
      </c>
      <c r="C8" s="3470">
        <f>SUM(D8:F8)</f>
        <v>8567.73</v>
      </c>
      <c r="D8" s="3470">
        <f>19830.27-11262.54</f>
        <v>8567.73</v>
      </c>
      <c r="G8" s="3470">
        <v>48000</v>
      </c>
      <c r="H8" s="3470">
        <f>G8*C8</f>
        <v>411251040</v>
      </c>
    </row>
    <row r="9" spans="2:8">
      <c r="B9" s="3470" t="s">
        <v>3381</v>
      </c>
      <c r="C9" s="3470">
        <f t="shared" ref="C9" si="0">SUM(D9:F9)</f>
        <v>11262.54</v>
      </c>
      <c r="D9" s="3470">
        <v>11262.54</v>
      </c>
      <c r="G9" s="3470">
        <v>40000</v>
      </c>
      <c r="H9" s="3470">
        <f t="shared" ref="H9:H12" si="1">G9*C9</f>
        <v>450501600.00000006</v>
      </c>
    </row>
    <row r="10" spans="2:8">
      <c r="B10" s="3470" t="s">
        <v>3382</v>
      </c>
      <c r="C10" s="3470">
        <f>SUM(D10:F10)</f>
        <v>2297.4300000000003</v>
      </c>
      <c r="E10" s="3470">
        <f>356.75+1940.68</f>
        <v>2297.4300000000003</v>
      </c>
      <c r="G10" s="3470">
        <v>20000</v>
      </c>
      <c r="H10" s="3470">
        <f t="shared" si="1"/>
        <v>45948600.000000007</v>
      </c>
    </row>
    <row r="11" spans="2:8">
      <c r="B11" s="3470" t="s">
        <v>3383</v>
      </c>
      <c r="C11" s="3470">
        <f>SUM(D11:F11)</f>
        <v>46445.56</v>
      </c>
      <c r="E11" s="3470">
        <f>17479.34+12209.99</f>
        <v>29689.33</v>
      </c>
      <c r="F11" s="3470">
        <v>16756.23</v>
      </c>
      <c r="G11" s="3470">
        <v>16000</v>
      </c>
      <c r="H11" s="3470">
        <f t="shared" si="1"/>
        <v>743128960</v>
      </c>
    </row>
    <row r="12" spans="2:8">
      <c r="B12" s="3470" t="s">
        <v>3384</v>
      </c>
      <c r="C12" s="3470">
        <f>SUM(D12:F12)</f>
        <v>30659.07</v>
      </c>
      <c r="E12" s="3470">
        <v>30659.07</v>
      </c>
      <c r="G12" s="3470">
        <v>7500</v>
      </c>
      <c r="H12" s="3470">
        <f t="shared" si="1"/>
        <v>229943025</v>
      </c>
    </row>
    <row r="13" spans="2:8">
      <c r="H13" s="3470">
        <f>SUM(H8:H12)/10000</f>
        <v>188077.32250000001</v>
      </c>
    </row>
    <row r="18" spans="2:3">
      <c r="B18" s="3470" t="s">
        <v>3385</v>
      </c>
      <c r="C18" s="3470">
        <f>SUM(C8:C12)</f>
        <v>99232.329999999987</v>
      </c>
    </row>
    <row r="19" spans="2:3">
      <c r="B19" s="3470" t="s">
        <v>3386</v>
      </c>
      <c r="C19" s="3470">
        <v>608100</v>
      </c>
    </row>
    <row r="20" spans="2:3">
      <c r="B20" s="3470" t="s">
        <v>3387</v>
      </c>
      <c r="C20" s="3470">
        <v>76848.83</v>
      </c>
    </row>
    <row r="21" spans="2:3">
      <c r="B21" s="3470" t="s">
        <v>3388</v>
      </c>
      <c r="C21" s="3470">
        <f>ROUND(C18/C19*C20,2)</f>
        <v>12540.52</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70" zoomScaleNormal="100" zoomScaleSheetLayoutView="70" workbookViewId="0">
      <selection activeCell="I8" sqref="I8"/>
    </sheetView>
  </sheetViews>
  <sheetFormatPr defaultColWidth="9.21875" defaultRowHeight="13.8"/>
  <cols>
    <col min="1" max="1" width="12.109375" style="1634" customWidth="1"/>
    <col min="2" max="2" width="10.21875" style="1634" customWidth="1"/>
    <col min="3" max="3" width="18.44140625" style="1634" customWidth="1"/>
    <col min="4" max="4" width="11.6640625" style="1634" customWidth="1"/>
    <col min="5" max="5" width="13.33203125" style="1634" customWidth="1"/>
    <col min="6" max="8" width="11.44140625" style="1634" customWidth="1"/>
    <col min="9" max="9" width="11.109375" style="1634" customWidth="1"/>
    <col min="10" max="10" width="3.109375" style="2645" customWidth="1"/>
    <col min="11" max="16" width="10" style="1634" customWidth="1"/>
    <col min="17" max="17" width="2.6640625" style="1634" customWidth="1"/>
    <col min="18" max="18" width="9.33203125" style="1634" bestFit="1" customWidth="1"/>
    <col min="19" max="19" width="10.44140625" style="1634" bestFit="1" customWidth="1"/>
    <col min="20" max="16384" width="9.21875" style="1634"/>
  </cols>
  <sheetData>
    <row r="1" spans="1:16" ht="18" thickBot="1">
      <c r="A1" s="1633" t="s">
        <v>1130</v>
      </c>
      <c r="B1" s="1135"/>
      <c r="C1" s="1135"/>
      <c r="D1" s="1135"/>
      <c r="E1" s="1135"/>
      <c r="F1" s="1135"/>
      <c r="G1" s="1135"/>
      <c r="H1" s="1135"/>
      <c r="I1" s="1135"/>
      <c r="J1" s="1135"/>
      <c r="K1" s="1135"/>
      <c r="L1" s="1135"/>
      <c r="M1" s="1135"/>
      <c r="N1" s="1135"/>
      <c r="O1" s="1135"/>
      <c r="P1" s="1135"/>
    </row>
    <row r="2" spans="1:16" ht="14.4">
      <c r="A2" s="3556" t="s">
        <v>1131</v>
      </c>
      <c r="B2" s="3556"/>
      <c r="C2" s="3556"/>
      <c r="D2" s="792" t="s">
        <v>1107</v>
      </c>
      <c r="E2" s="1635" t="s">
        <v>1108</v>
      </c>
      <c r="F2" s="2655"/>
      <c r="G2" s="2646"/>
      <c r="H2" s="2647"/>
      <c r="I2" s="2321" t="s">
        <v>1132</v>
      </c>
      <c r="J2" s="2655"/>
      <c r="K2" s="2655"/>
      <c r="L2" s="2655"/>
      <c r="M2" s="2655"/>
      <c r="N2" s="2657"/>
      <c r="O2" s="2655"/>
      <c r="P2" s="2655"/>
    </row>
    <row r="3" spans="1:16" ht="15" thickBot="1">
      <c r="A3" s="3557" t="s">
        <v>1105</v>
      </c>
      <c r="B3" s="3557"/>
      <c r="C3" s="3557"/>
      <c r="D3" s="43">
        <f>'数据-基础表'!AY6</f>
        <v>12540.52</v>
      </c>
      <c r="E3" s="43">
        <f>'数据-基础表'!AZ5</f>
        <v>99232.329999999987</v>
      </c>
      <c r="F3" s="2655"/>
      <c r="G3" s="1141"/>
      <c r="H3" s="1022" t="s">
        <v>1106</v>
      </c>
      <c r="I3" s="851">
        <f>ROUND('数据-基础表'!B3/'数据-基础表'!A3,2)</f>
        <v>7.91</v>
      </c>
      <c r="J3" s="2655"/>
      <c r="K3" s="2655"/>
      <c r="L3" s="2655"/>
      <c r="M3" s="2655"/>
      <c r="N3" s="2657"/>
      <c r="O3" s="2655"/>
      <c r="P3" s="2655"/>
    </row>
    <row r="4" spans="1:16" ht="14.4">
      <c r="A4" s="3558"/>
      <c r="B4" s="3559"/>
      <c r="C4" s="3560"/>
      <c r="D4" s="1637" t="s">
        <v>1107</v>
      </c>
      <c r="E4" s="1638" t="s">
        <v>1108</v>
      </c>
      <c r="F4" s="2655"/>
      <c r="G4" s="2648" t="s">
        <v>1133</v>
      </c>
      <c r="H4" s="1022" t="s">
        <v>1113</v>
      </c>
      <c r="I4" s="851">
        <f>ROUND(SUMIF('数据-基础表'!I9:AS9,"地上",'数据-基础表'!I5:AS5)/'数据-基础表'!A3,2)</f>
        <v>1.58</v>
      </c>
      <c r="J4" s="2655"/>
      <c r="K4" s="2655"/>
      <c r="L4" s="2655"/>
      <c r="M4" s="2655"/>
      <c r="N4" s="2657"/>
      <c r="O4" s="2655"/>
      <c r="P4" s="2655"/>
    </row>
    <row r="5" spans="1:16" ht="14.4">
      <c r="A5" s="44" t="s">
        <v>1109</v>
      </c>
      <c r="B5" s="3561" t="s">
        <v>1110</v>
      </c>
      <c r="C5" s="3561"/>
      <c r="D5" s="45">
        <f>ROUND($D$3*E5/$E$3,2)</f>
        <v>0</v>
      </c>
      <c r="E5" s="46">
        <f>SUMIF('数据-基础表'!$11:$11,"住宅",'数据-基础表'!$5:$5)</f>
        <v>0</v>
      </c>
      <c r="F5" s="2655"/>
      <c r="G5" s="1141"/>
      <c r="H5" s="1022" t="s">
        <v>1106</v>
      </c>
      <c r="I5" s="851">
        <f>ROUND(E31/D31,2)</f>
        <v>7.91</v>
      </c>
      <c r="J5" s="2655"/>
      <c r="K5" s="2655"/>
      <c r="L5" s="2655"/>
      <c r="M5" s="2655"/>
      <c r="N5" s="2655"/>
      <c r="O5" s="2655"/>
      <c r="P5" s="2655"/>
    </row>
    <row r="6" spans="1:16" ht="15" thickBot="1">
      <c r="A6" s="1640"/>
      <c r="B6" s="3561" t="s">
        <v>1111</v>
      </c>
      <c r="C6" s="3561"/>
      <c r="D6" s="45">
        <f>ROUND($D$3*E6/$E$3,2)</f>
        <v>12540.52</v>
      </c>
      <c r="E6" s="46">
        <f>E3-E5</f>
        <v>99232.329999999987</v>
      </c>
      <c r="F6" s="2655"/>
      <c r="G6" s="2649" t="s">
        <v>1112</v>
      </c>
      <c r="H6" s="1142" t="s">
        <v>1113</v>
      </c>
      <c r="I6" s="2650">
        <f>ROUND(F31/D31,2)</f>
        <v>1.58</v>
      </c>
      <c r="J6" s="2655"/>
      <c r="K6" s="2655"/>
      <c r="L6" s="2655"/>
      <c r="M6" s="2655"/>
      <c r="N6" s="2655"/>
      <c r="O6" s="2655"/>
      <c r="P6" s="2655"/>
    </row>
    <row r="7" spans="1:16" ht="15" thickBot="1">
      <c r="A7" s="3553"/>
      <c r="B7" s="3554"/>
      <c r="C7" s="3555"/>
      <c r="D7" s="1637" t="s">
        <v>1107</v>
      </c>
      <c r="E7" s="1641" t="s">
        <v>1114</v>
      </c>
      <c r="F7" s="2655"/>
      <c r="G7" s="2651" t="s">
        <v>1115</v>
      </c>
      <c r="H7" s="2652"/>
      <c r="I7" s="2653">
        <v>5.07</v>
      </c>
      <c r="J7" s="2655"/>
      <c r="K7" s="2655"/>
      <c r="L7" s="2655"/>
      <c r="M7" s="2655"/>
      <c r="N7" s="2655"/>
      <c r="O7" s="2655"/>
      <c r="P7" s="2655"/>
    </row>
    <row r="8" spans="1:16" ht="14.4">
      <c r="A8" s="44" t="s">
        <v>1116</v>
      </c>
      <c r="B8" s="47" t="s">
        <v>1117</v>
      </c>
      <c r="C8" s="45" t="s">
        <v>1118</v>
      </c>
      <c r="D8" s="45">
        <f t="shared" ref="D8:D15" si="0">ROUND($D$3*E8/$E$3,2)</f>
        <v>2506.06</v>
      </c>
      <c r="E8" s="48">
        <f>SUMIF('数据-基础表'!BB10:BK10,"地上",'数据-基础表'!BB5:BK5)</f>
        <v>19830.27</v>
      </c>
      <c r="F8" s="2655"/>
      <c r="G8" s="2656"/>
      <c r="H8" s="2656"/>
      <c r="I8" s="2655"/>
      <c r="J8" s="2655"/>
      <c r="K8" s="2655"/>
      <c r="L8" s="2655"/>
      <c r="M8" s="2655"/>
      <c r="N8" s="2655"/>
      <c r="O8" s="2655"/>
      <c r="P8" s="2655"/>
    </row>
    <row r="9" spans="1:16" ht="14.4">
      <c r="A9" s="1642"/>
      <c r="B9" s="1643"/>
      <c r="C9" s="45" t="s">
        <v>1119</v>
      </c>
      <c r="D9" s="45">
        <f t="shared" si="0"/>
        <v>0</v>
      </c>
      <c r="E9" s="49">
        <v>0</v>
      </c>
      <c r="F9" s="2655"/>
      <c r="G9" s="2656"/>
      <c r="H9" s="2656"/>
      <c r="I9" s="2655"/>
      <c r="J9" s="2655"/>
      <c r="K9" s="2655"/>
      <c r="L9" s="2655"/>
      <c r="M9" s="2655"/>
      <c r="N9" s="2655"/>
      <c r="O9" s="2655"/>
      <c r="P9" s="2655"/>
    </row>
    <row r="10" spans="1:16" ht="14.4">
      <c r="A10" s="1642"/>
      <c r="B10" s="1643"/>
      <c r="C10" s="45" t="s">
        <v>1128</v>
      </c>
      <c r="D10" s="45">
        <f t="shared" si="0"/>
        <v>6159.91</v>
      </c>
      <c r="E10" s="48">
        <f>SUMPRODUCT(('数据-基础表'!BB10:BK10="地下")*('数据-基础表'!BB11:BK11="商业")*('数据-基础表'!BB5:BK5))</f>
        <v>48742.99</v>
      </c>
      <c r="F10" s="2655"/>
      <c r="G10" s="2656"/>
      <c r="H10" s="2656"/>
      <c r="I10" s="2655"/>
      <c r="J10" s="2655"/>
      <c r="K10" s="2655"/>
      <c r="L10" s="2655"/>
      <c r="M10" s="2655"/>
      <c r="N10" s="2655"/>
      <c r="O10" s="2655"/>
      <c r="P10" s="2655"/>
    </row>
    <row r="11" spans="1:16" ht="14.4">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ht="14.4">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ht="14.4">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ht="14.4">
      <c r="A14" s="1642"/>
      <c r="B14" s="1643"/>
      <c r="C14" s="45" t="s">
        <v>1134</v>
      </c>
      <c r="D14" s="45">
        <f t="shared" si="0"/>
        <v>3874.55</v>
      </c>
      <c r="E14" s="48">
        <f>SUMPRODUCT(('数据-基础表'!BB10:BK10="地下")*('数据-基础表'!BB11:BK11="车库—商业")*('数据-基础表'!BB5:BK5))</f>
        <v>30659.07</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 thickBot="1">
      <c r="A16" s="1640"/>
      <c r="B16" s="1643"/>
      <c r="C16" s="47" t="s">
        <v>1123</v>
      </c>
      <c r="D16" s="47">
        <f>SUM(D8:D15)</f>
        <v>12540.52</v>
      </c>
      <c r="E16" s="50">
        <f>SUM(E8:E15)</f>
        <v>99232.329999999987</v>
      </c>
      <c r="F16" s="2655"/>
      <c r="G16" s="2656"/>
      <c r="H16" s="1644" t="s">
        <v>1135</v>
      </c>
      <c r="I16" s="1645"/>
      <c r="J16" s="1135"/>
      <c r="K16" s="3550" t="s">
        <v>1135</v>
      </c>
      <c r="L16" s="3551"/>
      <c r="M16" s="3551"/>
      <c r="N16" s="3551"/>
      <c r="O16" s="3551"/>
      <c r="P16" s="3552"/>
    </row>
    <row r="17" spans="1:19" ht="14.4">
      <c r="A17" s="1646" t="s">
        <v>1136</v>
      </c>
      <c r="B17" s="1647" t="s">
        <v>1137</v>
      </c>
      <c r="C17" s="1648" t="s">
        <v>1138</v>
      </c>
      <c r="D17" s="1649" t="s">
        <v>1126</v>
      </c>
      <c r="E17" s="1650" t="s">
        <v>1127</v>
      </c>
      <c r="F17" s="1651"/>
      <c r="G17" s="1652"/>
      <c r="H17" s="1653" t="s">
        <v>1139</v>
      </c>
      <c r="I17" s="1654" t="s">
        <v>1124</v>
      </c>
      <c r="J17" s="1135"/>
      <c r="K17" s="3547" t="s">
        <v>1140</v>
      </c>
      <c r="L17" s="3548"/>
      <c r="M17" s="3549"/>
      <c r="N17" s="3547" t="s">
        <v>1141</v>
      </c>
      <c r="O17" s="3548"/>
      <c r="P17" s="3549"/>
      <c r="R17" s="1636" t="s">
        <v>1142</v>
      </c>
      <c r="S17" s="56"/>
    </row>
    <row r="18" spans="1:19" ht="14.4">
      <c r="A18" s="1642"/>
      <c r="B18" s="1655"/>
      <c r="C18" s="1656"/>
      <c r="D18" s="1657"/>
      <c r="E18" s="1658" t="s">
        <v>1143</v>
      </c>
      <c r="F18" s="1659" t="s">
        <v>1144</v>
      </c>
      <c r="G18" s="1660" t="s">
        <v>1145</v>
      </c>
      <c r="H18" s="1037" t="s">
        <v>1146</v>
      </c>
      <c r="I18" s="1661" t="s">
        <v>1147</v>
      </c>
      <c r="J18" s="1135"/>
      <c r="K18" s="1037" t="s">
        <v>1148</v>
      </c>
      <c r="L18" s="1662" t="s">
        <v>1149</v>
      </c>
      <c r="M18" s="851" t="s">
        <v>1150</v>
      </c>
      <c r="N18" s="1037" t="s">
        <v>1148</v>
      </c>
      <c r="O18" s="1662" t="s">
        <v>1149</v>
      </c>
      <c r="P18" s="851" t="s">
        <v>1150</v>
      </c>
      <c r="R18" s="1022" t="s">
        <v>1151</v>
      </c>
      <c r="S18" s="1022" t="s">
        <v>1152</v>
      </c>
    </row>
    <row r="19" spans="1:19" ht="14.4">
      <c r="A19" s="1663"/>
      <c r="B19" s="47" t="s">
        <v>1125</v>
      </c>
      <c r="C19" s="3413" t="s">
        <v>3403</v>
      </c>
      <c r="D19" s="45">
        <f>ROUND($D$3*E19/$E$3,2)</f>
        <v>2506.06</v>
      </c>
      <c r="E19" s="53">
        <f t="shared" ref="E19:E26" si="1">SUM(F19:G19)</f>
        <v>19830.27</v>
      </c>
      <c r="F19" s="2791">
        <f>'数据-基础表'!I13</f>
        <v>19830.27</v>
      </c>
      <c r="G19" s="2792"/>
      <c r="H19" s="669">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2506.06</v>
      </c>
      <c r="S19" s="1023">
        <f t="shared" si="5"/>
        <v>19830.27</v>
      </c>
    </row>
    <row r="20" spans="1:19" ht="14.4">
      <c r="A20" s="1666"/>
      <c r="B20" s="47" t="s">
        <v>1153</v>
      </c>
      <c r="C20" s="3413" t="s">
        <v>3405</v>
      </c>
      <c r="D20" s="45">
        <f t="shared" ref="D20:D26" si="6">ROUND($D$3*E20/$E$3,2)</f>
        <v>4042.34</v>
      </c>
      <c r="E20" s="53">
        <f t="shared" si="1"/>
        <v>31986.760000000002</v>
      </c>
      <c r="F20" s="2791"/>
      <c r="G20" s="2792">
        <f>Sheet1!E10+Sheet1!E11</f>
        <v>31986.760000000002</v>
      </c>
      <c r="H20" s="669">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4042.34</v>
      </c>
      <c r="S20" s="1023">
        <f t="shared" si="5"/>
        <v>31986.760000000002</v>
      </c>
    </row>
    <row r="21" spans="1:19" ht="14.4">
      <c r="A21" s="1666"/>
      <c r="B21" s="47" t="s">
        <v>1153</v>
      </c>
      <c r="C21" s="3413" t="s">
        <v>3407</v>
      </c>
      <c r="D21" s="45">
        <f t="shared" si="6"/>
        <v>3874.55</v>
      </c>
      <c r="E21" s="53">
        <f t="shared" si="1"/>
        <v>30659.07</v>
      </c>
      <c r="F21" s="2791"/>
      <c r="G21" s="2792">
        <f>'数据-基础表'!M13</f>
        <v>30659.07</v>
      </c>
      <c r="H21" s="669">
        <f t="shared" si="7"/>
        <v>0</v>
      </c>
      <c r="I21" s="48">
        <f t="shared" si="2"/>
        <v>0</v>
      </c>
      <c r="J21" s="1135"/>
      <c r="K21" s="1134">
        <f t="shared" si="3"/>
        <v>0</v>
      </c>
      <c r="L21" s="1022">
        <f t="shared" si="4"/>
        <v>0</v>
      </c>
      <c r="M21" s="1146">
        <f t="shared" si="8"/>
        <v>0</v>
      </c>
      <c r="N21" s="1664"/>
      <c r="O21" s="1665"/>
      <c r="P21" s="1146">
        <f t="shared" si="9"/>
        <v>0</v>
      </c>
      <c r="R21" s="1022">
        <f t="shared" si="5"/>
        <v>3874.55</v>
      </c>
      <c r="S21" s="1023">
        <f t="shared" si="5"/>
        <v>30659.07</v>
      </c>
    </row>
    <row r="22" spans="1:19" ht="14.4">
      <c r="A22" s="1666"/>
      <c r="B22" s="47" t="s">
        <v>1153</v>
      </c>
      <c r="C22" s="3414" t="s">
        <v>3409</v>
      </c>
      <c r="D22" s="45">
        <f t="shared" si="6"/>
        <v>2117.5700000000002</v>
      </c>
      <c r="E22" s="53">
        <f t="shared" si="1"/>
        <v>16756.23</v>
      </c>
      <c r="F22" s="2793"/>
      <c r="G22" s="2794">
        <f>Sheet1!F11</f>
        <v>16756.23</v>
      </c>
      <c r="H22" s="669">
        <f t="shared" si="7"/>
        <v>0</v>
      </c>
      <c r="I22" s="48">
        <f t="shared" si="2"/>
        <v>0</v>
      </c>
      <c r="J22" s="1135"/>
      <c r="K22" s="1134">
        <f t="shared" si="3"/>
        <v>0</v>
      </c>
      <c r="L22" s="1022">
        <f t="shared" si="4"/>
        <v>0</v>
      </c>
      <c r="M22" s="1146">
        <f t="shared" si="8"/>
        <v>0</v>
      </c>
      <c r="N22" s="1664"/>
      <c r="O22" s="1665"/>
      <c r="P22" s="1146">
        <f t="shared" si="9"/>
        <v>0</v>
      </c>
      <c r="R22" s="1022">
        <f t="shared" si="5"/>
        <v>2117.5700000000002</v>
      </c>
      <c r="S22" s="1023">
        <f t="shared" si="5"/>
        <v>16756.23</v>
      </c>
    </row>
    <row r="23" spans="1:19" ht="14.4">
      <c r="A23" s="1666"/>
      <c r="B23" s="47" t="s">
        <v>1153</v>
      </c>
      <c r="C23" s="3414"/>
      <c r="D23" s="45">
        <f>ROUND($D$3*E23/$E$3,2)</f>
        <v>0</v>
      </c>
      <c r="E23" s="53">
        <f>SUM(F23:G23)</f>
        <v>0</v>
      </c>
      <c r="F23" s="2793"/>
      <c r="G23" s="2794"/>
      <c r="H23" s="669">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ht="14.4">
      <c r="A24" s="1666"/>
      <c r="B24" s="47" t="s">
        <v>1153</v>
      </c>
      <c r="C24" s="3414"/>
      <c r="D24" s="45">
        <f>ROUND($D$3*E24/$E$3,2)</f>
        <v>0</v>
      </c>
      <c r="E24" s="53">
        <f>SUM(F24:G24)</f>
        <v>0</v>
      </c>
      <c r="F24" s="2793"/>
      <c r="G24" s="2794"/>
      <c r="H24" s="669">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ht="14.4">
      <c r="A25" s="1666"/>
      <c r="B25" s="47" t="s">
        <v>1153</v>
      </c>
      <c r="C25" s="3414"/>
      <c r="D25" s="45">
        <f t="shared" si="6"/>
        <v>0</v>
      </c>
      <c r="E25" s="53">
        <f t="shared" si="1"/>
        <v>0</v>
      </c>
      <c r="F25" s="2793"/>
      <c r="G25" s="2794"/>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ht="14.4">
      <c r="A26" s="1666"/>
      <c r="B26" s="47" t="s">
        <v>1153</v>
      </c>
      <c r="C26" s="55"/>
      <c r="D26" s="45">
        <f t="shared" si="6"/>
        <v>0</v>
      </c>
      <c r="E26" s="53">
        <f t="shared" si="1"/>
        <v>0</v>
      </c>
      <c r="F26" s="2793"/>
      <c r="G26" s="2794"/>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 thickBot="1">
      <c r="A27" s="1666"/>
      <c r="B27" s="45"/>
      <c r="C27" s="1669" t="s">
        <v>1154</v>
      </c>
      <c r="D27" s="1136">
        <f>SUM(D19:D26)</f>
        <v>12540.52</v>
      </c>
      <c r="E27" s="1137">
        <f>IF(SUM(E19:E26)='数据-基础表'!BA5,SUM(E19:E26),IF(F27="地上面积有误","面积有误","地下面积有误"))</f>
        <v>99232.33</v>
      </c>
      <c r="F27" s="1136">
        <f>IF(SUM(F19:F26)=E8,SUM(F19:F26),"地上面积有误")</f>
        <v>19830.27</v>
      </c>
      <c r="G27" s="1138">
        <f>SUM(G19:G26)</f>
        <v>79402.06</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12540.52</v>
      </c>
      <c r="S27" s="1022">
        <f>IF(SUM(S19:S26)=$E$3,SUM(S19:S26),SUM(S19:S26)&amp;"误差"&amp;ROUND(SUM(S19:S26)-E3,2))</f>
        <v>99232.33</v>
      </c>
    </row>
    <row r="28" spans="1:19" ht="14.4">
      <c r="A28" s="1666"/>
      <c r="B28" s="47" t="s">
        <v>1155</v>
      </c>
      <c r="C28" s="1034"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ht="14.4">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4.4">
      <c r="A30" s="1666"/>
      <c r="B30" s="47"/>
      <c r="C30" s="1671" t="s">
        <v>1154</v>
      </c>
      <c r="D30" s="1136">
        <f>SUM(D28:D29)</f>
        <v>0</v>
      </c>
      <c r="E30" s="1136">
        <f>SUM(E28:E29)</f>
        <v>0</v>
      </c>
      <c r="F30" s="1136">
        <f>SUM(F28:F29)</f>
        <v>0</v>
      </c>
      <c r="G30" s="1138">
        <f>SUM(G28:G29)</f>
        <v>0</v>
      </c>
      <c r="H30" s="2655"/>
      <c r="I30" s="2655"/>
      <c r="J30" s="2655"/>
      <c r="K30" s="2655"/>
      <c r="L30" s="2655"/>
      <c r="M30" s="2655"/>
      <c r="N30" s="2655"/>
      <c r="O30" s="2655"/>
      <c r="P30" s="2655"/>
    </row>
    <row r="31" spans="1:19" ht="15" thickBot="1">
      <c r="A31" s="1672"/>
      <c r="B31" s="1673"/>
      <c r="C31" s="831" t="s">
        <v>1158</v>
      </c>
      <c r="D31" s="674">
        <f>D27+D30</f>
        <v>12540.52</v>
      </c>
      <c r="E31" s="674">
        <f>E27+E30</f>
        <v>99232.33</v>
      </c>
      <c r="F31" s="675">
        <f>F27+F30</f>
        <v>19830.27</v>
      </c>
      <c r="G31" s="676">
        <f>G27+G30</f>
        <v>79402.06</v>
      </c>
      <c r="H31" s="2655"/>
      <c r="I31" s="2655"/>
      <c r="J31" s="2655"/>
      <c r="K31" s="2655"/>
      <c r="L31" s="2655"/>
      <c r="M31" s="2655"/>
      <c r="N31" s="2655"/>
      <c r="O31" s="2655"/>
      <c r="P31" s="2655"/>
    </row>
    <row r="32" spans="1:19" ht="14.4">
      <c r="A32" s="1639"/>
      <c r="B32" s="1639" t="s">
        <v>1159</v>
      </c>
      <c r="C32" s="1639"/>
      <c r="D32" s="1639"/>
      <c r="E32" s="1049">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H6" activePane="bottomRight" state="frozen"/>
      <selection activeCell="C50" sqref="C50"/>
      <selection pane="topRight" activeCell="C50" sqref="C50"/>
      <selection pane="bottomLeft" activeCell="C50" sqref="C50"/>
      <selection pane="bottomRight" activeCell="AF33" sqref="AF33"/>
    </sheetView>
  </sheetViews>
  <sheetFormatPr defaultColWidth="13.77734375" defaultRowHeight="13.2"/>
  <cols>
    <col min="1" max="1" width="20.88671875" style="1741" customWidth="1"/>
    <col min="2" max="2" width="12" style="1678" customWidth="1"/>
    <col min="3" max="3" width="12.77734375" style="1678" customWidth="1"/>
    <col min="4" max="4" width="9.109375" style="1742" customWidth="1"/>
    <col min="5" max="5" width="15" style="1678" bestFit="1" customWidth="1"/>
    <col min="6" max="10" width="8.88671875" style="1678" customWidth="1"/>
    <col min="11" max="12" width="12.33203125" style="1597" customWidth="1"/>
    <col min="13" max="13" width="8.6640625" style="1678" customWidth="1"/>
    <col min="14" max="14" width="11.88671875" style="1678" customWidth="1"/>
    <col min="15" max="15" width="8.44140625" style="1678" customWidth="1"/>
    <col min="16" max="17" width="10.88671875" style="1678" customWidth="1"/>
    <col min="18" max="19" width="12.44140625" style="1678" customWidth="1"/>
    <col min="20" max="20" width="12.109375" style="1678" customWidth="1"/>
    <col min="21" max="21" width="7.44140625" style="1678" customWidth="1"/>
    <col min="22" max="22" width="6.33203125" style="1678" customWidth="1"/>
    <col min="23" max="30" width="6.77734375" style="1678" customWidth="1"/>
    <col min="31" max="31" width="8" style="1678" customWidth="1"/>
    <col min="32" max="34" width="7.21875" style="1678" customWidth="1"/>
    <col min="35" max="39" width="8" style="1678" customWidth="1"/>
    <col min="40" max="40" width="13.77734375" style="1677"/>
    <col min="41" max="41" width="11.6640625" style="1677" customWidth="1"/>
    <col min="42" max="42" width="9.77734375" style="1677" customWidth="1"/>
    <col min="43" max="67" width="13.77734375" style="1677"/>
    <col min="68" max="16384" width="13.77734375" style="1678"/>
  </cols>
  <sheetData>
    <row r="1" spans="1:67" ht="18" thickBot="1">
      <c r="A1" s="1675" t="s">
        <v>1160</v>
      </c>
      <c r="B1" s="677"/>
      <c r="C1" s="1187"/>
      <c r="D1" s="1676"/>
      <c r="E1" s="1187"/>
      <c r="F1" s="1187"/>
      <c r="G1" s="1187"/>
      <c r="H1" s="1187"/>
      <c r="I1" s="1187"/>
      <c r="J1" s="1187"/>
      <c r="K1" s="158"/>
      <c r="L1" s="158"/>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7"/>
      <c r="AO1" s="2667"/>
      <c r="AP1" s="2667"/>
      <c r="AQ1" s="2667"/>
      <c r="AR1" s="2667"/>
    </row>
    <row r="2" spans="1:67" s="1555" customFormat="1" ht="15" thickBot="1">
      <c r="A2" s="1679" t="s">
        <v>1161</v>
      </c>
      <c r="B2" s="1041">
        <f>项目基本情况!D3</f>
        <v>44995</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4.4"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57.6">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3410</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3.8">
      <c r="A6" s="1708" t="str">
        <f>'数据-汇总表'!C19</f>
        <v>地上商业</v>
      </c>
      <c r="B6" s="1709" t="str">
        <f>IF(A6=0,"","经营性")</f>
        <v>经营性</v>
      </c>
      <c r="C6" s="1710" t="s">
        <v>673</v>
      </c>
      <c r="D6" s="854">
        <f>SUMIF(项目基本情况!C$12:I$12,C6,项目基本情况!C$14:I$14)</f>
        <v>40</v>
      </c>
      <c r="E6" s="853">
        <f>IF(B6="","",SUMIF(项目基本情况!C$12:I$12,C6,项目基本情况!C$13:I$13))</f>
        <v>55156</v>
      </c>
      <c r="F6" s="64">
        <f>SUMIF(项目基本情况!C$12:I$12,C6,项目基本情况!C$15:I$15)</f>
        <v>27.83</v>
      </c>
      <c r="G6" s="65">
        <f>IF(ISERROR(ROUND(POWER(1+H6,D6-F6)*(POWER(1+H6,F6)-1)/(POWER(1+H6,D6)-1),3)),0,ROUND(POWER(1+H6,D6-F6)*(POWER(1+H6,F6)-1)/(POWER(1+H6,D6)-1),3))</f>
        <v>0.878</v>
      </c>
      <c r="H6" s="730">
        <v>5.5E-2</v>
      </c>
      <c r="I6" s="3818">
        <v>5.5E-2</v>
      </c>
      <c r="J6" s="66">
        <v>7.4999999999999997E-2</v>
      </c>
      <c r="K6" s="1026">
        <f>SUMIF('数据-汇总表'!C$19:C$33,A6,'数据-汇总表'!E$19:E$33)</f>
        <v>19830.27</v>
      </c>
      <c r="L6" s="731">
        <v>5500</v>
      </c>
      <c r="M6" s="67">
        <f t="shared" ref="M6:M14" si="0">ROUND(K6*L6/10000,0)</f>
        <v>10907</v>
      </c>
      <c r="N6" s="729">
        <f>ROUND(1-(2023-N19)/60,2)</f>
        <v>0.93</v>
      </c>
      <c r="O6" s="67" t="str">
        <f>IF($N$5="成新度","——",ROUND(M6*N6,0))</f>
        <v>——</v>
      </c>
      <c r="P6" s="68" t="str">
        <f>IF($N$5="成新度","——",M6-O6)</f>
        <v>——</v>
      </c>
      <c r="Q6" s="732">
        <v>0.2</v>
      </c>
      <c r="R6" s="69">
        <f ca="1">SUMIF('数据-汇总表'!C$19:C$33,A6,'数据-汇总表'!R$19:R$27)</f>
        <v>2506.06</v>
      </c>
      <c r="S6" s="51">
        <f>IF('数据-汇总表'!$I$17="按面积比例",SUMIF('数据-汇总表'!C$19:C$33,A6,'数据-汇总表'!K$19:K$33),SUMIF('数据-汇总表'!C$19:C$33,A6,'数据-汇总表'!N$19:N$33))</f>
        <v>0</v>
      </c>
      <c r="T6" s="1168">
        <f>ROUND($L$14*S6/10000,0)</f>
        <v>0</v>
      </c>
      <c r="U6" s="3424">
        <f>X23</f>
        <v>8.68</v>
      </c>
      <c r="V6" s="70">
        <v>0.03</v>
      </c>
      <c r="W6" s="70">
        <v>0.1</v>
      </c>
      <c r="X6" s="1036"/>
      <c r="Y6" s="71">
        <f>N6</f>
        <v>0.93</v>
      </c>
      <c r="Z6" s="72"/>
      <c r="AA6" s="66"/>
      <c r="AB6" s="66"/>
      <c r="AC6" s="1036"/>
      <c r="AD6" s="73"/>
      <c r="AE6" s="1037">
        <f ca="1">IF(AN6="",0,SUMIF(INDIRECT("'"&amp;AN6&amp;"'"&amp;"!E:E"),$AE$5,INDIRECT("'"&amp;AN6&amp;"'"&amp;"!F:F")))</f>
        <v>27.83</v>
      </c>
      <c r="AF6" s="1344"/>
      <c r="AG6" s="137">
        <f>IF(AF6="",0,AE6-AF6)</f>
        <v>0</v>
      </c>
      <c r="AH6" s="74"/>
      <c r="AI6" s="76">
        <v>365</v>
      </c>
      <c r="AJ6" s="77"/>
      <c r="AK6" s="78">
        <v>0.01</v>
      </c>
      <c r="AL6" s="79">
        <v>1E-3</v>
      </c>
      <c r="AM6" s="80">
        <v>0.01</v>
      </c>
      <c r="AN6" s="1711" t="s">
        <v>3433</v>
      </c>
      <c r="AO6" s="52">
        <f ca="1">SUMIF(INDIRECT("'"&amp;AN6&amp;"'"&amp;"!A:A"),"总价",INDIRECT("'"&amp;AN6&amp;"'"&amp;"!B:B"))</f>
        <v>88111</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3.8">
      <c r="A7" s="1708" t="str">
        <f>'数据-汇总表'!C20</f>
        <v>地下商业1</v>
      </c>
      <c r="B7" s="1709" t="str">
        <f t="shared" ref="B7:B13" si="1">IF(A7=0,"","经营性")</f>
        <v>经营性</v>
      </c>
      <c r="C7" s="1710" t="s">
        <v>673</v>
      </c>
      <c r="D7" s="854">
        <f>SUMIF(项目基本情况!C$12:I$12,C7,项目基本情况!C$14:I$14)</f>
        <v>40</v>
      </c>
      <c r="E7" s="853">
        <f>IF(B7="","",SUMIF(项目基本情况!C$12:I$12,C7,项目基本情况!C$13:I$13))</f>
        <v>55156</v>
      </c>
      <c r="F7" s="64">
        <f>SUMIF(项目基本情况!C$12:I$12,C7,项目基本情况!C$15:I$15)</f>
        <v>27.83</v>
      </c>
      <c r="G7" s="65">
        <f t="shared" ref="G7:G11" si="2">IF(ISERROR(ROUND(POWER(1+H7,D7-F7)*(POWER(1+H7,F7)-1)/(POWER(1+H7,D7)-1),3)),0,ROUND(POWER(1+H7,D7-F7)*(POWER(1+H7,F7)-1)/(POWER(1+H7,D7)-1),3))</f>
        <v>0.878</v>
      </c>
      <c r="H7" s="730">
        <v>5.5E-2</v>
      </c>
      <c r="I7" s="3818">
        <f>I6</f>
        <v>5.5E-2</v>
      </c>
      <c r="J7" s="66">
        <v>7.4999999999999997E-2</v>
      </c>
      <c r="K7" s="1026">
        <f>SUMIF('数据-汇总表'!C$19:C$33,A7,'数据-汇总表'!E$19:E$33)</f>
        <v>31986.760000000002</v>
      </c>
      <c r="L7" s="3820">
        <v>4500</v>
      </c>
      <c r="M7" s="67">
        <f t="shared" si="0"/>
        <v>14394</v>
      </c>
      <c r="N7" s="729">
        <f>N6</f>
        <v>0.93</v>
      </c>
      <c r="O7" s="67" t="str">
        <f t="shared" ref="O7:O14" si="3">IF($N$5="成新度","——",ROUND(M7*N7,0))</f>
        <v>——</v>
      </c>
      <c r="P7" s="68" t="str">
        <f t="shared" ref="P7:P14" si="4">IF($N$5="成新度","——",M7-O7)</f>
        <v>——</v>
      </c>
      <c r="Q7" s="732">
        <v>0.2</v>
      </c>
      <c r="R7" s="69">
        <f ca="1">SUMIF('数据-汇总表'!C$19:C$33,A7,'数据-汇总表'!R$19:R$27)</f>
        <v>4042.34</v>
      </c>
      <c r="S7" s="51">
        <f>IF('数据-汇总表'!$I$17="按面积比例",SUMIF('数据-汇总表'!C$19:C$33,A7,'数据-汇总表'!K$19:K$33),SUMIF('数据-汇总表'!C$19:C$33,A7,'数据-汇总表'!N$19:N$33))</f>
        <v>0</v>
      </c>
      <c r="T7" s="1168">
        <f t="shared" ref="T7:T13" si="5">ROUND($L$14*S7/10000,0)</f>
        <v>0</v>
      </c>
      <c r="U7" s="3424">
        <f>X28</f>
        <v>3.73</v>
      </c>
      <c r="V7" s="70">
        <v>0.03</v>
      </c>
      <c r="W7" s="70">
        <v>0.1</v>
      </c>
      <c r="X7" s="1036"/>
      <c r="Y7" s="71">
        <f>Y6</f>
        <v>0.93</v>
      </c>
      <c r="Z7" s="72"/>
      <c r="AA7" s="66"/>
      <c r="AB7" s="66"/>
      <c r="AC7" s="1036"/>
      <c r="AD7" s="73"/>
      <c r="AE7" s="1037">
        <f t="shared" ref="AE7:AE13" ca="1" si="6">IF(AN7="",0,SUMIF(INDIRECT("'"&amp;AN7&amp;"'"&amp;"!E:E"),$AE$5,INDIRECT("'"&amp;AN7&amp;"'"&amp;"!F:F")))</f>
        <v>27.83</v>
      </c>
      <c r="AF7" s="1344"/>
      <c r="AG7" s="137">
        <f t="shared" ref="AG7:AG13" si="7">IF(AF7="",0,AE7-AF7)</f>
        <v>0</v>
      </c>
      <c r="AH7" s="74"/>
      <c r="AI7" s="76">
        <v>365</v>
      </c>
      <c r="AJ7" s="77"/>
      <c r="AK7" s="78">
        <f>AK6</f>
        <v>0.01</v>
      </c>
      <c r="AL7" s="78">
        <f t="shared" ref="AL7:AM7" si="8">AL6</f>
        <v>1E-3</v>
      </c>
      <c r="AM7" s="78">
        <f t="shared" si="8"/>
        <v>0.01</v>
      </c>
      <c r="AN7" s="1711" t="s">
        <v>3427</v>
      </c>
      <c r="AO7" s="52">
        <f t="shared" ref="AO7:AO13" ca="1" si="9">SUMIF(INDIRECT("'"&amp;AN7&amp;"'"&amp;"!A:A"),"总价",INDIRECT("'"&amp;AN7&amp;"'"&amp;"!B:B"))</f>
        <v>59424</v>
      </c>
      <c r="AP7" s="1712">
        <f t="shared" ref="AP7:AP13" si="10">IF(C7="住宅",K7*L7,0)</f>
        <v>0</v>
      </c>
      <c r="AQ7" s="52">
        <f t="shared" ref="AQ7:AQ13" si="11">ROUND($L$14*$N$14*S7/10000,0)</f>
        <v>0</v>
      </c>
      <c r="AR7" s="52">
        <f t="shared" ref="AR7:AR13" si="12">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3.8">
      <c r="A8" s="1708" t="str">
        <f>'数据-汇总表'!C21</f>
        <v>地下车库</v>
      </c>
      <c r="B8" s="1709" t="str">
        <f t="shared" si="1"/>
        <v>经营性</v>
      </c>
      <c r="C8" s="1710" t="s">
        <v>3340</v>
      </c>
      <c r="D8" s="854">
        <f>SUMIF(项目基本情况!C$12:I$12,C8,项目基本情况!C$14:I$14)</f>
        <v>50</v>
      </c>
      <c r="E8" s="853">
        <f>IF(B8="","",SUMIF(项目基本情况!C$12:I$12,C8,项目基本情况!C$13:I$13))</f>
        <v>58809</v>
      </c>
      <c r="F8" s="64">
        <f>SUMIF(项目基本情况!C$12:I$12,C8,项目基本情况!C$15:I$15)</f>
        <v>37.840000000000003</v>
      </c>
      <c r="G8" s="65">
        <f t="shared" si="2"/>
        <v>0.92300000000000004</v>
      </c>
      <c r="H8" s="730">
        <v>0.05</v>
      </c>
      <c r="I8" s="730">
        <v>5.5E-2</v>
      </c>
      <c r="J8" s="66">
        <v>7.0000000000000007E-2</v>
      </c>
      <c r="K8" s="1026">
        <f>SUMIF('数据-汇总表'!C$19:C$33,A8,'数据-汇总表'!E$19:E$33)</f>
        <v>30659.07</v>
      </c>
      <c r="L8" s="3820">
        <f>L7</f>
        <v>4500</v>
      </c>
      <c r="M8" s="67">
        <f>ROUND(K8*L8/10000,0)</f>
        <v>13797</v>
      </c>
      <c r="N8" s="729">
        <f>N6</f>
        <v>0.93</v>
      </c>
      <c r="O8" s="67" t="str">
        <f t="shared" si="3"/>
        <v>——</v>
      </c>
      <c r="P8" s="68" t="str">
        <f t="shared" si="4"/>
        <v>——</v>
      </c>
      <c r="Q8" s="732">
        <v>0.1</v>
      </c>
      <c r="R8" s="69">
        <f ca="1">SUMIF('数据-汇总表'!C$19:C$33,A8,'数据-汇总表'!R$19:R$27)</f>
        <v>3874.55</v>
      </c>
      <c r="S8" s="51">
        <f>IF('数据-汇总表'!$I$17="按面积比例",SUMIF('数据-汇总表'!C$19:C$33,A8,'数据-汇总表'!K$19:K$33),SUMIF('数据-汇总表'!C$19:C$33,A8,'数据-汇总表'!N$19:N$33))</f>
        <v>0</v>
      </c>
      <c r="T8" s="1168">
        <f t="shared" si="5"/>
        <v>0</v>
      </c>
      <c r="U8" s="3425">
        <v>1</v>
      </c>
      <c r="V8" s="733">
        <v>0.02</v>
      </c>
      <c r="W8" s="733">
        <v>0.1</v>
      </c>
      <c r="X8" s="1036"/>
      <c r="Y8" s="71">
        <f>Y6</f>
        <v>0.93</v>
      </c>
      <c r="Z8" s="72"/>
      <c r="AA8" s="66"/>
      <c r="AB8" s="66"/>
      <c r="AC8" s="1036"/>
      <c r="AD8" s="73"/>
      <c r="AE8" s="1037">
        <f t="shared" ca="1" si="6"/>
        <v>37.840000000000003</v>
      </c>
      <c r="AF8" s="1344"/>
      <c r="AG8" s="137">
        <f t="shared" si="7"/>
        <v>0</v>
      </c>
      <c r="AH8" s="734"/>
      <c r="AI8" s="76">
        <v>365</v>
      </c>
      <c r="AJ8" s="77"/>
      <c r="AK8" s="3822">
        <v>5.0000000000000001E-3</v>
      </c>
      <c r="AL8" s="735">
        <f t="shared" ref="AL8:AM8" si="13">AL6</f>
        <v>1E-3</v>
      </c>
      <c r="AM8" s="735">
        <f t="shared" si="13"/>
        <v>0.01</v>
      </c>
      <c r="AN8" s="1711" t="s">
        <v>3431</v>
      </c>
      <c r="AO8" s="52">
        <f t="shared" ca="1" si="9"/>
        <v>15106</v>
      </c>
      <c r="AP8" s="1712">
        <f t="shared" si="10"/>
        <v>0</v>
      </c>
      <c r="AQ8" s="52">
        <f t="shared" si="11"/>
        <v>0</v>
      </c>
      <c r="AR8" s="52">
        <f t="shared" si="12"/>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3.8">
      <c r="A9" s="1708" t="str">
        <f>'数据-汇总表'!C22</f>
        <v>地下商业2</v>
      </c>
      <c r="B9" s="1709" t="str">
        <f t="shared" si="1"/>
        <v>经营性</v>
      </c>
      <c r="C9" s="1710" t="s">
        <v>673</v>
      </c>
      <c r="D9" s="854">
        <f>SUMIF(项目基本情况!C$12:I$12,C9,项目基本情况!C$14:I$14)</f>
        <v>40</v>
      </c>
      <c r="E9" s="853">
        <f>IF(B9="","",SUMIF(项目基本情况!C$12:I$12,C9,项目基本情况!C$13:I$13))</f>
        <v>55156</v>
      </c>
      <c r="F9" s="64">
        <f>SUMIF(项目基本情况!C$12:I$12,C9,项目基本情况!C$15:I$15)</f>
        <v>27.83</v>
      </c>
      <c r="G9" s="65">
        <f t="shared" si="2"/>
        <v>0.878</v>
      </c>
      <c r="H9" s="66">
        <v>5.5E-2</v>
      </c>
      <c r="I9" s="3819">
        <f>I6</f>
        <v>5.5E-2</v>
      </c>
      <c r="J9" s="66">
        <v>7.4999999999999997E-2</v>
      </c>
      <c r="K9" s="1026">
        <f>SUMIF('数据-汇总表'!C$19:C$33,A9,'数据-汇总表'!E$19:E$33)</f>
        <v>16756.23</v>
      </c>
      <c r="L9" s="3820">
        <f>L8</f>
        <v>4500</v>
      </c>
      <c r="M9" s="67">
        <f t="shared" si="0"/>
        <v>7540</v>
      </c>
      <c r="N9" s="729">
        <f>N6</f>
        <v>0.93</v>
      </c>
      <c r="O9" s="67" t="str">
        <f t="shared" si="3"/>
        <v>——</v>
      </c>
      <c r="P9" s="68" t="str">
        <f t="shared" si="4"/>
        <v>——</v>
      </c>
      <c r="Q9" s="81">
        <v>0.2</v>
      </c>
      <c r="R9" s="69">
        <f ca="1">SUMIF('数据-汇总表'!C$19:C$33,A9,'数据-汇总表'!R$19:R$27)</f>
        <v>2117.5700000000002</v>
      </c>
      <c r="S9" s="51">
        <f>IF('数据-汇总表'!$I$17="按面积比例",SUMIF('数据-汇总表'!C$19:C$33,A9,'数据-汇总表'!K$19:K$33),SUMIF('数据-汇总表'!C$19:C$33,A9,'数据-汇总表'!N$19:N$33))</f>
        <v>0</v>
      </c>
      <c r="T9" s="1168">
        <f t="shared" si="5"/>
        <v>0</v>
      </c>
      <c r="U9" s="3424">
        <v>3.6</v>
      </c>
      <c r="V9" s="70">
        <v>0.03</v>
      </c>
      <c r="W9" s="70">
        <v>0.1</v>
      </c>
      <c r="X9" s="1036"/>
      <c r="Y9" s="71">
        <f>Y6</f>
        <v>0.93</v>
      </c>
      <c r="Z9" s="72"/>
      <c r="AA9" s="66"/>
      <c r="AB9" s="66"/>
      <c r="AC9" s="1036"/>
      <c r="AD9" s="73"/>
      <c r="AE9" s="1037">
        <f t="shared" ca="1" si="6"/>
        <v>27.83</v>
      </c>
      <c r="AF9" s="1344"/>
      <c r="AG9" s="137">
        <f t="shared" si="7"/>
        <v>0</v>
      </c>
      <c r="AH9" s="74"/>
      <c r="AI9" s="76">
        <v>365</v>
      </c>
      <c r="AJ9" s="77"/>
      <c r="AK9" s="78">
        <f>AK6</f>
        <v>0.01</v>
      </c>
      <c r="AL9" s="78">
        <f t="shared" ref="AL9:AM9" si="14">AL6</f>
        <v>1E-3</v>
      </c>
      <c r="AM9" s="78">
        <f t="shared" si="14"/>
        <v>0.01</v>
      </c>
      <c r="AN9" s="1711" t="s">
        <v>3429</v>
      </c>
      <c r="AO9" s="52">
        <f t="shared" ca="1" si="9"/>
        <v>29970</v>
      </c>
      <c r="AP9" s="1712">
        <f t="shared" si="10"/>
        <v>0</v>
      </c>
      <c r="AQ9" s="52">
        <f t="shared" si="11"/>
        <v>0</v>
      </c>
      <c r="AR9" s="52">
        <f t="shared" si="12"/>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3.8">
      <c r="A10" s="1708">
        <f>'数据-汇总表'!C23</f>
        <v>0</v>
      </c>
      <c r="B10" s="1709" t="str">
        <f t="shared" si="1"/>
        <v/>
      </c>
      <c r="C10" s="1710"/>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4"/>
      <c r="V10" s="70"/>
      <c r="W10" s="70"/>
      <c r="X10" s="1036"/>
      <c r="Y10" s="71"/>
      <c r="Z10" s="72"/>
      <c r="AA10" s="66"/>
      <c r="AB10" s="66"/>
      <c r="AC10" s="1036"/>
      <c r="AD10" s="73"/>
      <c r="AE10" s="1037">
        <f t="shared" ca="1" si="6"/>
        <v>0</v>
      </c>
      <c r="AF10" s="1344"/>
      <c r="AG10" s="137">
        <f t="shared" si="7"/>
        <v>0</v>
      </c>
      <c r="AH10" s="74"/>
      <c r="AI10" s="76"/>
      <c r="AJ10" s="77"/>
      <c r="AK10" s="78"/>
      <c r="AL10" s="79"/>
      <c r="AM10" s="80"/>
      <c r="AN10" s="1711"/>
      <c r="AO10" s="52" t="e">
        <f t="shared" ca="1" si="9"/>
        <v>#REF!</v>
      </c>
      <c r="AP10" s="1712">
        <f t="shared" si="10"/>
        <v>0</v>
      </c>
      <c r="AQ10" s="52">
        <f t="shared" si="11"/>
        <v>0</v>
      </c>
      <c r="AR10" s="52">
        <f t="shared" si="12"/>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3.8">
      <c r="A11" s="1708">
        <f>'数据-汇总表'!C24</f>
        <v>0</v>
      </c>
      <c r="B11" s="1709" t="str">
        <f t="shared" si="1"/>
        <v/>
      </c>
      <c r="C11" s="1710"/>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4"/>
      <c r="V11" s="66"/>
      <c r="W11" s="66"/>
      <c r="X11" s="1036"/>
      <c r="Y11" s="71"/>
      <c r="Z11" s="84"/>
      <c r="AA11" s="66"/>
      <c r="AB11" s="66"/>
      <c r="AC11" s="1036"/>
      <c r="AD11" s="73"/>
      <c r="AE11" s="1037">
        <f t="shared" ca="1" si="6"/>
        <v>0</v>
      </c>
      <c r="AF11" s="1344"/>
      <c r="AG11" s="137">
        <f t="shared" si="7"/>
        <v>0</v>
      </c>
      <c r="AH11" s="74"/>
      <c r="AI11" s="76"/>
      <c r="AJ11" s="77"/>
      <c r="AK11" s="85"/>
      <c r="AL11" s="86"/>
      <c r="AM11" s="87"/>
      <c r="AN11" s="1711"/>
      <c r="AO11" s="52" t="e">
        <f t="shared" ca="1" si="9"/>
        <v>#REF!</v>
      </c>
      <c r="AP11" s="1712">
        <f t="shared" si="10"/>
        <v>0</v>
      </c>
      <c r="AQ11" s="52">
        <f t="shared" si="11"/>
        <v>0</v>
      </c>
      <c r="AR11" s="52">
        <f t="shared" si="12"/>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3.8">
      <c r="A12" s="1708">
        <f>'数据-汇总表'!C25</f>
        <v>0</v>
      </c>
      <c r="B12" s="1709" t="str">
        <f t="shared" si="1"/>
        <v/>
      </c>
      <c r="C12" s="1710"/>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4"/>
      <c r="V12" s="66"/>
      <c r="W12" s="66"/>
      <c r="X12" s="1036"/>
      <c r="Y12" s="71"/>
      <c r="Z12" s="84"/>
      <c r="AA12" s="66"/>
      <c r="AB12" s="66"/>
      <c r="AC12" s="1036"/>
      <c r="AD12" s="73"/>
      <c r="AE12" s="1037">
        <f t="shared" ca="1" si="6"/>
        <v>0</v>
      </c>
      <c r="AF12" s="1344"/>
      <c r="AG12" s="137">
        <f t="shared" si="7"/>
        <v>0</v>
      </c>
      <c r="AH12" s="74"/>
      <c r="AI12" s="76"/>
      <c r="AJ12" s="77"/>
      <c r="AK12" s="85"/>
      <c r="AL12" s="86"/>
      <c r="AM12" s="87"/>
      <c r="AN12" s="1711"/>
      <c r="AO12" s="52" t="e">
        <f t="shared" ca="1" si="9"/>
        <v>#REF!</v>
      </c>
      <c r="AP12" s="1712">
        <f t="shared" si="10"/>
        <v>0</v>
      </c>
      <c r="AQ12" s="52">
        <f t="shared" si="11"/>
        <v>0</v>
      </c>
      <c r="AR12" s="52">
        <f t="shared" si="12"/>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3.8">
      <c r="A13" s="1708">
        <f>'数据-汇总表'!C26</f>
        <v>0</v>
      </c>
      <c r="B13" s="1709" t="str">
        <f t="shared" si="1"/>
        <v/>
      </c>
      <c r="C13" s="1710"/>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6"/>
      <c r="V13" s="70"/>
      <c r="W13" s="70"/>
      <c r="X13" s="1036"/>
      <c r="Y13" s="71"/>
      <c r="Z13" s="72"/>
      <c r="AA13" s="66"/>
      <c r="AB13" s="66"/>
      <c r="AC13" s="1036"/>
      <c r="AD13" s="73"/>
      <c r="AE13" s="1037">
        <f t="shared" ca="1" si="6"/>
        <v>0</v>
      </c>
      <c r="AF13" s="1344"/>
      <c r="AG13" s="137">
        <f t="shared" si="7"/>
        <v>0</v>
      </c>
      <c r="AH13" s="74"/>
      <c r="AI13" s="76"/>
      <c r="AJ13" s="77"/>
      <c r="AK13" s="78"/>
      <c r="AL13" s="79"/>
      <c r="AM13" s="80"/>
      <c r="AN13" s="1711"/>
      <c r="AO13" s="52" t="e">
        <f t="shared" ca="1" si="9"/>
        <v>#REF!</v>
      </c>
      <c r="AP13" s="1712">
        <f t="shared" si="10"/>
        <v>0</v>
      </c>
      <c r="AQ13" s="52">
        <f t="shared" si="11"/>
        <v>0</v>
      </c>
      <c r="AR13" s="52">
        <f t="shared" si="12"/>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4">
      <c r="A14" s="1713" t="s">
        <v>1205</v>
      </c>
      <c r="B14" s="1709" t="s">
        <v>1206</v>
      </c>
      <c r="C14" s="1714" t="s">
        <v>1205</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9"/>
      <c r="V14" s="1031"/>
      <c r="W14" s="1031"/>
      <c r="X14" s="1032"/>
      <c r="Y14" s="1033"/>
      <c r="Z14" s="1034"/>
      <c r="AA14" s="1035"/>
      <c r="AB14" s="1035"/>
      <c r="AC14" s="1036"/>
      <c r="AD14" s="1032"/>
      <c r="AE14" s="1037"/>
      <c r="AF14" s="52"/>
      <c r="AG14" s="137"/>
      <c r="AH14" s="1037"/>
      <c r="AI14" s="1353"/>
      <c r="AJ14" s="702"/>
      <c r="AK14" s="1038"/>
      <c r="AL14" s="1039"/>
      <c r="AM14" s="1040"/>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8.8">
      <c r="A15" s="1713" t="s">
        <v>1207</v>
      </c>
      <c r="B15" s="1709" t="s">
        <v>1206</v>
      </c>
      <c r="C15" s="1714"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9"/>
      <c r="V15" s="1031"/>
      <c r="W15" s="1031"/>
      <c r="X15" s="1032"/>
      <c r="Y15" s="1033"/>
      <c r="Z15" s="1034"/>
      <c r="AA15" s="1035"/>
      <c r="AB15" s="1035"/>
      <c r="AC15" s="1036"/>
      <c r="AD15" s="1032"/>
      <c r="AE15" s="1037"/>
      <c r="AF15" s="52"/>
      <c r="AG15" s="137"/>
      <c r="AH15" s="1037"/>
      <c r="AI15" s="1353"/>
      <c r="AJ15" s="702"/>
      <c r="AK15" s="1038"/>
      <c r="AL15" s="1039"/>
      <c r="AM15" s="1040"/>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 thickBot="1">
      <c r="A16" s="1715" t="s">
        <v>1209</v>
      </c>
      <c r="B16" s="88"/>
      <c r="C16" s="829"/>
      <c r="D16" s="1716"/>
      <c r="E16" s="88"/>
      <c r="F16" s="88"/>
      <c r="G16" s="89">
        <f>ROUND(SUMPRODUCT(G6:G13,K6:K13)/SUMPRODUCT((G6:G13&gt;0)*(K6:K13)),3)</f>
        <v>0.89200000000000002</v>
      </c>
      <c r="H16" s="90">
        <f>ROUND(SUMPRODUCT(H6:H13,K6:K13)/SUMPRODUCT((H6:H13&gt;0)*(K6:K13)),3)</f>
        <v>5.2999999999999999E-2</v>
      </c>
      <c r="I16" s="91"/>
      <c r="J16" s="91"/>
      <c r="K16" s="92">
        <f>SUM(K6:K15)</f>
        <v>99232.33</v>
      </c>
      <c r="L16" s="93">
        <f>ROUND(M16*10000/SUM(K6:K14),0)</f>
        <v>4700</v>
      </c>
      <c r="M16" s="93">
        <f>SUM(M6:M14)</f>
        <v>46638</v>
      </c>
      <c r="N16" s="94">
        <f>ROUND(SUMPRODUCT(M6:M14,N6:N14)/M16,3)</f>
        <v>0.93</v>
      </c>
      <c r="O16" s="93">
        <f>SUM(O6:O14)</f>
        <v>0</v>
      </c>
      <c r="P16" s="93">
        <f>SUM(P6:P14)</f>
        <v>0</v>
      </c>
      <c r="Q16" s="95">
        <f>ROUND(SUMPRODUCT(Q6:Q13,K6:K13)/SUMPRODUCT((Q6:Q13&gt;0)*(K6:K13)),2)</f>
        <v>0.17</v>
      </c>
      <c r="R16" s="1030">
        <f ca="1">SUM(R6:R13)</f>
        <v>12540.52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8" thickBot="1">
      <c r="A17" s="1717"/>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4">
      <c r="A19" s="1718" t="s">
        <v>1211</v>
      </c>
      <c r="B19" s="103">
        <v>0</v>
      </c>
      <c r="C19" s="2795" t="s">
        <v>2305</v>
      </c>
      <c r="D19" s="2672"/>
      <c r="E19" s="2669"/>
      <c r="F19" s="2669"/>
      <c r="G19" s="2669"/>
      <c r="H19" s="2669"/>
      <c r="I19" s="2669"/>
      <c r="J19" s="2669"/>
      <c r="K19" s="2668"/>
      <c r="L19" s="2668"/>
      <c r="M19" s="2667"/>
      <c r="N19" s="2667">
        <v>2019</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4">
      <c r="A20" s="1719" t="s">
        <v>1212</v>
      </c>
      <c r="B20" s="104">
        <v>3</v>
      </c>
      <c r="C20" s="2796" t="s">
        <v>2303</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4">
      <c r="A21" s="1720" t="s">
        <v>1213</v>
      </c>
      <c r="B21" s="104">
        <v>3</v>
      </c>
      <c r="C21" s="2669"/>
      <c r="D21" s="2672"/>
      <c r="E21" s="2669"/>
      <c r="F21" s="2669"/>
      <c r="G21" s="2669"/>
      <c r="H21" s="2669"/>
      <c r="I21" s="2669"/>
      <c r="J21" s="2669"/>
      <c r="K21" s="2668"/>
      <c r="L21" s="2668"/>
      <c r="M21" s="2667"/>
      <c r="N21" s="2667"/>
      <c r="O21" s="2667"/>
      <c r="P21" s="2667"/>
      <c r="Q21" s="2667"/>
      <c r="R21" s="2667"/>
      <c r="S21" s="2667"/>
      <c r="T21" s="3472" t="s">
        <v>3411</v>
      </c>
      <c r="U21" s="2667">
        <v>1</v>
      </c>
      <c r="V21" s="2667">
        <f>Sheet1!D8</f>
        <v>8567.73</v>
      </c>
      <c r="W21" s="2667">
        <v>1</v>
      </c>
      <c r="X21" s="2667">
        <v>9</v>
      </c>
      <c r="Y21" s="2667">
        <f>ROUND(V21/V23,2)</f>
        <v>0.43</v>
      </c>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4">
      <c r="A22" s="1719" t="s">
        <v>1214</v>
      </c>
      <c r="B22" s="105">
        <f>B19+B20</f>
        <v>3</v>
      </c>
      <c r="C22" s="2669"/>
      <c r="D22" s="2672"/>
      <c r="E22" s="2669"/>
      <c r="F22" s="2669"/>
      <c r="G22" s="2669"/>
      <c r="H22" s="2669"/>
      <c r="I22" s="2669"/>
      <c r="J22" s="2669"/>
      <c r="K22" s="2668"/>
      <c r="L22" s="2668"/>
      <c r="M22" s="2667"/>
      <c r="N22" s="2667"/>
      <c r="O22" s="2667"/>
      <c r="P22" s="2667"/>
      <c r="Q22" s="2667"/>
      <c r="R22" s="2667"/>
      <c r="S22" s="2667"/>
      <c r="T22" s="2667"/>
      <c r="U22" s="2667">
        <v>2</v>
      </c>
      <c r="V22" s="2667">
        <f>Sheet1!D9</f>
        <v>11262.54</v>
      </c>
      <c r="W22" s="3821">
        <v>0.75</v>
      </c>
      <c r="X22" s="2667">
        <f>W22*X21*2/1.6</f>
        <v>8.4375</v>
      </c>
      <c r="Y22" s="2667">
        <f>ROUND(V22/V23,2)</f>
        <v>0.56999999999999995</v>
      </c>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4">
      <c r="A23" s="1720" t="s">
        <v>1215</v>
      </c>
      <c r="B23" s="105">
        <f>B19+B21</f>
        <v>3</v>
      </c>
      <c r="C23" s="2669"/>
      <c r="D23" s="2672"/>
      <c r="E23" s="2669"/>
      <c r="F23" s="2669"/>
      <c r="G23" s="2669"/>
      <c r="H23" s="2669"/>
      <c r="I23" s="2669"/>
      <c r="J23" s="2669"/>
      <c r="K23" s="2668"/>
      <c r="L23" s="2668"/>
      <c r="M23" s="2667"/>
      <c r="N23" s="2667"/>
      <c r="O23" s="2667"/>
      <c r="P23" s="2667"/>
      <c r="Q23" s="2667"/>
      <c r="R23" s="2667"/>
      <c r="S23" s="2667"/>
      <c r="T23" s="2667"/>
      <c r="U23" s="2667"/>
      <c r="V23" s="2667">
        <f>V21+V22</f>
        <v>19830.27</v>
      </c>
      <c r="W23" s="2667"/>
      <c r="X23" s="2667">
        <f>ROUND(X21*Y21+X22*Y22,2)</f>
        <v>8.68</v>
      </c>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4.4" thickBot="1">
      <c r="A25" s="1553"/>
      <c r="B25" s="1683"/>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t="s">
        <v>3412</v>
      </c>
      <c r="U26" s="2667">
        <v>-1</v>
      </c>
      <c r="V26" s="2667">
        <f>Sheet1!E10</f>
        <v>2297.4300000000003</v>
      </c>
      <c r="W26" s="2667">
        <v>0.6</v>
      </c>
      <c r="X26" s="2667">
        <f>W26*X21</f>
        <v>5.3999999999999995</v>
      </c>
      <c r="Y26" s="2667">
        <f>ROUND(V26/V28,2)</f>
        <v>7.0000000000000007E-2</v>
      </c>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8">
      <c r="A27" s="1723" t="s">
        <v>1220</v>
      </c>
      <c r="B27" s="107">
        <v>160</v>
      </c>
      <c r="C27" s="2797" t="s">
        <v>2307</v>
      </c>
      <c r="D27" s="2675"/>
      <c r="E27" s="2657"/>
      <c r="F27" s="2657"/>
      <c r="G27" s="2669"/>
      <c r="H27" s="2669"/>
      <c r="I27" s="2669"/>
      <c r="J27" s="2669"/>
      <c r="K27" s="2668"/>
      <c r="L27" s="2668"/>
      <c r="M27" s="2667"/>
      <c r="N27" s="2667"/>
      <c r="O27" s="2667"/>
      <c r="P27" s="2667"/>
      <c r="Q27" s="2667"/>
      <c r="R27" s="2667"/>
      <c r="S27" s="2667"/>
      <c r="T27" s="2667"/>
      <c r="U27" s="2667">
        <v>-2</v>
      </c>
      <c r="V27" s="2667">
        <f>Sheet1!E11</f>
        <v>29689.33</v>
      </c>
      <c r="W27" s="3473">
        <v>0.4</v>
      </c>
      <c r="X27" s="3473">
        <f>W27*X21</f>
        <v>3.6</v>
      </c>
      <c r="Y27" s="2667">
        <f>1-Y26</f>
        <v>0.92999999999999994</v>
      </c>
      <c r="Z27" s="2667"/>
      <c r="AA27" s="2667"/>
      <c r="AB27" s="2667"/>
      <c r="AC27" s="2667"/>
      <c r="AD27" s="2667"/>
      <c r="AE27" s="2667"/>
      <c r="AF27" s="2667"/>
      <c r="AG27" s="2667"/>
      <c r="AH27" s="2667"/>
      <c r="AI27" s="2667"/>
      <c r="AJ27" s="2667"/>
      <c r="AK27" s="2667"/>
      <c r="AL27" s="2667"/>
      <c r="AM27" s="2667"/>
      <c r="AN27" s="2667"/>
      <c r="AO27" s="2667"/>
      <c r="AP27" s="2667"/>
      <c r="AQ27" s="2667"/>
      <c r="AR27" s="2667"/>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4" customFormat="1" ht="28.8">
      <c r="A28" s="1725" t="s">
        <v>1221</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f>V26+V27</f>
        <v>31986.760000000002</v>
      </c>
      <c r="W28" s="2667"/>
      <c r="X28" s="2667">
        <f>ROUND(X26*Y26+X27*Y27,2)</f>
        <v>3.73</v>
      </c>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4" customFormat="1" ht="29.4" thickBot="1">
      <c r="A29" s="1726" t="s">
        <v>1222</v>
      </c>
      <c r="B29" s="112"/>
      <c r="C29" s="2798" t="s">
        <v>2294</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4" customFormat="1" ht="28.8">
      <c r="A30" s="1727" t="s">
        <v>1223</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4" customFormat="1" ht="28.8">
      <c r="A31" s="1725" t="s">
        <v>1224</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4" customFormat="1" ht="29.4" thickBot="1">
      <c r="A32" s="1728" t="s">
        <v>1225</v>
      </c>
      <c r="B32" s="671">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4" customFormat="1" ht="14.4">
      <c r="A33" s="1723" t="s">
        <v>1226</v>
      </c>
      <c r="B33" s="3815">
        <v>0.05</v>
      </c>
      <c r="C33" s="2799" t="s">
        <v>2295</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4" customFormat="1" ht="14.4">
      <c r="A34" s="1725" t="s">
        <v>1227</v>
      </c>
      <c r="B34" s="113"/>
      <c r="C34" s="2799" t="s">
        <v>2296</v>
      </c>
      <c r="D34" s="2680" t="s">
        <v>2304</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4" customFormat="1" ht="14.4">
      <c r="A35" s="1725" t="s">
        <v>1228</v>
      </c>
      <c r="B35" s="110">
        <v>200</v>
      </c>
      <c r="C35" s="2799" t="s">
        <v>2297</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6" t="s">
        <v>1229</v>
      </c>
      <c r="B36" s="114">
        <v>1.4999999999999999E-2</v>
      </c>
      <c r="C36" s="2799" t="s">
        <v>2298</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4">
      <c r="A37" s="1727" t="s">
        <v>1230</v>
      </c>
      <c r="B37" s="3816">
        <v>0.03</v>
      </c>
      <c r="C37" s="2799" t="s">
        <v>2299</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4">
      <c r="A38" s="1725" t="s">
        <v>1231</v>
      </c>
      <c r="B38" s="3817">
        <v>0.03</v>
      </c>
      <c r="C38" s="2799" t="s">
        <v>2299</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4">
      <c r="A39" s="1728" t="s">
        <v>1232</v>
      </c>
      <c r="B39" s="316">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28.2" thickBot="1">
      <c r="A40" s="2811" t="s">
        <v>3413</v>
      </c>
      <c r="B40" s="1074">
        <f ca="1">IF(A40="利息：取LPR",存贷款利率!G1,存贷款利率!G1+C40)</f>
        <v>4.1499999999999995E-2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4">
      <c r="A41" s="1723" t="s">
        <v>1233</v>
      </c>
      <c r="B41" s="115">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4">
      <c r="A42" s="1729" t="s">
        <v>1234</v>
      </c>
      <c r="B42" s="116">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4">
      <c r="A43" s="1729" t="s">
        <v>1235</v>
      </c>
      <c r="B43" s="117">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4">
      <c r="A44" s="1730" t="s">
        <v>1236</v>
      </c>
      <c r="B44" s="118">
        <v>7.0000000000000007E-2</v>
      </c>
      <c r="C44" s="2799" t="s">
        <v>2308</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4">
      <c r="A45" s="1730" t="s">
        <v>1237</v>
      </c>
      <c r="B45" s="116">
        <v>0.03</v>
      </c>
      <c r="C45" s="2798" t="s">
        <v>2300</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4">
      <c r="A46" s="1730" t="s">
        <v>1238</v>
      </c>
      <c r="B46" s="116">
        <v>0.02</v>
      </c>
      <c r="C46" s="2798" t="s">
        <v>2301</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19"/>
      <c r="C47" s="2801" t="s">
        <v>2309</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4">
      <c r="A48" s="1732" t="s">
        <v>1240</v>
      </c>
      <c r="B48" s="120">
        <v>0.03</v>
      </c>
      <c r="C48" s="2798" t="s">
        <v>2300</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6">
        <v>5.0000000000000001E-4</v>
      </c>
      <c r="C49" s="2798" t="s">
        <v>2302</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4">
      <c r="A50" s="1733" t="s">
        <v>1242</v>
      </c>
      <c r="B50" s="121">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2">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4">
      <c r="A52" s="1733" t="s">
        <v>1244</v>
      </c>
      <c r="B52" s="123">
        <f>SUMIF(A54:A63,B53,B54:B63)</f>
        <v>3</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8.8">
      <c r="A53" s="1725" t="s">
        <v>1245</v>
      </c>
      <c r="B53" s="1734" t="s">
        <v>303</v>
      </c>
      <c r="C53" s="2657" t="s">
        <v>1246</v>
      </c>
      <c r="D53" s="2800" t="s">
        <v>2306</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4">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4">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4">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4">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4">
      <c r="A58" s="1735" t="s">
        <v>1251</v>
      </c>
      <c r="B58" s="75">
        <v>3</v>
      </c>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4">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4">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4">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4">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4"/>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89"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89"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89"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89"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89"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89" customFormat="1">
      <c r="A69" s="1737"/>
      <c r="D69" s="1738"/>
      <c r="K69" s="726"/>
      <c r="L69" s="726"/>
    </row>
    <row r="70" spans="1:44" s="789" customFormat="1">
      <c r="A70" s="1737"/>
      <c r="D70" s="1738"/>
      <c r="K70" s="726"/>
      <c r="L70" s="726"/>
    </row>
    <row r="71" spans="1:44" s="789" customFormat="1">
      <c r="A71" s="1737"/>
      <c r="D71" s="1738"/>
      <c r="K71" s="726"/>
      <c r="L71" s="726"/>
    </row>
    <row r="72" spans="1:44" s="789" customFormat="1">
      <c r="A72" s="1737"/>
      <c r="D72" s="1738"/>
      <c r="K72" s="726"/>
      <c r="L72" s="726"/>
    </row>
    <row r="73" spans="1:44" s="789" customFormat="1">
      <c r="A73" s="1737"/>
      <c r="D73" s="1738"/>
      <c r="K73" s="726"/>
      <c r="L73" s="726"/>
    </row>
    <row r="74" spans="1:44" s="789" customFormat="1">
      <c r="A74" s="1737"/>
      <c r="D74" s="1738"/>
      <c r="K74" s="726"/>
      <c r="L74" s="726"/>
    </row>
    <row r="75" spans="1:44" s="789" customFormat="1">
      <c r="A75" s="1737"/>
      <c r="D75" s="1738"/>
      <c r="K75" s="726"/>
      <c r="L75" s="726"/>
    </row>
    <row r="76" spans="1:44" s="789" customFormat="1">
      <c r="A76" s="1737"/>
      <c r="D76" s="1738"/>
      <c r="K76" s="726"/>
      <c r="L76" s="726"/>
    </row>
    <row r="77" spans="1:44" s="789" customFormat="1">
      <c r="A77" s="1737"/>
      <c r="D77" s="1738"/>
      <c r="K77" s="726"/>
      <c r="L77" s="726"/>
    </row>
    <row r="78" spans="1:44" s="789" customFormat="1">
      <c r="A78" s="1737"/>
      <c r="D78" s="1738"/>
      <c r="K78" s="726"/>
      <c r="L78" s="726"/>
    </row>
    <row r="79" spans="1:44" s="789" customFormat="1">
      <c r="A79" s="1737"/>
      <c r="D79" s="1738"/>
      <c r="K79" s="726"/>
      <c r="L79" s="726"/>
    </row>
    <row r="80" spans="1:44" s="789" customFormat="1">
      <c r="A80" s="1737"/>
      <c r="D80" s="1738"/>
      <c r="K80" s="726"/>
      <c r="L80" s="726"/>
    </row>
    <row r="81" spans="1:12" s="789" customFormat="1">
      <c r="A81" s="1737"/>
      <c r="D81" s="1738"/>
      <c r="K81" s="726"/>
      <c r="L81" s="726"/>
    </row>
    <row r="82" spans="1:12" s="789" customFormat="1">
      <c r="A82" s="1737"/>
      <c r="D82" s="1738"/>
      <c r="K82" s="726"/>
      <c r="L82" s="726"/>
    </row>
    <row r="83" spans="1:12" s="789" customFormat="1">
      <c r="A83" s="1737"/>
      <c r="D83" s="1738"/>
      <c r="K83" s="726"/>
      <c r="L83" s="726"/>
    </row>
    <row r="84" spans="1:12" s="789" customFormat="1">
      <c r="A84" s="1737"/>
      <c r="D84" s="1738"/>
      <c r="K84" s="726"/>
      <c r="L84" s="726"/>
    </row>
    <row r="85" spans="1:12" s="789" customFormat="1">
      <c r="A85" s="1737"/>
      <c r="D85" s="1738"/>
      <c r="K85" s="726"/>
      <c r="L85" s="726"/>
    </row>
    <row r="86" spans="1:12" s="789" customFormat="1">
      <c r="A86" s="1737"/>
      <c r="D86" s="1738"/>
      <c r="K86" s="726"/>
      <c r="L86" s="726"/>
    </row>
    <row r="87" spans="1:12" s="789" customFormat="1">
      <c r="A87" s="1737"/>
      <c r="D87" s="1738"/>
      <c r="K87" s="726"/>
      <c r="L87" s="726"/>
    </row>
    <row r="88" spans="1:12" s="789" customFormat="1">
      <c r="A88" s="1737"/>
      <c r="D88" s="1738"/>
      <c r="K88" s="726"/>
      <c r="L88" s="726"/>
    </row>
    <row r="89" spans="1:12" s="789" customFormat="1">
      <c r="A89" s="1737"/>
      <c r="D89" s="1738"/>
      <c r="K89" s="726"/>
      <c r="L89" s="726"/>
    </row>
    <row r="90" spans="1:12" s="789" customFormat="1">
      <c r="A90" s="1737"/>
      <c r="D90" s="1738"/>
      <c r="K90" s="726"/>
      <c r="L90" s="726"/>
    </row>
    <row r="91" spans="1:12" s="789" customFormat="1">
      <c r="A91" s="1737"/>
      <c r="D91" s="1738"/>
      <c r="K91" s="726"/>
      <c r="L91" s="726"/>
    </row>
    <row r="92" spans="1:12" s="789" customFormat="1">
      <c r="A92" s="1737"/>
      <c r="D92" s="1738"/>
      <c r="K92" s="726"/>
      <c r="L92" s="726"/>
    </row>
    <row r="93" spans="1:12" s="789" customFormat="1">
      <c r="A93" s="1737"/>
      <c r="D93" s="1738"/>
      <c r="K93" s="726"/>
      <c r="L93" s="726"/>
    </row>
    <row r="94" spans="1:12" s="789" customFormat="1">
      <c r="A94" s="1737"/>
      <c r="D94" s="1738"/>
      <c r="K94" s="726"/>
      <c r="L94" s="726"/>
    </row>
    <row r="95" spans="1:12" s="789" customFormat="1">
      <c r="A95" s="1737"/>
      <c r="D95" s="1738"/>
      <c r="K95" s="726"/>
      <c r="L95" s="726"/>
    </row>
    <row r="96" spans="1:12" s="789" customFormat="1">
      <c r="A96" s="1737"/>
      <c r="D96" s="1738"/>
      <c r="K96" s="726"/>
      <c r="L96" s="726"/>
    </row>
    <row r="97" spans="1:12" s="789" customFormat="1">
      <c r="A97" s="1737"/>
      <c r="D97" s="1738"/>
      <c r="K97" s="726"/>
      <c r="L97" s="726"/>
    </row>
    <row r="98" spans="1:12" s="789" customFormat="1">
      <c r="A98" s="1737"/>
      <c r="D98" s="1738"/>
      <c r="K98" s="726"/>
      <c r="L98" s="726"/>
    </row>
    <row r="99" spans="1:12" s="789" customFormat="1">
      <c r="A99" s="1737"/>
      <c r="D99" s="1738"/>
      <c r="K99" s="726"/>
      <c r="L99" s="726"/>
    </row>
    <row r="100" spans="1:12" s="789" customFormat="1">
      <c r="A100" s="1737"/>
      <c r="D100" s="1738"/>
      <c r="K100" s="726"/>
      <c r="L100" s="726"/>
    </row>
    <row r="101" spans="1:12" s="789" customFormat="1">
      <c r="A101" s="1737"/>
      <c r="D101" s="1738"/>
      <c r="K101" s="726"/>
      <c r="L101" s="726"/>
    </row>
    <row r="102" spans="1:12" s="789" customFormat="1">
      <c r="A102" s="1737"/>
      <c r="D102" s="1738"/>
      <c r="K102" s="726"/>
      <c r="L102" s="726"/>
    </row>
    <row r="103" spans="1:12" s="789" customFormat="1">
      <c r="A103" s="1737"/>
      <c r="D103" s="1738"/>
      <c r="K103" s="726"/>
      <c r="L103" s="726"/>
    </row>
    <row r="104" spans="1:12" s="789" customFormat="1">
      <c r="A104" s="1737"/>
      <c r="D104" s="1738"/>
      <c r="K104" s="726"/>
      <c r="L104" s="726"/>
    </row>
    <row r="105" spans="1:12" s="789" customFormat="1">
      <c r="A105" s="1737"/>
      <c r="D105" s="1738"/>
      <c r="K105" s="726"/>
      <c r="L105" s="726"/>
    </row>
    <row r="106" spans="1:12" s="789" customFormat="1">
      <c r="A106" s="1737"/>
      <c r="D106" s="1738"/>
      <c r="K106" s="726"/>
      <c r="L106" s="726"/>
    </row>
    <row r="107" spans="1:12" s="789" customFormat="1">
      <c r="A107" s="1737"/>
      <c r="D107" s="1738"/>
      <c r="K107" s="726"/>
      <c r="L107" s="726"/>
    </row>
    <row r="108" spans="1:12" s="789" customFormat="1">
      <c r="A108" s="1737"/>
      <c r="D108" s="1738"/>
      <c r="K108" s="726"/>
      <c r="L108" s="726"/>
    </row>
    <row r="109" spans="1:12" s="789" customFormat="1">
      <c r="A109" s="1737"/>
      <c r="D109" s="1738"/>
      <c r="K109" s="726"/>
      <c r="L109" s="726"/>
    </row>
    <row r="110" spans="1:12" s="789" customFormat="1">
      <c r="A110" s="1737"/>
      <c r="D110" s="1738"/>
      <c r="K110" s="726"/>
      <c r="L110" s="726"/>
    </row>
    <row r="111" spans="1:12" s="789" customFormat="1">
      <c r="A111" s="1737"/>
      <c r="D111" s="1738"/>
      <c r="K111" s="726"/>
      <c r="L111" s="726"/>
    </row>
    <row r="112" spans="1:12" s="789" customFormat="1">
      <c r="A112" s="1737"/>
      <c r="D112" s="1738"/>
      <c r="K112" s="726"/>
      <c r="L112" s="726"/>
    </row>
    <row r="113" spans="1:12" s="789" customFormat="1">
      <c r="A113" s="1737"/>
      <c r="D113" s="1738"/>
      <c r="K113" s="726"/>
      <c r="L113" s="726"/>
    </row>
    <row r="114" spans="1:12" s="789" customFormat="1">
      <c r="A114" s="1737"/>
      <c r="D114" s="1738"/>
      <c r="K114" s="726"/>
      <c r="L114" s="726"/>
    </row>
    <row r="115" spans="1:12" s="789" customFormat="1">
      <c r="A115" s="1737"/>
      <c r="D115" s="1738"/>
      <c r="K115" s="726"/>
      <c r="L115" s="726"/>
    </row>
    <row r="116" spans="1:12" s="789" customFormat="1">
      <c r="A116" s="1737"/>
      <c r="D116" s="1738"/>
      <c r="K116" s="726"/>
      <c r="L116" s="726"/>
    </row>
    <row r="117" spans="1:12" s="789" customFormat="1">
      <c r="A117" s="1737"/>
      <c r="D117" s="1738"/>
      <c r="K117" s="726"/>
      <c r="L117" s="726"/>
    </row>
    <row r="118" spans="1:12" s="789" customFormat="1">
      <c r="A118" s="1737"/>
      <c r="D118" s="1738"/>
      <c r="K118" s="726"/>
      <c r="L118" s="726"/>
    </row>
    <row r="119" spans="1:12" s="789" customFormat="1">
      <c r="A119" s="1737"/>
      <c r="D119" s="1738"/>
      <c r="K119" s="726"/>
      <c r="L119" s="726"/>
    </row>
    <row r="120" spans="1:12" s="789" customFormat="1">
      <c r="A120" s="1737"/>
      <c r="D120" s="1738"/>
      <c r="K120" s="726"/>
      <c r="L120" s="726"/>
    </row>
    <row r="121" spans="1:12" s="789" customFormat="1">
      <c r="A121" s="1737"/>
      <c r="D121" s="1738"/>
      <c r="K121" s="726"/>
      <c r="L121" s="726"/>
    </row>
    <row r="122" spans="1:12" s="789" customFormat="1">
      <c r="A122" s="1737"/>
      <c r="D122" s="1738"/>
      <c r="K122" s="726"/>
      <c r="L122" s="726"/>
    </row>
    <row r="123" spans="1:12" s="789" customFormat="1">
      <c r="A123" s="1737"/>
      <c r="D123" s="1738"/>
      <c r="K123" s="726"/>
      <c r="L123" s="726"/>
    </row>
    <row r="124" spans="1:12" s="789" customFormat="1">
      <c r="A124" s="1737"/>
      <c r="D124" s="1738"/>
      <c r="K124" s="726"/>
      <c r="L124" s="726"/>
    </row>
    <row r="125" spans="1:12" s="789" customFormat="1">
      <c r="A125" s="1737"/>
      <c r="D125" s="1738"/>
      <c r="K125" s="726"/>
      <c r="L125" s="726"/>
    </row>
    <row r="126" spans="1:12" s="789" customFormat="1">
      <c r="A126" s="1737"/>
      <c r="D126" s="1738"/>
      <c r="K126" s="726"/>
      <c r="L126" s="726"/>
    </row>
    <row r="127" spans="1:12" s="789" customFormat="1">
      <c r="A127" s="1737"/>
      <c r="D127" s="1738"/>
      <c r="K127" s="726"/>
      <c r="L127" s="726"/>
    </row>
    <row r="128" spans="1:12" s="789" customFormat="1">
      <c r="A128" s="1737"/>
      <c r="D128" s="1738"/>
      <c r="K128" s="726"/>
      <c r="L128" s="726"/>
    </row>
    <row r="129" spans="1:12" s="789" customFormat="1">
      <c r="A129" s="1737"/>
      <c r="D129" s="1738"/>
      <c r="K129" s="726"/>
      <c r="L129" s="726"/>
    </row>
    <row r="130" spans="1:12" s="789" customFormat="1">
      <c r="A130" s="1737"/>
      <c r="D130" s="1738"/>
      <c r="K130" s="726"/>
      <c r="L130" s="726"/>
    </row>
    <row r="131" spans="1:12" s="789" customFormat="1">
      <c r="A131" s="1737"/>
      <c r="D131" s="1738"/>
      <c r="K131" s="726"/>
      <c r="L131" s="726"/>
    </row>
    <row r="132" spans="1:12" s="789" customFormat="1">
      <c r="A132" s="1737"/>
      <c r="D132" s="1738"/>
      <c r="K132" s="726"/>
      <c r="L132" s="726"/>
    </row>
    <row r="133" spans="1:12" s="789"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2" customWidth="1"/>
    <col min="2" max="2" width="24.44140625" style="1568" customWidth="1"/>
    <col min="3" max="3" width="24.44140625" style="2506" customWidth="1"/>
    <col min="4" max="4" width="2.6640625" style="2506" customWidth="1"/>
    <col min="5" max="5" width="5.88671875" style="2506" customWidth="1"/>
    <col min="6" max="6" width="27" style="1568" customWidth="1"/>
    <col min="7" max="7" width="27" style="2507" customWidth="1"/>
    <col min="8" max="8" width="11.88671875" style="2487" customWidth="1"/>
    <col min="9" max="9" width="16.77734375" style="2488" customWidth="1"/>
    <col min="10" max="10" width="2.6640625" style="2487" customWidth="1"/>
    <col min="11" max="11" width="11.88671875" style="2487" customWidth="1"/>
    <col min="12" max="12" width="16.77734375" style="2488" customWidth="1"/>
    <col min="13" max="13" width="2.6640625" style="2487" customWidth="1"/>
    <col min="14" max="14" width="11.88671875" style="2487" customWidth="1"/>
    <col min="15" max="15" width="16.77734375" style="2488" customWidth="1"/>
    <col min="16" max="16" width="2.6640625" style="2487" customWidth="1"/>
    <col min="17" max="17" width="11.88671875" style="2487" customWidth="1"/>
    <col min="18" max="18" width="16.77734375" style="2489" customWidth="1"/>
    <col min="19" max="29" width="9" style="795"/>
    <col min="30" max="16384" width="9" style="1682"/>
  </cols>
  <sheetData>
    <row r="1" spans="1:29" s="2453" customFormat="1" ht="18" thickBot="1">
      <c r="A1" s="3562" t="s">
        <v>2286</v>
      </c>
      <c r="B1" s="3563"/>
      <c r="C1" s="3563"/>
      <c r="D1" s="3563"/>
      <c r="E1" s="3563"/>
      <c r="F1" s="3563"/>
      <c r="G1" s="356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4.4" thickBot="1">
      <c r="A2" s="2454"/>
      <c r="B2" s="2455"/>
      <c r="C2" s="2456" t="s">
        <v>2281</v>
      </c>
      <c r="D2" s="2457"/>
      <c r="E2" s="2454"/>
      <c r="F2" s="2458"/>
      <c r="G2" s="2456" t="s">
        <v>2282</v>
      </c>
      <c r="H2" s="795"/>
      <c r="I2" s="795"/>
      <c r="J2" s="795"/>
      <c r="K2" s="795"/>
      <c r="L2" s="795"/>
      <c r="M2" s="795"/>
      <c r="N2" s="795"/>
      <c r="O2" s="795"/>
      <c r="P2" s="795"/>
      <c r="Q2" s="795"/>
      <c r="R2" s="795"/>
    </row>
    <row r="3" spans="1:29" ht="48">
      <c r="A3" s="2437" t="s">
        <v>2283</v>
      </c>
      <c r="B3" s="2459" t="s">
        <v>2252</v>
      </c>
      <c r="C3" s="2460" t="s">
        <v>2284</v>
      </c>
      <c r="D3" s="2461"/>
      <c r="E3" s="2438" t="s">
        <v>2283</v>
      </c>
      <c r="F3" s="2462" t="s">
        <v>2253</v>
      </c>
      <c r="G3" s="2463" t="s">
        <v>2285</v>
      </c>
      <c r="H3" s="795"/>
      <c r="I3" s="795"/>
      <c r="J3" s="795"/>
      <c r="K3" s="795"/>
      <c r="L3" s="795"/>
      <c r="M3" s="795"/>
      <c r="N3" s="795"/>
      <c r="O3" s="795"/>
      <c r="P3" s="795"/>
      <c r="Q3" s="795"/>
      <c r="R3" s="795"/>
    </row>
    <row r="4" spans="1:29" ht="37.200000000000003">
      <c r="A4" s="2438"/>
      <c r="B4" s="322" t="s">
        <v>2254</v>
      </c>
      <c r="C4" s="2464" t="s">
        <v>2255</v>
      </c>
      <c r="D4" s="2461"/>
      <c r="E4" s="2465"/>
      <c r="F4" s="1369" t="s">
        <v>2256</v>
      </c>
      <c r="G4" s="2466" t="s">
        <v>2257</v>
      </c>
      <c r="H4" s="795"/>
      <c r="I4" s="795"/>
      <c r="J4" s="795"/>
      <c r="K4" s="795"/>
      <c r="L4" s="795"/>
      <c r="M4" s="795"/>
      <c r="N4" s="795"/>
      <c r="O4" s="795"/>
      <c r="P4" s="795"/>
      <c r="Q4" s="795"/>
      <c r="R4" s="795"/>
    </row>
    <row r="5" spans="1:29" ht="37.200000000000003">
      <c r="A5" s="2438"/>
      <c r="B5" s="322" t="s">
        <v>2258</v>
      </c>
      <c r="C5" s="2464" t="s">
        <v>2259</v>
      </c>
      <c r="D5" s="2461"/>
      <c r="E5" s="2465"/>
      <c r="F5" s="322" t="s">
        <v>2260</v>
      </c>
      <c r="G5" s="2466" t="s">
        <v>2261</v>
      </c>
      <c r="H5" s="795"/>
      <c r="I5" s="795"/>
      <c r="J5" s="795"/>
      <c r="K5" s="795"/>
      <c r="L5" s="795"/>
      <c r="M5" s="795"/>
      <c r="N5" s="795"/>
      <c r="O5" s="795"/>
      <c r="P5" s="795"/>
      <c r="Q5" s="795"/>
      <c r="R5" s="795"/>
    </row>
    <row r="6" spans="1:29" ht="48">
      <c r="A6" s="2438"/>
      <c r="B6" s="322" t="s">
        <v>2262</v>
      </c>
      <c r="C6" s="2466" t="s">
        <v>2257</v>
      </c>
      <c r="D6" s="2461"/>
      <c r="E6" s="2465"/>
      <c r="F6" s="322" t="s">
        <v>2263</v>
      </c>
      <c r="G6" s="2466" t="s">
        <v>2264</v>
      </c>
      <c r="H6" s="795"/>
      <c r="I6" s="795"/>
      <c r="J6" s="795"/>
      <c r="K6" s="795"/>
      <c r="L6" s="795"/>
      <c r="M6" s="795"/>
      <c r="N6" s="795"/>
      <c r="O6" s="795"/>
      <c r="P6" s="795"/>
      <c r="Q6" s="795"/>
      <c r="R6" s="795"/>
    </row>
    <row r="7" spans="1:29" ht="36.6" thickBot="1">
      <c r="A7" s="2438"/>
      <c r="B7" s="322" t="s">
        <v>2260</v>
      </c>
      <c r="C7" s="2466" t="s">
        <v>2261</v>
      </c>
      <c r="D7" s="2467"/>
      <c r="E7" s="2468"/>
      <c r="F7" s="2469" t="s">
        <v>2265</v>
      </c>
      <c r="G7" s="2470" t="s">
        <v>2266</v>
      </c>
      <c r="H7" s="795"/>
      <c r="I7" s="795"/>
      <c r="J7" s="795"/>
      <c r="K7" s="795"/>
      <c r="L7" s="795"/>
      <c r="M7" s="795"/>
      <c r="N7" s="795"/>
      <c r="O7" s="795"/>
      <c r="P7" s="795"/>
      <c r="Q7" s="795"/>
      <c r="R7" s="795"/>
    </row>
    <row r="8" spans="1:29" ht="24">
      <c r="A8" s="2438"/>
      <c r="B8" s="322" t="s">
        <v>2263</v>
      </c>
      <c r="C8" s="2466" t="s">
        <v>2264</v>
      </c>
      <c r="D8" s="2467"/>
      <c r="E8" s="2467"/>
      <c r="F8" s="2471"/>
      <c r="G8" s="2471"/>
      <c r="H8" s="795"/>
      <c r="I8" s="795"/>
      <c r="J8" s="795"/>
      <c r="K8" s="795"/>
      <c r="L8" s="795"/>
      <c r="M8" s="795"/>
      <c r="N8" s="795"/>
      <c r="O8" s="795"/>
      <c r="P8" s="795"/>
      <c r="Q8" s="795"/>
      <c r="R8" s="795"/>
    </row>
    <row r="9" spans="1:29" ht="24">
      <c r="A9" s="2438"/>
      <c r="B9" s="322" t="s">
        <v>2267</v>
      </c>
      <c r="C9" s="2464" t="s">
        <v>2268</v>
      </c>
      <c r="D9" s="2461"/>
      <c r="E9" s="2467"/>
      <c r="F9" s="2471"/>
      <c r="G9" s="2471"/>
      <c r="H9" s="795"/>
      <c r="I9" s="795"/>
      <c r="J9" s="795"/>
      <c r="K9" s="795"/>
      <c r="L9" s="795"/>
      <c r="M9" s="795"/>
      <c r="N9" s="795"/>
      <c r="O9" s="795"/>
      <c r="P9" s="795"/>
      <c r="Q9" s="795"/>
      <c r="R9" s="795"/>
    </row>
    <row r="10" spans="1:29" s="2477" customFormat="1" ht="14.4" thickBot="1">
      <c r="A10" s="2439"/>
      <c r="B10" s="2472" t="s">
        <v>2269</v>
      </c>
      <c r="C10" s="2473"/>
      <c r="D10" s="2461"/>
      <c r="E10" s="2461"/>
      <c r="F10" s="2471"/>
      <c r="G10" s="2471"/>
      <c r="H10" s="2474"/>
      <c r="I10" s="2475"/>
      <c r="J10" s="2476"/>
      <c r="K10" s="2474"/>
      <c r="L10" s="2475"/>
      <c r="M10" s="2476"/>
      <c r="N10" s="2474"/>
      <c r="O10" s="2475"/>
      <c r="P10" s="2476"/>
      <c r="Q10" s="2474"/>
      <c r="R10" s="2475"/>
      <c r="S10" s="795"/>
      <c r="T10" s="795"/>
      <c r="U10" s="795"/>
      <c r="V10" s="795"/>
      <c r="W10" s="795"/>
      <c r="X10" s="795"/>
      <c r="Y10" s="795"/>
      <c r="Z10" s="795"/>
      <c r="AA10" s="795"/>
      <c r="AB10" s="795"/>
      <c r="AC10" s="795"/>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5"/>
      <c r="T11" s="795"/>
      <c r="U11" s="795"/>
      <c r="V11" s="795"/>
      <c r="W11" s="795"/>
      <c r="X11" s="795"/>
      <c r="Y11" s="795"/>
      <c r="Z11" s="795"/>
      <c r="AA11" s="795"/>
      <c r="AB11" s="795"/>
      <c r="AC11" s="795"/>
    </row>
    <row r="12" spans="1:29" s="2453" customFormat="1" ht="17.399999999999999">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 thickBot="1">
      <c r="A13" s="2486" t="s">
        <v>2287</v>
      </c>
      <c r="B13" s="2480"/>
      <c r="C13" s="2480"/>
      <c r="D13" s="2478"/>
      <c r="E13" s="2480"/>
      <c r="F13" s="2480"/>
      <c r="G13" s="2480"/>
    </row>
    <row r="14" spans="1:29" ht="14.4" thickBot="1">
      <c r="A14" s="2490"/>
      <c r="B14" s="2490"/>
      <c r="C14" s="2491" t="s">
        <v>2270</v>
      </c>
      <c r="D14" s="2461"/>
      <c r="E14" s="2492"/>
      <c r="F14" s="2492"/>
      <c r="G14" s="2456" t="s">
        <v>2271</v>
      </c>
    </row>
    <row r="15" spans="1:29" ht="52.8">
      <c r="A15" s="2440" t="s">
        <v>2272</v>
      </c>
      <c r="B15" s="2493" t="s">
        <v>2252</v>
      </c>
      <c r="C15" s="2494" t="str">
        <f>C3</f>
        <v>估价对象周边居住用地比例、居住小区规模和社区发展完善程度，综合评价居住社区成熟度一般</v>
      </c>
      <c r="D15" s="2461"/>
      <c r="E15" s="2441" t="s">
        <v>2273</v>
      </c>
      <c r="F15" s="2493" t="s">
        <v>2274</v>
      </c>
      <c r="G15" s="2495" t="str">
        <f>G3</f>
        <v>估价对象位于XX开发区，园区建设成熟度XX，产业集聚程度XX</v>
      </c>
    </row>
    <row r="16" spans="1:29" ht="39.6">
      <c r="A16" s="2442"/>
      <c r="B16" s="2496" t="s">
        <v>2254</v>
      </c>
      <c r="C16" s="2497" t="str">
        <f>C4</f>
        <v>估价对象位于XX商圈，周边商业氛围成熟，人流量大，商业繁华度好</v>
      </c>
      <c r="D16" s="2461"/>
      <c r="E16" s="2443"/>
      <c r="F16" s="2498" t="s">
        <v>2256</v>
      </c>
      <c r="G16" s="2499" t="str">
        <f>G4</f>
        <v>估价对象周边道路状况、公共交通通达情况、停车便捷程度，综合评价交通便捷度较好</v>
      </c>
    </row>
    <row r="17" spans="1:18" ht="39.6">
      <c r="A17" s="2442"/>
      <c r="B17" s="2496" t="s">
        <v>2258</v>
      </c>
      <c r="C17" s="2497" t="str">
        <f>C5</f>
        <v>估价对象位于XX商圈，周边办公楼项目较多，入驻率高，办公集聚程度较好</v>
      </c>
      <c r="D17" s="2467"/>
      <c r="E17" s="2443"/>
      <c r="F17" s="2498" t="s">
        <v>2275</v>
      </c>
      <c r="G17" s="2500"/>
    </row>
    <row r="18" spans="1:18" ht="52.8">
      <c r="A18" s="2442"/>
      <c r="B18" s="2498" t="s">
        <v>2262</v>
      </c>
      <c r="C18" s="2499" t="str">
        <f>C6</f>
        <v>估价对象周边道路状况、公共交通通达情况、停车便捷程度，综合评价交通便捷度较好</v>
      </c>
      <c r="D18" s="2467"/>
      <c r="E18" s="2443"/>
      <c r="F18" s="2498" t="s">
        <v>2265</v>
      </c>
      <c r="G18" s="2499" t="str">
        <f>G7</f>
        <v>该园区内是否有污染型企业，绿化情况，卫生条件，整体环境状况判断</v>
      </c>
    </row>
    <row r="19" spans="1:18" ht="26.4">
      <c r="A19" s="2442"/>
      <c r="B19" s="2498" t="s">
        <v>2276</v>
      </c>
      <c r="C19" s="2500"/>
      <c r="D19" s="2461"/>
      <c r="E19" s="2443"/>
      <c r="F19" s="322" t="s">
        <v>2260</v>
      </c>
      <c r="G19" s="2499" t="str">
        <f>G5</f>
        <v>估价对象所在区域公共配套设施齐备情况</v>
      </c>
    </row>
    <row r="20" spans="1:18" ht="26.4">
      <c r="A20" s="2442"/>
      <c r="B20" s="2498" t="s">
        <v>2277</v>
      </c>
      <c r="C20" s="2497" t="str">
        <f>C9</f>
        <v>区域自然环境：；人文环境；综合评价环境状况一般</v>
      </c>
      <c r="D20" s="2467"/>
      <c r="E20" s="2443"/>
      <c r="F20" s="322" t="s">
        <v>2263</v>
      </c>
      <c r="G20" s="2499" t="str">
        <f>G6</f>
        <v>估价对象所在区域基础设施水平</v>
      </c>
    </row>
    <row r="21" spans="1:18" ht="26.4">
      <c r="A21" s="2442"/>
      <c r="B21" s="322" t="s">
        <v>2260</v>
      </c>
      <c r="C21" s="2499" t="str">
        <f>C7</f>
        <v>估价对象所在区域公共配套设施齐备情况</v>
      </c>
      <c r="D21" s="2461"/>
      <c r="E21" s="2443"/>
      <c r="F21" s="2498" t="s">
        <v>2278</v>
      </c>
      <c r="G21" s="2501"/>
    </row>
    <row r="22" spans="1:18" ht="13.5" customHeight="1">
      <c r="A22" s="2442"/>
      <c r="B22" s="322" t="s">
        <v>2263</v>
      </c>
      <c r="C22" s="2499" t="str">
        <f>C8</f>
        <v>估价对象所在区域基础设施水平</v>
      </c>
      <c r="D22" s="2461"/>
      <c r="E22" s="2443"/>
      <c r="F22" s="2498" t="s">
        <v>2269</v>
      </c>
      <c r="G22" s="2500"/>
    </row>
    <row r="23" spans="1:18" s="795" customFormat="1" ht="14.4" thickBot="1">
      <c r="A23" s="2442"/>
      <c r="B23" s="2498" t="s">
        <v>2278</v>
      </c>
      <c r="C23" s="2501"/>
      <c r="D23" s="1737"/>
      <c r="E23" s="2444"/>
      <c r="F23" s="2502" t="s">
        <v>2279</v>
      </c>
      <c r="G23" s="2503"/>
      <c r="H23" s="2487"/>
      <c r="I23" s="2488"/>
      <c r="J23" s="2487"/>
      <c r="K23" s="2487"/>
      <c r="L23" s="2488"/>
      <c r="M23" s="2487"/>
      <c r="N23" s="2487"/>
      <c r="O23" s="2488"/>
      <c r="P23" s="2487"/>
      <c r="Q23" s="2487"/>
      <c r="R23" s="2489"/>
    </row>
    <row r="24" spans="1:18" s="795" customFormat="1" ht="14.4" thickBot="1">
      <c r="A24" s="2445"/>
      <c r="B24" s="2502" t="s">
        <v>2280</v>
      </c>
      <c r="C24" s="2504">
        <f>C10</f>
        <v>0</v>
      </c>
      <c r="D24" s="1737"/>
      <c r="E24" s="2435"/>
      <c r="F24" s="2435"/>
      <c r="G24" s="2505"/>
      <c r="H24" s="2487"/>
      <c r="I24" s="2488"/>
      <c r="J24" s="2487"/>
      <c r="K24" s="2487"/>
      <c r="L24" s="2488"/>
      <c r="M24" s="2487"/>
      <c r="N24" s="2487"/>
      <c r="O24" s="2488"/>
      <c r="P24" s="2487"/>
      <c r="Q24" s="2487"/>
      <c r="R24" s="2489"/>
    </row>
    <row r="25" spans="1:18" s="795" customFormat="1">
      <c r="B25" s="2487"/>
      <c r="C25" s="2487"/>
      <c r="D25" s="2487"/>
      <c r="H25" s="2487"/>
      <c r="I25" s="2488"/>
      <c r="J25" s="2487"/>
      <c r="K25" s="2487"/>
      <c r="L25" s="2488"/>
      <c r="M25" s="2487"/>
      <c r="N25" s="2487"/>
      <c r="O25" s="2488"/>
      <c r="P25" s="2487"/>
      <c r="Q25" s="2487"/>
      <c r="R25" s="2489"/>
    </row>
    <row r="26" spans="1:18" s="795" customFormat="1">
      <c r="B26" s="2487"/>
      <c r="C26" s="2487"/>
      <c r="D26" s="2487"/>
      <c r="H26" s="2487"/>
      <c r="I26" s="2488"/>
      <c r="J26" s="2487"/>
      <c r="K26" s="2487"/>
      <c r="L26" s="2488"/>
      <c r="M26" s="2487"/>
      <c r="N26" s="2487"/>
      <c r="O26" s="2488"/>
      <c r="P26" s="2487"/>
      <c r="Q26" s="2487"/>
      <c r="R26" s="2489"/>
    </row>
    <row r="27" spans="1:18" s="795" customFormat="1">
      <c r="B27" s="2487"/>
      <c r="C27" s="2487"/>
      <c r="D27" s="2487"/>
      <c r="H27" s="2487"/>
      <c r="I27" s="2488"/>
      <c r="J27" s="2487"/>
      <c r="K27" s="2487"/>
      <c r="L27" s="2488"/>
      <c r="M27" s="2487"/>
      <c r="N27" s="2487"/>
      <c r="O27" s="2488"/>
      <c r="P27" s="2487"/>
      <c r="Q27" s="2487"/>
      <c r="R27" s="2489"/>
    </row>
    <row r="28" spans="1:18" s="795" customFormat="1">
      <c r="B28" s="2487"/>
      <c r="C28" s="2487"/>
      <c r="D28" s="2487"/>
      <c r="H28" s="2487"/>
      <c r="I28" s="2488"/>
      <c r="J28" s="2487"/>
      <c r="K28" s="2487"/>
      <c r="L28" s="2488"/>
      <c r="M28" s="2487"/>
      <c r="N28" s="2487"/>
      <c r="O28" s="2488"/>
      <c r="P28" s="2487"/>
      <c r="Q28" s="2487"/>
      <c r="R28" s="2489"/>
    </row>
    <row r="29" spans="1:18" s="795" customFormat="1">
      <c r="B29" s="2487"/>
      <c r="C29" s="2487"/>
      <c r="D29" s="2487"/>
      <c r="H29" s="2487"/>
      <c r="I29" s="2488"/>
      <c r="J29" s="2487"/>
      <c r="K29" s="2487"/>
      <c r="L29" s="2488"/>
      <c r="M29" s="2487"/>
      <c r="N29" s="2487"/>
      <c r="O29" s="2488"/>
      <c r="P29" s="2487"/>
      <c r="Q29" s="2487"/>
      <c r="R29" s="2489"/>
    </row>
    <row r="30" spans="1:18" s="795" customFormat="1">
      <c r="B30" s="2487"/>
      <c r="C30" s="2487"/>
      <c r="D30" s="2487"/>
      <c r="H30" s="2487"/>
      <c r="I30" s="2488"/>
      <c r="J30" s="2487"/>
      <c r="K30" s="2487"/>
      <c r="L30" s="2488"/>
      <c r="M30" s="2487"/>
      <c r="N30" s="2487"/>
      <c r="O30" s="2488"/>
      <c r="P30" s="2487"/>
      <c r="Q30" s="2487"/>
      <c r="R30" s="2489"/>
    </row>
    <row r="31" spans="1:18" s="795" customFormat="1">
      <c r="B31" s="2487"/>
      <c r="C31" s="2487"/>
      <c r="D31" s="2487"/>
      <c r="H31" s="2487"/>
      <c r="I31" s="2488"/>
      <c r="J31" s="2487"/>
      <c r="K31" s="2487"/>
      <c r="L31" s="2488"/>
      <c r="M31" s="2487"/>
      <c r="N31" s="2487"/>
      <c r="O31" s="2488"/>
      <c r="P31" s="2487"/>
      <c r="Q31" s="2487"/>
      <c r="R31" s="2489"/>
    </row>
    <row r="32" spans="1:18" s="795" customFormat="1">
      <c r="B32" s="2487"/>
      <c r="C32" s="2487"/>
      <c r="D32" s="2487"/>
      <c r="H32" s="2487"/>
      <c r="I32" s="2488"/>
      <c r="J32" s="2487"/>
      <c r="K32" s="2487"/>
      <c r="L32" s="2488"/>
      <c r="M32" s="2487"/>
      <c r="N32" s="2487"/>
      <c r="O32" s="2488"/>
      <c r="P32" s="2487"/>
      <c r="Q32" s="2487"/>
      <c r="R32" s="2489"/>
    </row>
    <row r="33" spans="2:18" s="795" customFormat="1">
      <c r="B33" s="2487"/>
      <c r="C33" s="2487"/>
      <c r="D33" s="2487"/>
      <c r="H33" s="2487"/>
      <c r="I33" s="2488"/>
      <c r="J33" s="2487"/>
      <c r="K33" s="2487"/>
      <c r="L33" s="2488"/>
      <c r="M33" s="2487"/>
      <c r="N33" s="2487"/>
      <c r="O33" s="2488"/>
      <c r="P33" s="2487"/>
      <c r="Q33" s="2487"/>
      <c r="R33" s="2489"/>
    </row>
    <row r="34" spans="2:18" s="795" customFormat="1">
      <c r="B34" s="2487"/>
      <c r="C34" s="2487"/>
      <c r="D34" s="2487"/>
      <c r="H34" s="2487"/>
      <c r="I34" s="2488"/>
      <c r="J34" s="2487"/>
      <c r="K34" s="2487"/>
      <c r="L34" s="2488"/>
      <c r="M34" s="2487"/>
      <c r="N34" s="2487"/>
      <c r="O34" s="2488"/>
      <c r="P34" s="2487"/>
      <c r="Q34" s="2487"/>
      <c r="R34" s="2489"/>
    </row>
    <row r="35" spans="2:18" s="795" customFormat="1">
      <c r="B35" s="2487"/>
      <c r="C35" s="2487"/>
      <c r="D35" s="2487"/>
      <c r="H35" s="2487"/>
      <c r="I35" s="2488"/>
      <c r="J35" s="2487"/>
      <c r="K35" s="2487"/>
      <c r="L35" s="2488"/>
      <c r="M35" s="2487"/>
      <c r="N35" s="2487"/>
      <c r="O35" s="2488"/>
      <c r="P35" s="2487"/>
      <c r="Q35" s="2487"/>
      <c r="R35" s="2489"/>
    </row>
    <row r="36" spans="2:18" s="795" customFormat="1">
      <c r="B36" s="2487"/>
      <c r="C36" s="2487"/>
      <c r="D36" s="2487"/>
      <c r="H36" s="2487"/>
      <c r="I36" s="2488"/>
      <c r="J36" s="2487"/>
      <c r="K36" s="2487"/>
      <c r="L36" s="2488"/>
      <c r="M36" s="2487"/>
      <c r="N36" s="2487"/>
      <c r="O36" s="2488"/>
      <c r="P36" s="2487"/>
      <c r="Q36" s="2487"/>
      <c r="R36" s="2489"/>
    </row>
    <row r="37" spans="2:18" s="795" customFormat="1">
      <c r="B37" s="2487"/>
      <c r="C37" s="2487"/>
      <c r="D37" s="2487"/>
      <c r="H37" s="2487"/>
      <c r="I37" s="2488"/>
      <c r="J37" s="2487"/>
      <c r="K37" s="2487"/>
      <c r="L37" s="2488"/>
      <c r="M37" s="2487"/>
      <c r="N37" s="2487"/>
      <c r="O37" s="2488"/>
      <c r="P37" s="2487"/>
      <c r="Q37" s="2487"/>
      <c r="R37" s="2489"/>
    </row>
    <row r="38" spans="2:18" s="795" customFormat="1">
      <c r="B38" s="2487"/>
      <c r="C38" s="2487"/>
      <c r="D38" s="2487"/>
      <c r="E38" s="2487"/>
      <c r="F38" s="2487"/>
      <c r="G38" s="2488"/>
      <c r="H38" s="2487"/>
      <c r="I38" s="2488"/>
      <c r="J38" s="2487"/>
      <c r="K38" s="2487"/>
      <c r="L38" s="2488"/>
      <c r="M38" s="2487"/>
      <c r="N38" s="2487"/>
      <c r="O38" s="2488"/>
      <c r="P38" s="2487"/>
      <c r="Q38" s="2487"/>
      <c r="R38" s="2489"/>
    </row>
    <row r="39" spans="2:18" s="795" customFormat="1">
      <c r="B39" s="2487"/>
      <c r="C39" s="2487"/>
      <c r="D39" s="2487"/>
      <c r="E39" s="2487"/>
      <c r="F39" s="2487"/>
      <c r="G39" s="2488"/>
      <c r="H39" s="2487"/>
      <c r="I39" s="2488"/>
      <c r="J39" s="2487"/>
      <c r="K39" s="2487"/>
      <c r="L39" s="2488"/>
      <c r="M39" s="2487"/>
      <c r="N39" s="2487"/>
      <c r="O39" s="2488"/>
      <c r="P39" s="2487"/>
      <c r="Q39" s="2487"/>
      <c r="R39" s="2489"/>
    </row>
    <row r="40" spans="2:18" s="795" customFormat="1">
      <c r="B40" s="2487"/>
      <c r="C40" s="2487"/>
      <c r="D40" s="2487"/>
      <c r="E40" s="2487"/>
      <c r="F40" s="2487"/>
      <c r="G40" s="2488"/>
      <c r="H40" s="2487"/>
      <c r="I40" s="2488"/>
      <c r="J40" s="2487"/>
      <c r="K40" s="2487"/>
      <c r="L40" s="2488"/>
      <c r="M40" s="2487"/>
      <c r="N40" s="2487"/>
      <c r="O40" s="2488"/>
      <c r="P40" s="2487"/>
      <c r="Q40" s="2487"/>
      <c r="R40" s="2489"/>
    </row>
    <row r="41" spans="2:18" s="795" customFormat="1">
      <c r="B41" s="2487"/>
      <c r="C41" s="2487"/>
      <c r="D41" s="2487"/>
      <c r="E41" s="2487"/>
      <c r="F41" s="2487"/>
      <c r="G41" s="2488"/>
      <c r="H41" s="2487"/>
      <c r="I41" s="2488"/>
      <c r="J41" s="2487"/>
      <c r="K41" s="2487"/>
      <c r="L41" s="2488"/>
      <c r="M41" s="2487"/>
      <c r="N41" s="2487"/>
      <c r="O41" s="2488"/>
      <c r="P41" s="2487"/>
      <c r="Q41" s="2487"/>
      <c r="R41" s="2489"/>
    </row>
    <row r="42" spans="2:18" s="795" customFormat="1">
      <c r="B42" s="2487"/>
      <c r="C42" s="2487"/>
      <c r="D42" s="2487"/>
      <c r="E42" s="2487"/>
      <c r="F42" s="2487"/>
      <c r="G42" s="2488"/>
      <c r="H42" s="2487"/>
      <c r="I42" s="2488"/>
      <c r="J42" s="2487"/>
      <c r="K42" s="2487"/>
      <c r="L42" s="2488"/>
      <c r="M42" s="2487"/>
      <c r="N42" s="2487"/>
      <c r="O42" s="2488"/>
      <c r="P42" s="2487"/>
      <c r="Q42" s="2487"/>
      <c r="R42" s="2489"/>
    </row>
    <row r="43" spans="2:18" s="795" customFormat="1">
      <c r="B43" s="2487"/>
      <c r="C43" s="2487"/>
      <c r="D43" s="2487"/>
      <c r="E43" s="2487"/>
      <c r="F43" s="2487"/>
      <c r="G43" s="2488"/>
      <c r="H43" s="2487"/>
      <c r="I43" s="2488"/>
      <c r="J43" s="2487"/>
      <c r="K43" s="2487"/>
      <c r="L43" s="2488"/>
      <c r="M43" s="2487"/>
      <c r="N43" s="2487"/>
      <c r="O43" s="2488"/>
      <c r="P43" s="2487"/>
      <c r="Q43" s="2487"/>
      <c r="R43" s="2489"/>
    </row>
    <row r="44" spans="2:18" s="795" customFormat="1">
      <c r="B44" s="2487"/>
      <c r="C44" s="2487"/>
      <c r="D44" s="2487"/>
      <c r="E44" s="2487"/>
      <c r="F44" s="2487"/>
      <c r="G44" s="2488"/>
      <c r="H44" s="2487"/>
      <c r="I44" s="2488"/>
      <c r="J44" s="2487"/>
      <c r="K44" s="2487"/>
      <c r="L44" s="2488"/>
      <c r="M44" s="2487"/>
      <c r="N44" s="2487"/>
      <c r="O44" s="2488"/>
      <c r="P44" s="2487"/>
      <c r="Q44" s="2487"/>
      <c r="R44" s="2489"/>
    </row>
    <row r="45" spans="2:18" s="795" customFormat="1">
      <c r="B45" s="2487"/>
      <c r="C45" s="2487"/>
      <c r="D45" s="2487"/>
      <c r="E45" s="2487"/>
      <c r="F45" s="2487"/>
      <c r="G45" s="2488"/>
      <c r="H45" s="2487"/>
      <c r="I45" s="2488"/>
      <c r="J45" s="2487"/>
      <c r="K45" s="2487"/>
      <c r="L45" s="2488"/>
      <c r="M45" s="2487"/>
      <c r="N45" s="2487"/>
      <c r="O45" s="2488"/>
      <c r="P45" s="2487"/>
      <c r="Q45" s="2487"/>
      <c r="R45" s="2489"/>
    </row>
    <row r="46" spans="2:18" s="795" customFormat="1">
      <c r="B46" s="2487"/>
      <c r="C46" s="2487"/>
      <c r="D46" s="2487"/>
      <c r="E46" s="2487"/>
      <c r="F46" s="2487"/>
      <c r="G46" s="2488"/>
      <c r="H46" s="2487"/>
      <c r="I46" s="2488"/>
      <c r="J46" s="2487"/>
      <c r="K46" s="2487"/>
      <c r="L46" s="2488"/>
      <c r="M46" s="2487"/>
      <c r="N46" s="2487"/>
      <c r="O46" s="2488"/>
      <c r="P46" s="2487"/>
      <c r="Q46" s="2487"/>
      <c r="R46" s="2489"/>
    </row>
    <row r="47" spans="2:18" s="795" customFormat="1">
      <c r="B47" s="2487"/>
      <c r="C47" s="2487"/>
      <c r="D47" s="2487"/>
      <c r="E47" s="2487"/>
      <c r="F47" s="2487"/>
      <c r="G47" s="2488"/>
      <c r="H47" s="2487"/>
      <c r="I47" s="2488"/>
      <c r="J47" s="2487"/>
      <c r="K47" s="2487"/>
      <c r="L47" s="2488"/>
      <c r="M47" s="2487"/>
      <c r="N47" s="2487"/>
      <c r="O47" s="2488"/>
      <c r="P47" s="2487"/>
      <c r="Q47" s="2487"/>
      <c r="R47" s="2489"/>
    </row>
    <row r="48" spans="2:18" s="795" customFormat="1">
      <c r="B48" s="2487"/>
      <c r="C48" s="2487"/>
      <c r="D48" s="2487"/>
      <c r="E48" s="2487"/>
      <c r="F48" s="2487"/>
      <c r="G48" s="2488"/>
      <c r="H48" s="2487"/>
      <c r="I48" s="2488"/>
      <c r="J48" s="2487"/>
      <c r="K48" s="2487"/>
      <c r="L48" s="2488"/>
      <c r="M48" s="2487"/>
      <c r="N48" s="2487"/>
      <c r="O48" s="2488"/>
      <c r="P48" s="2487"/>
      <c r="Q48" s="2487"/>
      <c r="R48" s="2489"/>
    </row>
    <row r="49" spans="2:18" s="795" customFormat="1">
      <c r="B49" s="2487"/>
      <c r="C49" s="2487"/>
      <c r="D49" s="2487"/>
      <c r="E49" s="2487"/>
      <c r="F49" s="2487"/>
      <c r="G49" s="2488"/>
      <c r="H49" s="2487"/>
      <c r="I49" s="2488"/>
      <c r="J49" s="2487"/>
      <c r="K49" s="2487"/>
      <c r="L49" s="2488"/>
      <c r="M49" s="2487"/>
      <c r="N49" s="2487"/>
      <c r="O49" s="2488"/>
      <c r="P49" s="2487"/>
      <c r="Q49" s="2487"/>
      <c r="R49" s="2489"/>
    </row>
    <row r="50" spans="2:18" s="795" customFormat="1">
      <c r="B50" s="2487"/>
      <c r="C50" s="2487"/>
      <c r="D50" s="2487"/>
      <c r="E50" s="2487"/>
      <c r="F50" s="2487"/>
      <c r="G50" s="2488"/>
      <c r="H50" s="2487"/>
      <c r="I50" s="2488"/>
      <c r="J50" s="2487"/>
      <c r="K50" s="2487"/>
      <c r="L50" s="2488"/>
      <c r="M50" s="2487"/>
      <c r="N50" s="2487"/>
      <c r="O50" s="2488"/>
      <c r="P50" s="2487"/>
      <c r="Q50" s="2487"/>
      <c r="R50" s="2489"/>
    </row>
    <row r="51" spans="2:18" s="795" customFormat="1">
      <c r="B51" s="2487"/>
      <c r="C51" s="2487"/>
      <c r="D51" s="2487"/>
      <c r="E51" s="2487"/>
      <c r="F51" s="2487"/>
      <c r="G51" s="2488"/>
      <c r="H51" s="2487"/>
      <c r="I51" s="2488"/>
      <c r="J51" s="2487"/>
      <c r="K51" s="2487"/>
      <c r="L51" s="2488"/>
      <c r="M51" s="2487"/>
      <c r="N51" s="2487"/>
      <c r="O51" s="2488"/>
      <c r="P51" s="2487"/>
      <c r="Q51" s="2487"/>
      <c r="R51" s="2489"/>
    </row>
    <row r="52" spans="2:18" s="795" customFormat="1">
      <c r="B52" s="2487"/>
      <c r="C52" s="2487"/>
      <c r="D52" s="2487"/>
      <c r="E52" s="2487"/>
      <c r="F52" s="2487"/>
      <c r="G52" s="2488"/>
      <c r="H52" s="2487"/>
      <c r="I52" s="2488"/>
      <c r="J52" s="2487"/>
      <c r="K52" s="2487"/>
      <c r="L52" s="2488"/>
      <c r="M52" s="2487"/>
      <c r="N52" s="2487"/>
      <c r="O52" s="2488"/>
      <c r="P52" s="2487"/>
      <c r="Q52" s="2487"/>
      <c r="R52" s="2489"/>
    </row>
    <row r="53" spans="2:18" s="795" customFormat="1">
      <c r="B53" s="2487"/>
      <c r="C53" s="2487"/>
      <c r="D53" s="2487"/>
      <c r="E53" s="2487"/>
      <c r="F53" s="2487"/>
      <c r="G53" s="2488"/>
      <c r="H53" s="2487"/>
      <c r="I53" s="2488"/>
      <c r="J53" s="2487"/>
      <c r="K53" s="2487"/>
      <c r="L53" s="2488"/>
      <c r="M53" s="2487"/>
      <c r="N53" s="2487"/>
      <c r="O53" s="2488"/>
      <c r="P53" s="2487"/>
      <c r="Q53" s="2487"/>
      <c r="R53" s="2489"/>
    </row>
    <row r="54" spans="2:18" s="795" customFormat="1">
      <c r="B54" s="2487"/>
      <c r="C54" s="2487"/>
      <c r="D54" s="2487"/>
      <c r="E54" s="2487"/>
      <c r="F54" s="2487"/>
      <c r="G54" s="2488"/>
      <c r="H54" s="2487"/>
      <c r="I54" s="2488"/>
      <c r="J54" s="2487"/>
      <c r="K54" s="2487"/>
      <c r="L54" s="2488"/>
      <c r="M54" s="2487"/>
      <c r="N54" s="2487"/>
      <c r="O54" s="2488"/>
      <c r="P54" s="2487"/>
      <c r="Q54" s="2487"/>
      <c r="R54" s="2489"/>
    </row>
    <row r="55" spans="2:18" s="795" customFormat="1">
      <c r="B55" s="2487"/>
      <c r="C55" s="2487"/>
      <c r="D55" s="2487"/>
      <c r="E55" s="2487"/>
      <c r="F55" s="2487"/>
      <c r="G55" s="2488"/>
      <c r="H55" s="2487"/>
      <c r="I55" s="2488"/>
      <c r="J55" s="2487"/>
      <c r="K55" s="2487"/>
      <c r="L55" s="2488"/>
      <c r="M55" s="2487"/>
      <c r="N55" s="2487"/>
      <c r="O55" s="2488"/>
      <c r="P55" s="2487"/>
      <c r="Q55" s="2487"/>
      <c r="R55" s="2489"/>
    </row>
    <row r="56" spans="2:18" s="795" customFormat="1">
      <c r="B56" s="2487"/>
      <c r="C56" s="2487"/>
      <c r="D56" s="2487"/>
      <c r="E56" s="2487"/>
      <c r="F56" s="2487"/>
      <c r="G56" s="2488"/>
      <c r="H56" s="2487"/>
      <c r="I56" s="2488"/>
      <c r="J56" s="2487"/>
      <c r="K56" s="2487"/>
      <c r="L56" s="2488"/>
      <c r="M56" s="2487"/>
      <c r="N56" s="2487"/>
      <c r="O56" s="2488"/>
      <c r="P56" s="2487"/>
      <c r="Q56" s="2487"/>
      <c r="R56" s="2489"/>
    </row>
    <row r="57" spans="2:18" s="795" customFormat="1">
      <c r="B57" s="2487"/>
      <c r="C57" s="2487"/>
      <c r="D57" s="2487"/>
      <c r="E57" s="2487"/>
      <c r="F57" s="2487"/>
      <c r="G57" s="2488"/>
      <c r="H57" s="2487"/>
      <c r="I57" s="2488"/>
      <c r="J57" s="2487"/>
      <c r="K57" s="2487"/>
      <c r="L57" s="2488"/>
      <c r="M57" s="2487"/>
      <c r="N57" s="2487"/>
      <c r="O57" s="2488"/>
      <c r="P57" s="2487"/>
      <c r="Q57" s="2487"/>
      <c r="R57" s="2489"/>
    </row>
    <row r="58" spans="2:18" s="795" customFormat="1">
      <c r="B58" s="2487"/>
      <c r="C58" s="2487"/>
      <c r="D58" s="2487"/>
      <c r="E58" s="2487"/>
      <c r="F58" s="2487"/>
      <c r="G58" s="2488"/>
      <c r="H58" s="2487"/>
      <c r="I58" s="2488"/>
      <c r="J58" s="2487"/>
      <c r="K58" s="2487"/>
      <c r="L58" s="2488"/>
      <c r="M58" s="2487"/>
      <c r="N58" s="2487"/>
      <c r="O58" s="2488"/>
      <c r="P58" s="2487"/>
      <c r="Q58" s="2487"/>
      <c r="R58" s="2489"/>
    </row>
    <row r="59" spans="2:18" s="795" customFormat="1">
      <c r="B59" s="2487"/>
      <c r="C59" s="2487"/>
      <c r="D59" s="2487"/>
      <c r="E59" s="2487"/>
      <c r="F59" s="2487"/>
      <c r="G59" s="2488"/>
      <c r="H59" s="2487"/>
      <c r="I59" s="2488"/>
      <c r="J59" s="2487"/>
      <c r="K59" s="2487"/>
      <c r="L59" s="2488"/>
      <c r="M59" s="2487"/>
      <c r="N59" s="2487"/>
      <c r="O59" s="2488"/>
      <c r="P59" s="2487"/>
      <c r="Q59" s="2487"/>
      <c r="R59" s="2489"/>
    </row>
    <row r="60" spans="2:18" s="795" customFormat="1">
      <c r="B60" s="2487"/>
      <c r="C60" s="2487"/>
      <c r="D60" s="2487"/>
      <c r="E60" s="2487"/>
      <c r="F60" s="2487"/>
      <c r="G60" s="2488"/>
      <c r="H60" s="2487"/>
      <c r="I60" s="2488"/>
      <c r="J60" s="2487"/>
      <c r="K60" s="2487"/>
      <c r="L60" s="2488"/>
      <c r="M60" s="2487"/>
      <c r="N60" s="2487"/>
      <c r="O60" s="2488"/>
      <c r="P60" s="2487"/>
      <c r="Q60" s="2487"/>
      <c r="R60" s="2489"/>
    </row>
    <row r="61" spans="2:18" s="795" customFormat="1">
      <c r="B61" s="2487"/>
      <c r="C61" s="2487"/>
      <c r="D61" s="2487"/>
      <c r="E61" s="2487"/>
      <c r="F61" s="2487"/>
      <c r="G61" s="2488"/>
      <c r="H61" s="2487"/>
      <c r="I61" s="2488"/>
      <c r="J61" s="2487"/>
      <c r="K61" s="2487"/>
      <c r="L61" s="2488"/>
      <c r="M61" s="2487"/>
      <c r="N61" s="2487"/>
      <c r="O61" s="2488"/>
      <c r="P61" s="2487"/>
      <c r="Q61" s="2487"/>
      <c r="R61" s="2489"/>
    </row>
    <row r="62" spans="2:18" s="795" customFormat="1">
      <c r="B62" s="2487"/>
      <c r="C62" s="2487"/>
      <c r="D62" s="2487"/>
      <c r="E62" s="2487"/>
      <c r="F62" s="2487"/>
      <c r="G62" s="2488"/>
      <c r="H62" s="2487"/>
      <c r="I62" s="2488"/>
      <c r="J62" s="2487"/>
      <c r="K62" s="2487"/>
      <c r="L62" s="2488"/>
      <c r="M62" s="2487"/>
      <c r="N62" s="2487"/>
      <c r="O62" s="2488"/>
      <c r="P62" s="2487"/>
      <c r="Q62" s="2487"/>
      <c r="R62" s="2489"/>
    </row>
    <row r="63" spans="2:18" s="795" customFormat="1">
      <c r="B63" s="2487"/>
      <c r="C63" s="2487"/>
      <c r="D63" s="2487"/>
      <c r="E63" s="2487"/>
      <c r="F63" s="2487"/>
      <c r="G63" s="2488"/>
      <c r="H63" s="2487"/>
      <c r="I63" s="2488"/>
      <c r="J63" s="2487"/>
      <c r="K63" s="2487"/>
      <c r="L63" s="2488"/>
      <c r="M63" s="2487"/>
      <c r="N63" s="2487"/>
      <c r="O63" s="2488"/>
      <c r="P63" s="2487"/>
      <c r="Q63" s="2487"/>
      <c r="R63" s="2489"/>
    </row>
    <row r="64" spans="2:18" s="795" customFormat="1">
      <c r="B64" s="2487"/>
      <c r="C64" s="2487"/>
      <c r="D64" s="2487"/>
      <c r="E64" s="2487"/>
      <c r="F64" s="2487"/>
      <c r="G64" s="2488"/>
      <c r="H64" s="2487"/>
      <c r="I64" s="2488"/>
      <c r="J64" s="2487"/>
      <c r="K64" s="2487"/>
      <c r="L64" s="2488"/>
      <c r="M64" s="2487"/>
      <c r="N64" s="2487"/>
      <c r="O64" s="2488"/>
      <c r="P64" s="2487"/>
      <c r="Q64" s="2487"/>
      <c r="R64" s="2489"/>
    </row>
    <row r="65" spans="2:18" s="795" customFormat="1">
      <c r="B65" s="2487"/>
      <c r="C65" s="2487"/>
      <c r="D65" s="2487"/>
      <c r="E65" s="2487"/>
      <c r="F65" s="2487"/>
      <c r="G65" s="2488"/>
      <c r="H65" s="2487"/>
      <c r="I65" s="2488"/>
      <c r="J65" s="2487"/>
      <c r="K65" s="2487"/>
      <c r="L65" s="2488"/>
      <c r="M65" s="2487"/>
      <c r="N65" s="2487"/>
      <c r="O65" s="2488"/>
      <c r="P65" s="2487"/>
      <c r="Q65" s="2487"/>
      <c r="R65" s="2489"/>
    </row>
    <row r="66" spans="2:18" s="795" customFormat="1">
      <c r="B66" s="2487"/>
      <c r="C66" s="2487"/>
      <c r="D66" s="2487"/>
      <c r="E66" s="2487"/>
      <c r="F66" s="2487"/>
      <c r="G66" s="2488"/>
      <c r="H66" s="2487"/>
      <c r="I66" s="2488"/>
      <c r="J66" s="2487"/>
      <c r="K66" s="2487"/>
      <c r="L66" s="2488"/>
      <c r="M66" s="2487"/>
      <c r="N66" s="2487"/>
      <c r="O66" s="2488"/>
      <c r="P66" s="2487"/>
      <c r="Q66" s="2487"/>
      <c r="R66" s="2489"/>
    </row>
    <row r="67" spans="2:18" s="795" customFormat="1">
      <c r="B67" s="2487"/>
      <c r="C67" s="2487"/>
      <c r="D67" s="2487"/>
      <c r="E67" s="2487"/>
      <c r="F67" s="2487"/>
      <c r="G67" s="2488"/>
      <c r="H67" s="2487"/>
      <c r="I67" s="2488"/>
      <c r="J67" s="2487"/>
      <c r="K67" s="2487"/>
      <c r="L67" s="2488"/>
      <c r="M67" s="2487"/>
      <c r="N67" s="2487"/>
      <c r="O67" s="2488"/>
      <c r="P67" s="2487"/>
      <c r="Q67" s="2487"/>
      <c r="R67" s="2489"/>
    </row>
    <row r="68" spans="2:18" s="795" customFormat="1">
      <c r="B68" s="2487"/>
      <c r="C68" s="2487"/>
      <c r="D68" s="2487"/>
      <c r="E68" s="2487"/>
      <c r="F68" s="2487"/>
      <c r="G68" s="2488"/>
      <c r="H68" s="2487"/>
      <c r="I68" s="2488"/>
      <c r="J68" s="2487"/>
      <c r="K68" s="2487"/>
      <c r="L68" s="2488"/>
      <c r="M68" s="2487"/>
      <c r="N68" s="2487"/>
      <c r="O68" s="2488"/>
      <c r="P68" s="2487"/>
      <c r="Q68" s="2487"/>
      <c r="R68" s="2489"/>
    </row>
    <row r="69" spans="2:18" s="795" customFormat="1">
      <c r="B69" s="2487"/>
      <c r="C69" s="2487"/>
      <c r="D69" s="2487"/>
      <c r="E69" s="2487"/>
      <c r="F69" s="2487"/>
      <c r="G69" s="2488"/>
      <c r="H69" s="2487"/>
      <c r="I69" s="2488"/>
      <c r="J69" s="2487"/>
      <c r="K69" s="2487"/>
      <c r="L69" s="2488"/>
      <c r="M69" s="2487"/>
      <c r="N69" s="2487"/>
      <c r="O69" s="2488"/>
      <c r="P69" s="2487"/>
      <c r="Q69" s="2487"/>
      <c r="R69" s="2489"/>
    </row>
    <row r="70" spans="2:18" s="795" customFormat="1">
      <c r="B70" s="2487"/>
      <c r="C70" s="2487"/>
      <c r="D70" s="2487"/>
      <c r="E70" s="2487"/>
      <c r="F70" s="2487"/>
      <c r="G70" s="2488"/>
      <c r="H70" s="2487"/>
      <c r="I70" s="2488"/>
      <c r="J70" s="2487"/>
      <c r="K70" s="2487"/>
      <c r="L70" s="2488"/>
      <c r="M70" s="2487"/>
      <c r="N70" s="2487"/>
      <c r="O70" s="2488"/>
      <c r="P70" s="2487"/>
      <c r="Q70" s="2487"/>
      <c r="R70" s="2489"/>
    </row>
    <row r="71" spans="2:18" s="795" customFormat="1">
      <c r="B71" s="2487"/>
      <c r="C71" s="2487"/>
      <c r="D71" s="2487"/>
      <c r="E71" s="2487"/>
      <c r="F71" s="2487"/>
      <c r="G71" s="2488"/>
      <c r="H71" s="2487"/>
      <c r="I71" s="2488"/>
      <c r="J71" s="2487"/>
      <c r="K71" s="2487"/>
      <c r="L71" s="2488"/>
      <c r="M71" s="2487"/>
      <c r="N71" s="2487"/>
      <c r="O71" s="2488"/>
      <c r="P71" s="2487"/>
      <c r="Q71" s="2487"/>
      <c r="R71" s="2489"/>
    </row>
    <row r="72" spans="2:18" s="795" customFormat="1">
      <c r="B72" s="2487"/>
      <c r="C72" s="2487"/>
      <c r="D72" s="2487"/>
      <c r="E72" s="2487"/>
      <c r="F72" s="2487"/>
      <c r="G72" s="2488"/>
      <c r="H72" s="2487"/>
      <c r="I72" s="2488"/>
      <c r="J72" s="2487"/>
      <c r="K72" s="2487"/>
      <c r="L72" s="2488"/>
      <c r="M72" s="2487"/>
      <c r="N72" s="2487"/>
      <c r="O72" s="2488"/>
      <c r="P72" s="2487"/>
      <c r="Q72" s="2487"/>
      <c r="R72" s="2489"/>
    </row>
    <row r="73" spans="2:18" s="795" customFormat="1">
      <c r="B73" s="2487"/>
      <c r="C73" s="2487"/>
      <c r="D73" s="2487"/>
      <c r="E73" s="2487"/>
      <c r="F73" s="2487"/>
      <c r="G73" s="2488"/>
      <c r="H73" s="2487"/>
      <c r="I73" s="2488"/>
      <c r="J73" s="2487"/>
      <c r="K73" s="2487"/>
      <c r="L73" s="2488"/>
      <c r="M73" s="2487"/>
      <c r="N73" s="2487"/>
      <c r="O73" s="2488"/>
      <c r="P73" s="2487"/>
      <c r="Q73" s="2487"/>
      <c r="R73" s="2489"/>
    </row>
    <row r="74" spans="2:18" s="795" customFormat="1">
      <c r="B74" s="2487"/>
      <c r="C74" s="2487"/>
      <c r="D74" s="2487"/>
      <c r="E74" s="2487"/>
      <c r="F74" s="2487"/>
      <c r="G74" s="2488"/>
      <c r="H74" s="2487"/>
      <c r="I74" s="2488"/>
      <c r="J74" s="2487"/>
      <c r="K74" s="2487"/>
      <c r="L74" s="2488"/>
      <c r="M74" s="2487"/>
      <c r="N74" s="2487"/>
      <c r="O74" s="2488"/>
      <c r="P74" s="2487"/>
      <c r="Q74" s="2487"/>
      <c r="R74" s="2489"/>
    </row>
    <row r="75" spans="2:18" s="795" customFormat="1">
      <c r="B75" s="2487"/>
      <c r="C75" s="2487"/>
      <c r="D75" s="2487"/>
      <c r="E75" s="2487"/>
      <c r="F75" s="2487"/>
      <c r="G75" s="2488"/>
      <c r="H75" s="2487"/>
      <c r="I75" s="2488"/>
      <c r="J75" s="2487"/>
      <c r="K75" s="2487"/>
      <c r="L75" s="2488"/>
      <c r="M75" s="2487"/>
      <c r="N75" s="2487"/>
      <c r="O75" s="2488"/>
      <c r="P75" s="2487"/>
      <c r="Q75" s="2487"/>
      <c r="R75" s="2489"/>
    </row>
    <row r="76" spans="2:18" s="795" customFormat="1">
      <c r="B76" s="2487"/>
      <c r="C76" s="2487"/>
      <c r="D76" s="2487"/>
      <c r="E76" s="2487"/>
      <c r="F76" s="2487"/>
      <c r="G76" s="2488"/>
      <c r="H76" s="2487"/>
      <c r="I76" s="2488"/>
      <c r="J76" s="2487"/>
      <c r="K76" s="2487"/>
      <c r="L76" s="2488"/>
      <c r="M76" s="2487"/>
      <c r="N76" s="2487"/>
      <c r="O76" s="2488"/>
      <c r="P76" s="2487"/>
      <c r="Q76" s="2487"/>
      <c r="R76" s="2489"/>
    </row>
    <row r="77" spans="2:18" s="795" customFormat="1">
      <c r="B77" s="2487"/>
      <c r="C77" s="2487"/>
      <c r="D77" s="2487"/>
      <c r="E77" s="2487"/>
      <c r="F77" s="2487"/>
      <c r="G77" s="2488"/>
      <c r="H77" s="2487"/>
      <c r="I77" s="2488"/>
      <c r="J77" s="2487"/>
      <c r="K77" s="2487"/>
      <c r="L77" s="2488"/>
      <c r="M77" s="2487"/>
      <c r="N77" s="2487"/>
      <c r="O77" s="2488"/>
      <c r="P77" s="2487"/>
      <c r="Q77" s="2487"/>
      <c r="R77" s="2489"/>
    </row>
    <row r="78" spans="2:18" s="795" customFormat="1">
      <c r="B78" s="2487"/>
      <c r="C78" s="2487"/>
      <c r="D78" s="2487"/>
      <c r="E78" s="2487"/>
      <c r="F78" s="2487"/>
      <c r="G78" s="2488"/>
      <c r="H78" s="2487"/>
      <c r="I78" s="2488"/>
      <c r="J78" s="2487"/>
      <c r="K78" s="2487"/>
      <c r="L78" s="2488"/>
      <c r="M78" s="2487"/>
      <c r="N78" s="2487"/>
      <c r="O78" s="2488"/>
      <c r="P78" s="2487"/>
      <c r="Q78" s="2487"/>
      <c r="R78" s="2489"/>
    </row>
    <row r="79" spans="2:18" s="795" customFormat="1">
      <c r="B79" s="2487"/>
      <c r="C79" s="2487"/>
      <c r="D79" s="2487"/>
      <c r="E79" s="2487"/>
      <c r="F79" s="2487"/>
      <c r="G79" s="2488"/>
      <c r="H79" s="2487"/>
      <c r="I79" s="2488"/>
      <c r="J79" s="2487"/>
      <c r="K79" s="2487"/>
      <c r="L79" s="2488"/>
      <c r="M79" s="2487"/>
      <c r="N79" s="2487"/>
      <c r="O79" s="2488"/>
      <c r="P79" s="2487"/>
      <c r="Q79" s="2487"/>
      <c r="R79" s="2489"/>
    </row>
    <row r="80" spans="2:18" s="795" customFormat="1">
      <c r="B80" s="2487"/>
      <c r="C80" s="2487"/>
      <c r="D80" s="2487"/>
      <c r="E80" s="2487"/>
      <c r="F80" s="2487"/>
      <c r="G80" s="2488"/>
      <c r="H80" s="2487"/>
      <c r="I80" s="2488"/>
      <c r="J80" s="2487"/>
      <c r="K80" s="2487"/>
      <c r="L80" s="2488"/>
      <c r="M80" s="2487"/>
      <c r="N80" s="2487"/>
      <c r="O80" s="2488"/>
      <c r="P80" s="2487"/>
      <c r="Q80" s="2487"/>
      <c r="R80" s="2489"/>
    </row>
    <row r="81" spans="2:18" s="795" customFormat="1">
      <c r="B81" s="2487"/>
      <c r="C81" s="2487"/>
      <c r="D81" s="2487"/>
      <c r="E81" s="2487"/>
      <c r="F81" s="2487"/>
      <c r="G81" s="2488"/>
      <c r="H81" s="2487"/>
      <c r="I81" s="2488"/>
      <c r="J81" s="2487"/>
      <c r="K81" s="2487"/>
      <c r="L81" s="2488"/>
      <c r="M81" s="2487"/>
      <c r="N81" s="2487"/>
      <c r="O81" s="2488"/>
      <c r="P81" s="2487"/>
      <c r="Q81" s="2487"/>
      <c r="R81" s="2489"/>
    </row>
    <row r="82" spans="2:18" s="795" customFormat="1">
      <c r="B82" s="2487"/>
      <c r="C82" s="2487"/>
      <c r="D82" s="2487"/>
      <c r="E82" s="2487"/>
      <c r="F82" s="2487"/>
      <c r="G82" s="2488"/>
      <c r="H82" s="2487"/>
      <c r="I82" s="2488"/>
      <c r="J82" s="2487"/>
      <c r="K82" s="2487"/>
      <c r="L82" s="2488"/>
      <c r="M82" s="2487"/>
      <c r="N82" s="2487"/>
      <c r="O82" s="2488"/>
      <c r="P82" s="2487"/>
      <c r="Q82" s="2487"/>
      <c r="R82" s="2489"/>
    </row>
    <row r="83" spans="2:18" s="795" customFormat="1">
      <c r="B83" s="2487"/>
      <c r="C83" s="2487"/>
      <c r="D83" s="2487"/>
      <c r="E83" s="2487"/>
      <c r="F83" s="2487"/>
      <c r="G83" s="2488"/>
      <c r="H83" s="2487"/>
      <c r="I83" s="2488"/>
      <c r="J83" s="2487"/>
      <c r="K83" s="2487"/>
      <c r="L83" s="2488"/>
      <c r="M83" s="2487"/>
      <c r="N83" s="2487"/>
      <c r="O83" s="2488"/>
      <c r="P83" s="2487"/>
      <c r="Q83" s="2487"/>
      <c r="R83" s="2489"/>
    </row>
    <row r="84" spans="2:18" s="795" customFormat="1">
      <c r="B84" s="2487"/>
      <c r="C84" s="2487"/>
      <c r="D84" s="2487"/>
      <c r="E84" s="2487"/>
      <c r="F84" s="2487"/>
      <c r="G84" s="2488"/>
      <c r="H84" s="2487"/>
      <c r="I84" s="2488"/>
      <c r="J84" s="2487"/>
      <c r="K84" s="2487"/>
      <c r="L84" s="2488"/>
      <c r="M84" s="2487"/>
      <c r="N84" s="2487"/>
      <c r="O84" s="2488"/>
      <c r="P84" s="2487"/>
      <c r="Q84" s="2487"/>
      <c r="R84" s="2489"/>
    </row>
    <row r="85" spans="2:18" s="795" customFormat="1">
      <c r="B85" s="2487"/>
      <c r="C85" s="2487"/>
      <c r="D85" s="2487"/>
      <c r="E85" s="2487"/>
      <c r="F85" s="2487"/>
      <c r="G85" s="2488"/>
      <c r="H85" s="2487"/>
      <c r="I85" s="2488"/>
      <c r="J85" s="2487"/>
      <c r="K85" s="2487"/>
      <c r="L85" s="2488"/>
      <c r="M85" s="2487"/>
      <c r="N85" s="2487"/>
      <c r="O85" s="2488"/>
      <c r="P85" s="2487"/>
      <c r="Q85" s="2487"/>
      <c r="R85" s="2489"/>
    </row>
    <row r="86" spans="2:18" s="795" customFormat="1">
      <c r="B86" s="2487"/>
      <c r="C86" s="2487"/>
      <c r="D86" s="2487"/>
      <c r="E86" s="2487"/>
      <c r="F86" s="2487"/>
      <c r="G86" s="2488"/>
      <c r="H86" s="2487"/>
      <c r="I86" s="2488"/>
      <c r="J86" s="2487"/>
      <c r="K86" s="2487"/>
      <c r="L86" s="2488"/>
      <c r="M86" s="2487"/>
      <c r="N86" s="2487"/>
      <c r="O86" s="2488"/>
      <c r="P86" s="2487"/>
      <c r="Q86" s="2487"/>
      <c r="R86" s="2489"/>
    </row>
    <row r="87" spans="2:18" s="795" customFormat="1">
      <c r="B87" s="2487"/>
      <c r="C87" s="2487"/>
      <c r="D87" s="2487"/>
      <c r="E87" s="2487"/>
      <c r="F87" s="2487"/>
      <c r="G87" s="2488"/>
      <c r="H87" s="2487"/>
      <c r="I87" s="2488"/>
      <c r="J87" s="2487"/>
      <c r="K87" s="2487"/>
      <c r="L87" s="2488"/>
      <c r="M87" s="2487"/>
      <c r="N87" s="2487"/>
      <c r="O87" s="2488"/>
      <c r="P87" s="2487"/>
      <c r="Q87" s="2487"/>
      <c r="R87" s="2489"/>
    </row>
    <row r="88" spans="2:18" s="795" customFormat="1">
      <c r="B88" s="2487"/>
      <c r="C88" s="2487"/>
      <c r="D88" s="2487"/>
      <c r="E88" s="2487"/>
      <c r="F88" s="2487"/>
      <c r="G88" s="2488"/>
      <c r="H88" s="2487"/>
      <c r="I88" s="2488"/>
      <c r="J88" s="2487"/>
      <c r="K88" s="2487"/>
      <c r="L88" s="2488"/>
      <c r="M88" s="2487"/>
      <c r="N88" s="2487"/>
      <c r="O88" s="2488"/>
      <c r="P88" s="2487"/>
      <c r="Q88" s="2487"/>
      <c r="R88" s="2489"/>
    </row>
    <row r="89" spans="2:18" s="795" customFormat="1">
      <c r="B89" s="2487"/>
      <c r="C89" s="2487"/>
      <c r="D89" s="2487"/>
      <c r="E89" s="2487"/>
      <c r="F89" s="2487"/>
      <c r="G89" s="2488"/>
      <c r="H89" s="2487"/>
      <c r="I89" s="2488"/>
      <c r="J89" s="2487"/>
      <c r="K89" s="2487"/>
      <c r="L89" s="2488"/>
      <c r="M89" s="2487"/>
      <c r="N89" s="2487"/>
      <c r="O89" s="2488"/>
      <c r="P89" s="2487"/>
      <c r="Q89" s="2487"/>
      <c r="R89" s="2489"/>
    </row>
    <row r="90" spans="2:18" s="795" customFormat="1">
      <c r="B90" s="2487"/>
      <c r="C90" s="2487"/>
      <c r="D90" s="2487"/>
      <c r="E90" s="2487"/>
      <c r="F90" s="2487"/>
      <c r="G90" s="2488"/>
      <c r="H90" s="2487"/>
      <c r="I90" s="2488"/>
      <c r="J90" s="2487"/>
      <c r="K90" s="2487"/>
      <c r="L90" s="2488"/>
      <c r="M90" s="2487"/>
      <c r="N90" s="2487"/>
      <c r="O90" s="2488"/>
      <c r="P90" s="2487"/>
      <c r="Q90" s="2487"/>
      <c r="R90" s="2489"/>
    </row>
    <row r="91" spans="2:18" s="795" customFormat="1">
      <c r="B91" s="2487"/>
      <c r="C91" s="2487"/>
      <c r="D91" s="2487"/>
      <c r="E91" s="2487"/>
      <c r="F91" s="2487"/>
      <c r="G91" s="2488"/>
      <c r="H91" s="2487"/>
      <c r="I91" s="2488"/>
      <c r="J91" s="2487"/>
      <c r="K91" s="2487"/>
      <c r="L91" s="2488"/>
      <c r="M91" s="2487"/>
      <c r="N91" s="2487"/>
      <c r="O91" s="2488"/>
      <c r="P91" s="2487"/>
      <c r="Q91" s="2487"/>
      <c r="R91" s="2489"/>
    </row>
    <row r="92" spans="2:18" s="795" customFormat="1">
      <c r="B92" s="2487"/>
      <c r="C92" s="2487"/>
      <c r="D92" s="2487"/>
      <c r="E92" s="2487"/>
      <c r="F92" s="2487"/>
      <c r="G92" s="2488"/>
      <c r="H92" s="2487"/>
      <c r="I92" s="2488"/>
      <c r="J92" s="2487"/>
      <c r="K92" s="2487"/>
      <c r="L92" s="2488"/>
      <c r="M92" s="2487"/>
      <c r="N92" s="2487"/>
      <c r="O92" s="2488"/>
      <c r="P92" s="2487"/>
      <c r="Q92" s="2487"/>
      <c r="R92" s="2489"/>
    </row>
    <row r="93" spans="2:18" s="795" customFormat="1">
      <c r="B93" s="2487"/>
      <c r="C93" s="2487"/>
      <c r="D93" s="2487"/>
      <c r="E93" s="2487"/>
      <c r="F93" s="2487"/>
      <c r="G93" s="2488"/>
      <c r="H93" s="2487"/>
      <c r="I93" s="2488"/>
      <c r="J93" s="2487"/>
      <c r="K93" s="2487"/>
      <c r="L93" s="2488"/>
      <c r="M93" s="2487"/>
      <c r="N93" s="2487"/>
      <c r="O93" s="2488"/>
      <c r="P93" s="2487"/>
      <c r="Q93" s="2487"/>
      <c r="R93" s="2489"/>
    </row>
    <row r="94" spans="2:18" s="795" customFormat="1">
      <c r="B94" s="2487"/>
      <c r="C94" s="2487"/>
      <c r="D94" s="2487"/>
      <c r="E94" s="2487"/>
      <c r="F94" s="2487"/>
      <c r="G94" s="2488"/>
      <c r="H94" s="2487"/>
      <c r="I94" s="2488"/>
      <c r="J94" s="2487"/>
      <c r="K94" s="2487"/>
      <c r="L94" s="2488"/>
      <c r="M94" s="2487"/>
      <c r="N94" s="2487"/>
      <c r="O94" s="2488"/>
      <c r="P94" s="2487"/>
      <c r="Q94" s="2487"/>
      <c r="R94" s="2489"/>
    </row>
    <row r="95" spans="2:18" s="795" customFormat="1">
      <c r="B95" s="2487"/>
      <c r="C95" s="2487"/>
      <c r="D95" s="2487"/>
      <c r="E95" s="2487"/>
      <c r="F95" s="2487"/>
      <c r="G95" s="2488"/>
      <c r="H95" s="2487"/>
      <c r="I95" s="2488"/>
      <c r="J95" s="2487"/>
      <c r="K95" s="2487"/>
      <c r="L95" s="2488"/>
      <c r="M95" s="2487"/>
      <c r="N95" s="2487"/>
      <c r="O95" s="2488"/>
      <c r="P95" s="2487"/>
      <c r="Q95" s="2487"/>
      <c r="R95" s="2489"/>
    </row>
    <row r="96" spans="2:18" s="795" customFormat="1">
      <c r="B96" s="2487"/>
      <c r="C96" s="2487"/>
      <c r="D96" s="2487"/>
      <c r="E96" s="2487"/>
      <c r="F96" s="2487"/>
      <c r="G96" s="2488"/>
      <c r="H96" s="2487"/>
      <c r="I96" s="2488"/>
      <c r="J96" s="2487"/>
      <c r="K96" s="2487"/>
      <c r="L96" s="2488"/>
      <c r="M96" s="2487"/>
      <c r="N96" s="2487"/>
      <c r="O96" s="2488"/>
      <c r="P96" s="2487"/>
      <c r="Q96" s="2487"/>
      <c r="R96" s="2489"/>
    </row>
    <row r="97" spans="2:18" s="795" customFormat="1">
      <c r="B97" s="2487"/>
      <c r="C97" s="2487"/>
      <c r="D97" s="2487"/>
      <c r="E97" s="2487"/>
      <c r="F97" s="2487"/>
      <c r="G97" s="2488"/>
      <c r="H97" s="2487"/>
      <c r="I97" s="2488"/>
      <c r="J97" s="2487"/>
      <c r="K97" s="2487"/>
      <c r="L97" s="2488"/>
      <c r="M97" s="2487"/>
      <c r="N97" s="2487"/>
      <c r="O97" s="2488"/>
      <c r="P97" s="2487"/>
      <c r="Q97" s="2487"/>
      <c r="R97" s="2489"/>
    </row>
    <row r="98" spans="2:18" s="795" customFormat="1">
      <c r="B98" s="2487"/>
      <c r="C98" s="2487"/>
      <c r="D98" s="2487"/>
      <c r="E98" s="2487"/>
      <c r="F98" s="2487"/>
      <c r="G98" s="2488"/>
      <c r="H98" s="2487"/>
      <c r="I98" s="2488"/>
      <c r="J98" s="2487"/>
      <c r="K98" s="2487"/>
      <c r="L98" s="2488"/>
      <c r="M98" s="2487"/>
      <c r="N98" s="2487"/>
      <c r="O98" s="2488"/>
      <c r="P98" s="2487"/>
      <c r="Q98" s="2487"/>
      <c r="R98" s="2489"/>
    </row>
    <row r="99" spans="2:18" s="795" customFormat="1">
      <c r="B99" s="2487"/>
      <c r="C99" s="2487"/>
      <c r="D99" s="2487"/>
      <c r="E99" s="2487"/>
      <c r="F99" s="2487"/>
      <c r="G99" s="2488"/>
      <c r="H99" s="2487"/>
      <c r="I99" s="2488"/>
      <c r="J99" s="2487"/>
      <c r="K99" s="2487"/>
      <c r="L99" s="2488"/>
      <c r="M99" s="2487"/>
      <c r="N99" s="2487"/>
      <c r="O99" s="2488"/>
      <c r="P99" s="2487"/>
      <c r="Q99" s="2487"/>
      <c r="R99" s="2489"/>
    </row>
    <row r="100" spans="2:18" s="795" customFormat="1">
      <c r="B100" s="2487"/>
      <c r="C100" s="2487"/>
      <c r="D100" s="2487"/>
      <c r="E100" s="2487"/>
      <c r="F100" s="2487"/>
      <c r="G100" s="2488"/>
      <c r="H100" s="2487"/>
      <c r="I100" s="2488"/>
      <c r="J100" s="2487"/>
      <c r="K100" s="2487"/>
      <c r="L100" s="2488"/>
      <c r="M100" s="2487"/>
      <c r="N100" s="2487"/>
      <c r="O100" s="2488"/>
      <c r="P100" s="2487"/>
      <c r="Q100" s="2487"/>
      <c r="R100" s="2489"/>
    </row>
    <row r="101" spans="2:18" s="795" customFormat="1">
      <c r="B101" s="2487"/>
      <c r="C101" s="2487"/>
      <c r="D101" s="2487"/>
      <c r="E101" s="2487"/>
      <c r="F101" s="2487"/>
      <c r="G101" s="2488"/>
      <c r="H101" s="2487"/>
      <c r="I101" s="2488"/>
      <c r="J101" s="2487"/>
      <c r="K101" s="2487"/>
      <c r="L101" s="2488"/>
      <c r="M101" s="2487"/>
      <c r="N101" s="2487"/>
      <c r="O101" s="2488"/>
      <c r="P101" s="2487"/>
      <c r="Q101" s="2487"/>
      <c r="R101" s="2489"/>
    </row>
    <row r="102" spans="2:18" s="795" customFormat="1">
      <c r="B102" s="2487"/>
      <c r="C102" s="2487"/>
      <c r="D102" s="2487"/>
      <c r="E102" s="2487"/>
      <c r="F102" s="2487"/>
      <c r="G102" s="2488"/>
      <c r="H102" s="2487"/>
      <c r="I102" s="2488"/>
      <c r="J102" s="2487"/>
      <c r="K102" s="2487"/>
      <c r="L102" s="2488"/>
      <c r="M102" s="2487"/>
      <c r="N102" s="2487"/>
      <c r="O102" s="2488"/>
      <c r="P102" s="2487"/>
      <c r="Q102" s="2487"/>
      <c r="R102" s="2489"/>
    </row>
    <row r="103" spans="2:18" s="795" customFormat="1">
      <c r="B103" s="2487"/>
      <c r="C103" s="2487"/>
      <c r="D103" s="2487"/>
      <c r="E103" s="2487"/>
      <c r="F103" s="2487"/>
      <c r="G103" s="2488"/>
      <c r="H103" s="2487"/>
      <c r="I103" s="2488"/>
      <c r="J103" s="2487"/>
      <c r="K103" s="2487"/>
      <c r="L103" s="2488"/>
      <c r="M103" s="2487"/>
      <c r="N103" s="2487"/>
      <c r="O103" s="2488"/>
      <c r="P103" s="2487"/>
      <c r="Q103" s="2487"/>
      <c r="R103" s="2489"/>
    </row>
    <row r="104" spans="2:18" s="795" customFormat="1">
      <c r="B104" s="2487"/>
      <c r="C104" s="2487"/>
      <c r="D104" s="2487"/>
      <c r="E104" s="2487"/>
      <c r="F104" s="2487"/>
      <c r="G104" s="2488"/>
      <c r="H104" s="2487"/>
      <c r="I104" s="2488"/>
      <c r="J104" s="2487"/>
      <c r="K104" s="2487"/>
      <c r="L104" s="2488"/>
      <c r="M104" s="2487"/>
      <c r="N104" s="2487"/>
      <c r="O104" s="2488"/>
      <c r="P104" s="2487"/>
      <c r="Q104" s="2487"/>
      <c r="R104" s="2489"/>
    </row>
    <row r="105" spans="2:18" s="795" customFormat="1">
      <c r="B105" s="2487"/>
      <c r="C105" s="2487"/>
      <c r="D105" s="2487"/>
      <c r="E105" s="2487"/>
      <c r="F105" s="2487"/>
      <c r="G105" s="2488"/>
      <c r="H105" s="2487"/>
      <c r="I105" s="2488"/>
      <c r="J105" s="2487"/>
      <c r="K105" s="2487"/>
      <c r="L105" s="2488"/>
      <c r="M105" s="2487"/>
      <c r="N105" s="2487"/>
      <c r="O105" s="2488"/>
      <c r="P105" s="2487"/>
      <c r="Q105" s="2487"/>
      <c r="R105" s="2489"/>
    </row>
    <row r="106" spans="2:18" s="795" customFormat="1">
      <c r="B106" s="2487"/>
      <c r="C106" s="2487"/>
      <c r="D106" s="2487"/>
      <c r="E106" s="2487"/>
      <c r="F106" s="2487"/>
      <c r="G106" s="2488"/>
      <c r="H106" s="2487"/>
      <c r="I106" s="2488"/>
      <c r="J106" s="2487"/>
      <c r="K106" s="2487"/>
      <c r="L106" s="2488"/>
      <c r="M106" s="2487"/>
      <c r="N106" s="2487"/>
      <c r="O106" s="2488"/>
      <c r="P106" s="2487"/>
      <c r="Q106" s="2487"/>
      <c r="R106" s="2489"/>
    </row>
    <row r="107" spans="2:18" s="795" customFormat="1">
      <c r="B107" s="2487"/>
      <c r="C107" s="2487"/>
      <c r="D107" s="2487"/>
      <c r="E107" s="2487"/>
      <c r="F107" s="2487"/>
      <c r="G107" s="2488"/>
      <c r="H107" s="2487"/>
      <c r="I107" s="2488"/>
      <c r="J107" s="2487"/>
      <c r="K107" s="2487"/>
      <c r="L107" s="2488"/>
      <c r="M107" s="2487"/>
      <c r="N107" s="2487"/>
      <c r="O107" s="2488"/>
      <c r="P107" s="2487"/>
      <c r="Q107" s="2487"/>
      <c r="R107" s="2489"/>
    </row>
    <row r="108" spans="2:18" s="795" customFormat="1">
      <c r="B108" s="2487"/>
      <c r="C108" s="2487"/>
      <c r="D108" s="2487"/>
      <c r="E108" s="2487"/>
      <c r="F108" s="2487"/>
      <c r="G108" s="2488"/>
      <c r="H108" s="2487"/>
      <c r="I108" s="2488"/>
      <c r="J108" s="2487"/>
      <c r="K108" s="2487"/>
      <c r="L108" s="2488"/>
      <c r="M108" s="2487"/>
      <c r="N108" s="2487"/>
      <c r="O108" s="2488"/>
      <c r="P108" s="2487"/>
      <c r="Q108" s="2487"/>
      <c r="R108" s="2489"/>
    </row>
    <row r="109" spans="2:18" s="795" customFormat="1">
      <c r="B109" s="2487"/>
      <c r="C109" s="2487"/>
      <c r="D109" s="2487"/>
      <c r="E109" s="2487"/>
      <c r="F109" s="2487"/>
      <c r="G109" s="2488"/>
      <c r="H109" s="2487"/>
      <c r="I109" s="2488"/>
      <c r="J109" s="2487"/>
      <c r="K109" s="2487"/>
      <c r="L109" s="2488"/>
      <c r="M109" s="2487"/>
      <c r="N109" s="2487"/>
      <c r="O109" s="2488"/>
      <c r="P109" s="2487"/>
      <c r="Q109" s="2487"/>
      <c r="R109" s="2489"/>
    </row>
    <row r="110" spans="2:18" s="795" customFormat="1">
      <c r="B110" s="2487"/>
      <c r="C110" s="2487"/>
      <c r="D110" s="2487"/>
      <c r="E110" s="2487"/>
      <c r="F110" s="2487"/>
      <c r="G110" s="2488"/>
      <c r="H110" s="2487"/>
      <c r="I110" s="2488"/>
      <c r="J110" s="2487"/>
      <c r="K110" s="2487"/>
      <c r="L110" s="2488"/>
      <c r="M110" s="2487"/>
      <c r="N110" s="2487"/>
      <c r="O110" s="2488"/>
      <c r="P110" s="2487"/>
      <c r="Q110" s="2487"/>
      <c r="R110" s="2489"/>
    </row>
    <row r="111" spans="2:18" s="795" customFormat="1">
      <c r="B111" s="2487"/>
      <c r="C111" s="2487"/>
      <c r="D111" s="2487"/>
      <c r="E111" s="2487"/>
      <c r="F111" s="2487"/>
      <c r="G111" s="2488"/>
      <c r="H111" s="2487"/>
      <c r="I111" s="2488"/>
      <c r="J111" s="2487"/>
      <c r="K111" s="2487"/>
      <c r="L111" s="2488"/>
      <c r="M111" s="2487"/>
      <c r="N111" s="2487"/>
      <c r="O111" s="2488"/>
      <c r="P111" s="2487"/>
      <c r="Q111" s="2487"/>
      <c r="R111" s="2489"/>
    </row>
    <row r="112" spans="2:18" s="795" customFormat="1">
      <c r="B112" s="2487"/>
      <c r="C112" s="2487"/>
      <c r="D112" s="2487"/>
      <c r="E112" s="2487"/>
      <c r="F112" s="2487"/>
      <c r="G112" s="2488"/>
      <c r="H112" s="2487"/>
      <c r="I112" s="2488"/>
      <c r="J112" s="2487"/>
      <c r="K112" s="2487"/>
      <c r="L112" s="2488"/>
      <c r="M112" s="2487"/>
      <c r="N112" s="2487"/>
      <c r="O112" s="2488"/>
      <c r="P112" s="2487"/>
      <c r="Q112" s="2487"/>
      <c r="R112" s="2489"/>
    </row>
    <row r="113" spans="2:18" s="795" customFormat="1">
      <c r="B113" s="2487"/>
      <c r="C113" s="2487"/>
      <c r="D113" s="2487"/>
      <c r="E113" s="2487"/>
      <c r="F113" s="2487"/>
      <c r="G113" s="2488"/>
      <c r="H113" s="2487"/>
      <c r="I113" s="2488"/>
      <c r="J113" s="2487"/>
      <c r="K113" s="2487"/>
      <c r="L113" s="2488"/>
      <c r="M113" s="2487"/>
      <c r="N113" s="2487"/>
      <c r="O113" s="2488"/>
      <c r="P113" s="2487"/>
      <c r="Q113" s="2487"/>
      <c r="R113" s="2489"/>
    </row>
    <row r="114" spans="2:18" s="795" customFormat="1">
      <c r="B114" s="2487"/>
      <c r="C114" s="2487"/>
      <c r="D114" s="2487"/>
      <c r="E114" s="2487"/>
      <c r="F114" s="2487"/>
      <c r="G114" s="2488"/>
      <c r="H114" s="2487"/>
      <c r="I114" s="2488"/>
      <c r="J114" s="2487"/>
      <c r="K114" s="2487"/>
      <c r="L114" s="2488"/>
      <c r="M114" s="2487"/>
      <c r="N114" s="2487"/>
      <c r="O114" s="2488"/>
      <c r="P114" s="2487"/>
      <c r="Q114" s="2487"/>
      <c r="R114" s="2489"/>
    </row>
    <row r="115" spans="2:18" s="795" customFormat="1">
      <c r="B115" s="2487"/>
      <c r="C115" s="2487"/>
      <c r="D115" s="2487"/>
      <c r="E115" s="2487"/>
      <c r="F115" s="2487"/>
      <c r="G115" s="2488"/>
      <c r="H115" s="2487"/>
      <c r="I115" s="2488"/>
      <c r="J115" s="2487"/>
      <c r="K115" s="2487"/>
      <c r="L115" s="2488"/>
      <c r="M115" s="2487"/>
      <c r="N115" s="2487"/>
      <c r="O115" s="2488"/>
      <c r="P115" s="2487"/>
      <c r="Q115" s="2487"/>
      <c r="R115" s="2489"/>
    </row>
    <row r="116" spans="2:18" s="795" customFormat="1">
      <c r="B116" s="2487"/>
      <c r="C116" s="2487"/>
      <c r="D116" s="2487"/>
      <c r="E116" s="2487"/>
      <c r="F116" s="2487"/>
      <c r="G116" s="2488"/>
      <c r="H116" s="2487"/>
      <c r="I116" s="2488"/>
      <c r="J116" s="2487"/>
      <c r="K116" s="2487"/>
      <c r="L116" s="2488"/>
      <c r="M116" s="2487"/>
      <c r="N116" s="2487"/>
      <c r="O116" s="2488"/>
      <c r="P116" s="2487"/>
      <c r="Q116" s="2487"/>
      <c r="R116" s="2489"/>
    </row>
    <row r="117" spans="2:18" s="795" customFormat="1">
      <c r="B117" s="2487"/>
      <c r="C117" s="2487"/>
      <c r="D117" s="2487"/>
      <c r="E117" s="2487"/>
      <c r="F117" s="2487"/>
      <c r="G117" s="2488"/>
      <c r="H117" s="2487"/>
      <c r="I117" s="2488"/>
      <c r="J117" s="2487"/>
      <c r="K117" s="2487"/>
      <c r="L117" s="2488"/>
      <c r="M117" s="2487"/>
      <c r="N117" s="2487"/>
      <c r="O117" s="2488"/>
      <c r="P117" s="2487"/>
      <c r="Q117" s="2487"/>
      <c r="R117" s="2489"/>
    </row>
    <row r="118" spans="2:18" s="795" customFormat="1">
      <c r="B118" s="2487"/>
      <c r="C118" s="2487"/>
      <c r="D118" s="2487"/>
      <c r="E118" s="2487"/>
      <c r="F118" s="2487"/>
      <c r="G118" s="2488"/>
      <c r="H118" s="2487"/>
      <c r="I118" s="2488"/>
      <c r="J118" s="2487"/>
      <c r="K118" s="2487"/>
      <c r="L118" s="2488"/>
      <c r="M118" s="2487"/>
      <c r="N118" s="2487"/>
      <c r="O118" s="2488"/>
      <c r="P118" s="2487"/>
      <c r="Q118" s="2487"/>
      <c r="R118" s="2489"/>
    </row>
    <row r="119" spans="2:18" s="795" customFormat="1">
      <c r="B119" s="2487"/>
      <c r="C119" s="2487"/>
      <c r="D119" s="2487"/>
      <c r="E119" s="2487"/>
      <c r="F119" s="2487"/>
      <c r="G119" s="2488"/>
      <c r="H119" s="2487"/>
      <c r="I119" s="2488"/>
      <c r="J119" s="2487"/>
      <c r="K119" s="2487"/>
      <c r="L119" s="2488"/>
      <c r="M119" s="2487"/>
      <c r="N119" s="2487"/>
      <c r="O119" s="2488"/>
      <c r="P119" s="2487"/>
      <c r="Q119" s="2487"/>
      <c r="R119" s="2489"/>
    </row>
    <row r="120" spans="2:18" s="795" customFormat="1">
      <c r="B120" s="2487"/>
      <c r="C120" s="2487"/>
      <c r="D120" s="2487"/>
      <c r="E120" s="2487"/>
      <c r="F120" s="2487"/>
      <c r="G120" s="2488"/>
      <c r="H120" s="2487"/>
      <c r="I120" s="2488"/>
      <c r="J120" s="2487"/>
      <c r="K120" s="2487"/>
      <c r="L120" s="2488"/>
      <c r="M120" s="2487"/>
      <c r="N120" s="2487"/>
      <c r="O120" s="2488"/>
      <c r="P120" s="2487"/>
      <c r="Q120" s="2487"/>
      <c r="R120" s="2489"/>
    </row>
    <row r="121" spans="2:18" s="795" customFormat="1">
      <c r="B121" s="2487"/>
      <c r="C121" s="2487"/>
      <c r="D121" s="2487"/>
      <c r="E121" s="2487"/>
      <c r="F121" s="2487"/>
      <c r="G121" s="2488"/>
      <c r="H121" s="2487"/>
      <c r="I121" s="2488"/>
      <c r="J121" s="2487"/>
      <c r="K121" s="2487"/>
      <c r="L121" s="2488"/>
      <c r="M121" s="2487"/>
      <c r="N121" s="2487"/>
      <c r="O121" s="2488"/>
      <c r="P121" s="2487"/>
      <c r="Q121" s="2487"/>
      <c r="R121" s="2489"/>
    </row>
    <row r="122" spans="2:18" s="795" customFormat="1">
      <c r="B122" s="2487"/>
      <c r="C122" s="2487"/>
      <c r="D122" s="2487"/>
      <c r="E122" s="2487"/>
      <c r="F122" s="2487"/>
      <c r="G122" s="2488"/>
      <c r="H122" s="2487"/>
      <c r="I122" s="2488"/>
      <c r="J122" s="2487"/>
      <c r="K122" s="2487"/>
      <c r="L122" s="2488"/>
      <c r="M122" s="2487"/>
      <c r="N122" s="2487"/>
      <c r="O122" s="2488"/>
      <c r="P122" s="2487"/>
      <c r="Q122" s="2487"/>
      <c r="R122" s="2489"/>
    </row>
    <row r="123" spans="2:18" s="795" customFormat="1">
      <c r="B123" s="2487"/>
      <c r="C123" s="2487"/>
      <c r="D123" s="2487"/>
      <c r="E123" s="2487"/>
      <c r="F123" s="2487"/>
      <c r="G123" s="2488"/>
      <c r="H123" s="2487"/>
      <c r="I123" s="2488"/>
      <c r="J123" s="2487"/>
      <c r="K123" s="2487"/>
      <c r="L123" s="2488"/>
      <c r="M123" s="2487"/>
      <c r="N123" s="2487"/>
      <c r="O123" s="2488"/>
      <c r="P123" s="2487"/>
      <c r="Q123" s="2487"/>
      <c r="R123" s="2489"/>
    </row>
    <row r="124" spans="2:18" s="795" customFormat="1">
      <c r="B124" s="2487"/>
      <c r="C124" s="2487"/>
      <c r="D124" s="2487"/>
      <c r="E124" s="2487"/>
      <c r="F124" s="2487"/>
      <c r="G124" s="2488"/>
      <c r="H124" s="2487"/>
      <c r="I124" s="2488"/>
      <c r="J124" s="2487"/>
      <c r="K124" s="2487"/>
      <c r="L124" s="2488"/>
      <c r="M124" s="2487"/>
      <c r="N124" s="2487"/>
      <c r="O124" s="2488"/>
      <c r="P124" s="2487"/>
      <c r="Q124" s="2487"/>
      <c r="R124" s="2489"/>
    </row>
    <row r="125" spans="2:18" s="795" customFormat="1">
      <c r="B125" s="2487"/>
      <c r="C125" s="2487"/>
      <c r="D125" s="2487"/>
      <c r="E125" s="2487"/>
      <c r="F125" s="2487"/>
      <c r="G125" s="2488"/>
      <c r="H125" s="2487"/>
      <c r="I125" s="2488"/>
      <c r="J125" s="2487"/>
      <c r="K125" s="2487"/>
      <c r="L125" s="2488"/>
      <c r="M125" s="2487"/>
      <c r="N125" s="2487"/>
      <c r="O125" s="2488"/>
      <c r="P125" s="2487"/>
      <c r="Q125" s="2487"/>
      <c r="R125" s="2489"/>
    </row>
    <row r="126" spans="2:18" s="795" customFormat="1">
      <c r="B126" s="2487"/>
      <c r="C126" s="2487"/>
      <c r="D126" s="2487"/>
      <c r="E126" s="2487"/>
      <c r="F126" s="2487"/>
      <c r="G126" s="2488"/>
      <c r="H126" s="2487"/>
      <c r="I126" s="2488"/>
      <c r="J126" s="2487"/>
      <c r="K126" s="2487"/>
      <c r="L126" s="2488"/>
      <c r="M126" s="2487"/>
      <c r="N126" s="2487"/>
      <c r="O126" s="2488"/>
      <c r="P126" s="2487"/>
      <c r="Q126" s="2487"/>
      <c r="R126" s="2489"/>
    </row>
    <row r="127" spans="2:18" s="795" customFormat="1">
      <c r="B127" s="2487"/>
      <c r="C127" s="2487"/>
      <c r="D127" s="2487"/>
      <c r="E127" s="2487"/>
      <c r="F127" s="2487"/>
      <c r="G127" s="2488"/>
      <c r="H127" s="2487"/>
      <c r="I127" s="2488"/>
      <c r="J127" s="2487"/>
      <c r="K127" s="2487"/>
      <c r="L127" s="2488"/>
      <c r="M127" s="2487"/>
      <c r="N127" s="2487"/>
      <c r="O127" s="2488"/>
      <c r="P127" s="2487"/>
      <c r="Q127" s="2487"/>
      <c r="R127" s="2489"/>
    </row>
    <row r="128" spans="2:18" s="795" customFormat="1">
      <c r="B128" s="2487"/>
      <c r="C128" s="2487"/>
      <c r="D128" s="2487"/>
      <c r="E128" s="2487"/>
      <c r="F128" s="2487"/>
      <c r="G128" s="2488"/>
      <c r="H128" s="2487"/>
      <c r="I128" s="2488"/>
      <c r="J128" s="2487"/>
      <c r="K128" s="2487"/>
      <c r="L128" s="2488"/>
      <c r="M128" s="2487"/>
      <c r="N128" s="2487"/>
      <c r="O128" s="2488"/>
      <c r="P128" s="2487"/>
      <c r="Q128" s="2487"/>
      <c r="R128" s="2489"/>
    </row>
    <row r="129" spans="2:18" s="795" customFormat="1">
      <c r="B129" s="2487"/>
      <c r="C129" s="2487"/>
      <c r="D129" s="2487"/>
      <c r="E129" s="2487"/>
      <c r="F129" s="2487"/>
      <c r="G129" s="2488"/>
      <c r="H129" s="2487"/>
      <c r="I129" s="2488"/>
      <c r="J129" s="2487"/>
      <c r="K129" s="2487"/>
      <c r="L129" s="2488"/>
      <c r="M129" s="2487"/>
      <c r="N129" s="2487"/>
      <c r="O129" s="2488"/>
      <c r="P129" s="2487"/>
      <c r="Q129" s="2487"/>
      <c r="R129" s="2489"/>
    </row>
    <row r="130" spans="2:18" s="795" customFormat="1">
      <c r="B130" s="2487"/>
      <c r="C130" s="2487"/>
      <c r="D130" s="2487"/>
      <c r="E130" s="2487"/>
      <c r="F130" s="2487"/>
      <c r="G130" s="2488"/>
      <c r="H130" s="2487"/>
      <c r="I130" s="2488"/>
      <c r="J130" s="2487"/>
      <c r="K130" s="2487"/>
      <c r="L130" s="2488"/>
      <c r="M130" s="2487"/>
      <c r="N130" s="2487"/>
      <c r="O130" s="2488"/>
      <c r="P130" s="2487"/>
      <c r="Q130" s="2487"/>
      <c r="R130" s="2489"/>
    </row>
    <row r="131" spans="2:18" s="795" customFormat="1">
      <c r="B131" s="2487"/>
      <c r="C131" s="2487"/>
      <c r="D131" s="2487"/>
      <c r="E131" s="2487"/>
      <c r="F131" s="2487"/>
      <c r="G131" s="2488"/>
      <c r="H131" s="2487"/>
      <c r="I131" s="2488"/>
      <c r="J131" s="2487"/>
      <c r="K131" s="2487"/>
      <c r="L131" s="2488"/>
      <c r="M131" s="2487"/>
      <c r="N131" s="2487"/>
      <c r="O131" s="2488"/>
      <c r="P131" s="2487"/>
      <c r="Q131" s="2487"/>
      <c r="R131" s="2489"/>
    </row>
    <row r="132" spans="2:18" s="795" customFormat="1">
      <c r="B132" s="2487"/>
      <c r="C132" s="2487"/>
      <c r="D132" s="2487"/>
      <c r="E132" s="2487"/>
      <c r="F132" s="2487"/>
      <c r="G132" s="2488"/>
      <c r="H132" s="2487"/>
      <c r="I132" s="2488"/>
      <c r="J132" s="2487"/>
      <c r="K132" s="2487"/>
      <c r="L132" s="2488"/>
      <c r="M132" s="2487"/>
      <c r="N132" s="2487"/>
      <c r="O132" s="2488"/>
      <c r="P132" s="2487"/>
      <c r="Q132" s="2487"/>
      <c r="R132" s="2489"/>
    </row>
    <row r="133" spans="2:18" s="795" customFormat="1">
      <c r="B133" s="2487"/>
      <c r="C133" s="2487"/>
      <c r="D133" s="2487"/>
      <c r="E133" s="2487"/>
      <c r="F133" s="2487"/>
      <c r="G133" s="2488"/>
      <c r="H133" s="2487"/>
      <c r="I133" s="2488"/>
      <c r="J133" s="2487"/>
      <c r="K133" s="2487"/>
      <c r="L133" s="2488"/>
      <c r="M133" s="2487"/>
      <c r="N133" s="2487"/>
      <c r="O133" s="2488"/>
      <c r="P133" s="2487"/>
      <c r="Q133" s="2487"/>
      <c r="R133" s="2489"/>
    </row>
    <row r="134" spans="2:18" s="795" customFormat="1">
      <c r="B134" s="2487"/>
      <c r="C134" s="2487"/>
      <c r="D134" s="2487"/>
      <c r="E134" s="2487"/>
      <c r="F134" s="2487"/>
      <c r="G134" s="2488"/>
      <c r="H134" s="2487"/>
      <c r="I134" s="2488"/>
      <c r="J134" s="2487"/>
      <c r="K134" s="2487"/>
      <c r="L134" s="2488"/>
      <c r="M134" s="2487"/>
      <c r="N134" s="2487"/>
      <c r="O134" s="2488"/>
      <c r="P134" s="2487"/>
      <c r="Q134" s="2487"/>
      <c r="R134" s="2489"/>
    </row>
    <row r="135" spans="2:18" s="795" customFormat="1">
      <c r="B135" s="2487"/>
      <c r="C135" s="2487"/>
      <c r="D135" s="2487"/>
      <c r="E135" s="2487"/>
      <c r="F135" s="2487"/>
      <c r="G135" s="2488"/>
      <c r="H135" s="2487"/>
      <c r="I135" s="2488"/>
      <c r="J135" s="2487"/>
      <c r="K135" s="2487"/>
      <c r="L135" s="2488"/>
      <c r="M135" s="2487"/>
      <c r="N135" s="2487"/>
      <c r="O135" s="2488"/>
      <c r="P135" s="2487"/>
      <c r="Q135" s="2487"/>
      <c r="R135" s="2489"/>
    </row>
    <row r="136" spans="2:18" s="795" customFormat="1">
      <c r="B136" s="2487"/>
      <c r="C136" s="2487"/>
      <c r="D136" s="2487"/>
      <c r="E136" s="2487"/>
      <c r="F136" s="2487"/>
      <c r="G136" s="2488"/>
      <c r="H136" s="2487"/>
      <c r="I136" s="2488"/>
      <c r="J136" s="2487"/>
      <c r="K136" s="2487"/>
      <c r="L136" s="2488"/>
      <c r="M136" s="2487"/>
      <c r="N136" s="2487"/>
      <c r="O136" s="2488"/>
      <c r="P136" s="2487"/>
      <c r="Q136" s="2487"/>
      <c r="R136" s="2489"/>
    </row>
    <row r="137" spans="2:18" s="795" customFormat="1">
      <c r="B137" s="2487"/>
      <c r="C137" s="2487"/>
      <c r="D137" s="2487"/>
      <c r="E137" s="2487"/>
      <c r="F137" s="2487"/>
      <c r="G137" s="2488"/>
      <c r="H137" s="2487"/>
      <c r="I137" s="2488"/>
      <c r="J137" s="2487"/>
      <c r="K137" s="2487"/>
      <c r="L137" s="2488"/>
      <c r="M137" s="2487"/>
      <c r="N137" s="2487"/>
      <c r="O137" s="2488"/>
      <c r="P137" s="2487"/>
      <c r="Q137" s="2487"/>
      <c r="R137" s="2489"/>
    </row>
    <row r="138" spans="2:18" s="795" customFormat="1">
      <c r="B138" s="2487"/>
      <c r="C138" s="2487"/>
      <c r="D138" s="2487"/>
      <c r="E138" s="2487"/>
      <c r="F138" s="2487"/>
      <c r="G138" s="2488"/>
      <c r="H138" s="2487"/>
      <c r="I138" s="2488"/>
      <c r="J138" s="2487"/>
      <c r="K138" s="2487"/>
      <c r="L138" s="2488"/>
      <c r="M138" s="2487"/>
      <c r="N138" s="2487"/>
      <c r="O138" s="2488"/>
      <c r="P138" s="2487"/>
      <c r="Q138" s="2487"/>
      <c r="R138" s="2489"/>
    </row>
    <row r="139" spans="2:18" s="795" customFormat="1">
      <c r="B139" s="2487"/>
      <c r="C139" s="2487"/>
      <c r="D139" s="2487"/>
      <c r="E139" s="2487"/>
      <c r="F139" s="2487"/>
      <c r="G139" s="2488"/>
      <c r="H139" s="2487"/>
      <c r="I139" s="2488"/>
      <c r="J139" s="2487"/>
      <c r="K139" s="2487"/>
      <c r="L139" s="2488"/>
      <c r="M139" s="2487"/>
      <c r="N139" s="2487"/>
      <c r="O139" s="2488"/>
      <c r="P139" s="2487"/>
      <c r="Q139" s="2487"/>
      <c r="R139" s="2489"/>
    </row>
    <row r="140" spans="2:18" s="795" customFormat="1">
      <c r="B140" s="2487"/>
      <c r="C140" s="2487"/>
      <c r="D140" s="2487"/>
      <c r="E140" s="2487"/>
      <c r="F140" s="2487"/>
      <c r="G140" s="2488"/>
      <c r="H140" s="2487"/>
      <c r="I140" s="2488"/>
      <c r="J140" s="2487"/>
      <c r="K140" s="2487"/>
      <c r="L140" s="2488"/>
      <c r="M140" s="2487"/>
      <c r="N140" s="2487"/>
      <c r="O140" s="2488"/>
      <c r="P140" s="2487"/>
      <c r="Q140" s="2487"/>
      <c r="R140" s="2489"/>
    </row>
    <row r="141" spans="2:18" s="795" customFormat="1">
      <c r="B141" s="2487"/>
      <c r="C141" s="2487"/>
      <c r="D141" s="2487"/>
      <c r="E141" s="2487"/>
      <c r="F141" s="2487"/>
      <c r="G141" s="2488"/>
      <c r="H141" s="2487"/>
      <c r="I141" s="2488"/>
      <c r="J141" s="2487"/>
      <c r="K141" s="2487"/>
      <c r="L141" s="2488"/>
      <c r="M141" s="2487"/>
      <c r="N141" s="2487"/>
      <c r="O141" s="2488"/>
      <c r="P141" s="2487"/>
      <c r="Q141" s="2487"/>
      <c r="R141" s="2489"/>
    </row>
    <row r="142" spans="2:18" s="795" customFormat="1">
      <c r="B142" s="2487"/>
      <c r="C142" s="2487"/>
      <c r="D142" s="2487"/>
      <c r="E142" s="2487"/>
      <c r="F142" s="2487"/>
      <c r="G142" s="2488"/>
      <c r="H142" s="2487"/>
      <c r="I142" s="2488"/>
      <c r="J142" s="2487"/>
      <c r="K142" s="2487"/>
      <c r="L142" s="2488"/>
      <c r="M142" s="2487"/>
      <c r="N142" s="2487"/>
      <c r="O142" s="2488"/>
      <c r="P142" s="2487"/>
      <c r="Q142" s="2487"/>
      <c r="R142" s="2489"/>
    </row>
    <row r="143" spans="2:18" s="795" customFormat="1">
      <c r="B143" s="2487"/>
      <c r="C143" s="2487"/>
      <c r="D143" s="2487"/>
      <c r="E143" s="2487"/>
      <c r="F143" s="2487"/>
      <c r="G143" s="2488"/>
      <c r="H143" s="2487"/>
      <c r="I143" s="2488"/>
      <c r="J143" s="2487"/>
      <c r="K143" s="2487"/>
      <c r="L143" s="2488"/>
      <c r="M143" s="2487"/>
      <c r="N143" s="2487"/>
      <c r="O143" s="2488"/>
      <c r="P143" s="2487"/>
      <c r="Q143" s="2487"/>
      <c r="R143" s="2489"/>
    </row>
    <row r="144" spans="2:18" s="795" customFormat="1">
      <c r="B144" s="2487"/>
      <c r="C144" s="2487"/>
      <c r="D144" s="2487"/>
      <c r="E144" s="2487"/>
      <c r="F144" s="2487"/>
      <c r="G144" s="2488"/>
      <c r="H144" s="2487"/>
      <c r="I144" s="2488"/>
      <c r="J144" s="2487"/>
      <c r="K144" s="2487"/>
      <c r="L144" s="2488"/>
      <c r="M144" s="2487"/>
      <c r="N144" s="2487"/>
      <c r="O144" s="2488"/>
      <c r="P144" s="2487"/>
      <c r="Q144" s="2487"/>
      <c r="R144" s="2489"/>
    </row>
    <row r="145" spans="2:18" s="795" customFormat="1">
      <c r="B145" s="2487"/>
      <c r="C145" s="2487"/>
      <c r="D145" s="2487"/>
      <c r="E145" s="2487"/>
      <c r="F145" s="2487"/>
      <c r="G145" s="2488"/>
      <c r="H145" s="2487"/>
      <c r="I145" s="2488"/>
      <c r="J145" s="2487"/>
      <c r="K145" s="2487"/>
      <c r="L145" s="2488"/>
      <c r="M145" s="2487"/>
      <c r="N145" s="2487"/>
      <c r="O145" s="2488"/>
      <c r="P145" s="2487"/>
      <c r="Q145" s="2487"/>
      <c r="R145" s="2489"/>
    </row>
    <row r="146" spans="2:18" s="795" customFormat="1">
      <c r="B146" s="2487"/>
      <c r="C146" s="2487"/>
      <c r="D146" s="2487"/>
      <c r="E146" s="2487"/>
      <c r="F146" s="2487"/>
      <c r="G146" s="2488"/>
      <c r="H146" s="2487"/>
      <c r="I146" s="2488"/>
      <c r="J146" s="2487"/>
      <c r="K146" s="2487"/>
      <c r="L146" s="2488"/>
      <c r="M146" s="2487"/>
      <c r="N146" s="2487"/>
      <c r="O146" s="2488"/>
      <c r="P146" s="2487"/>
      <c r="Q146" s="2487"/>
      <c r="R146" s="2489"/>
    </row>
    <row r="147" spans="2:18" s="795" customFormat="1">
      <c r="B147" s="2487"/>
      <c r="C147" s="2487"/>
      <c r="D147" s="2487"/>
      <c r="E147" s="2487"/>
      <c r="F147" s="2487"/>
      <c r="G147" s="2488"/>
      <c r="H147" s="2487"/>
      <c r="I147" s="2488"/>
      <c r="J147" s="2487"/>
      <c r="K147" s="2487"/>
      <c r="L147" s="2488"/>
      <c r="M147" s="2487"/>
      <c r="N147" s="2487"/>
      <c r="O147" s="2488"/>
      <c r="P147" s="2487"/>
      <c r="Q147" s="2487"/>
      <c r="R147" s="2489"/>
    </row>
    <row r="148" spans="2:18" s="795" customFormat="1">
      <c r="B148" s="2487"/>
      <c r="C148" s="2487"/>
      <c r="D148" s="2487"/>
      <c r="E148" s="2487"/>
      <c r="F148" s="2487"/>
      <c r="G148" s="2488"/>
      <c r="H148" s="2487"/>
      <c r="I148" s="2488"/>
      <c r="J148" s="2487"/>
      <c r="K148" s="2487"/>
      <c r="L148" s="2488"/>
      <c r="M148" s="2487"/>
      <c r="N148" s="2487"/>
      <c r="O148" s="2488"/>
      <c r="P148" s="2487"/>
      <c r="Q148" s="2487"/>
      <c r="R148" s="2489"/>
    </row>
    <row r="149" spans="2:18" s="795" customFormat="1">
      <c r="B149" s="2487"/>
      <c r="C149" s="2487"/>
      <c r="D149" s="2487"/>
      <c r="E149" s="2487"/>
      <c r="F149" s="2487"/>
      <c r="G149" s="2488"/>
      <c r="H149" s="2487"/>
      <c r="I149" s="2488"/>
      <c r="J149" s="2487"/>
      <c r="K149" s="2487"/>
      <c r="L149" s="2488"/>
      <c r="M149" s="2487"/>
      <c r="N149" s="2487"/>
      <c r="O149" s="2488"/>
      <c r="P149" s="2487"/>
      <c r="Q149" s="2487"/>
      <c r="R149" s="2489"/>
    </row>
    <row r="150" spans="2:18" s="795" customFormat="1">
      <c r="B150" s="2487"/>
      <c r="C150" s="2487"/>
      <c r="D150" s="2487"/>
      <c r="E150" s="2487"/>
      <c r="F150" s="2487"/>
      <c r="G150" s="2488"/>
      <c r="H150" s="2487"/>
      <c r="I150" s="2488"/>
      <c r="J150" s="2487"/>
      <c r="K150" s="2487"/>
      <c r="L150" s="2488"/>
      <c r="M150" s="2487"/>
      <c r="N150" s="2487"/>
      <c r="O150" s="2488"/>
      <c r="P150" s="2487"/>
      <c r="Q150" s="2487"/>
      <c r="R150" s="2489"/>
    </row>
    <row r="151" spans="2:18" s="795" customFormat="1">
      <c r="B151" s="2487"/>
      <c r="C151" s="2487"/>
      <c r="D151" s="2487"/>
      <c r="E151" s="2487"/>
      <c r="F151" s="2487"/>
      <c r="G151" s="2488"/>
      <c r="H151" s="2487"/>
      <c r="I151" s="2488"/>
      <c r="J151" s="2487"/>
      <c r="K151" s="2487"/>
      <c r="L151" s="2488"/>
      <c r="M151" s="2487"/>
      <c r="N151" s="2487"/>
      <c r="O151" s="2488"/>
      <c r="P151" s="2487"/>
      <c r="Q151" s="2487"/>
      <c r="R151" s="2489"/>
    </row>
    <row r="152" spans="2:18" s="795" customFormat="1">
      <c r="B152" s="2487"/>
      <c r="C152" s="2487"/>
      <c r="D152" s="2487"/>
      <c r="E152" s="2487"/>
      <c r="F152" s="2487"/>
      <c r="G152" s="2488"/>
      <c r="H152" s="2487"/>
      <c r="I152" s="2488"/>
      <c r="J152" s="2487"/>
      <c r="K152" s="2487"/>
      <c r="L152" s="2488"/>
      <c r="M152" s="2487"/>
      <c r="N152" s="2487"/>
      <c r="O152" s="2488"/>
      <c r="P152" s="2487"/>
      <c r="Q152" s="2487"/>
      <c r="R152" s="2489"/>
    </row>
    <row r="153" spans="2:18" s="795" customFormat="1">
      <c r="B153" s="2487"/>
      <c r="C153" s="2487"/>
      <c r="D153" s="2487"/>
      <c r="E153" s="2487"/>
      <c r="F153" s="2487"/>
      <c r="G153" s="2488"/>
      <c r="H153" s="2487"/>
      <c r="I153" s="2488"/>
      <c r="J153" s="2487"/>
      <c r="K153" s="2487"/>
      <c r="L153" s="2488"/>
      <c r="M153" s="2487"/>
      <c r="N153" s="2487"/>
      <c r="O153" s="2488"/>
      <c r="P153" s="2487"/>
      <c r="Q153" s="2487"/>
      <c r="R153" s="2489"/>
    </row>
    <row r="154" spans="2:18" s="795" customFormat="1">
      <c r="B154" s="2487"/>
      <c r="C154" s="2487"/>
      <c r="D154" s="2487"/>
      <c r="E154" s="2487"/>
      <c r="F154" s="2487"/>
      <c r="G154" s="2488"/>
      <c r="H154" s="2487"/>
      <c r="I154" s="2488"/>
      <c r="J154" s="2487"/>
      <c r="K154" s="2487"/>
      <c r="L154" s="2488"/>
      <c r="M154" s="2487"/>
      <c r="N154" s="2487"/>
      <c r="O154" s="2488"/>
      <c r="P154" s="2487"/>
      <c r="Q154" s="2487"/>
      <c r="R154" s="2489"/>
    </row>
    <row r="155" spans="2:18" s="795" customFormat="1">
      <c r="B155" s="2487"/>
      <c r="C155" s="2487"/>
      <c r="D155" s="2487"/>
      <c r="E155" s="2487"/>
      <c r="F155" s="2487"/>
      <c r="G155" s="2488"/>
      <c r="H155" s="2487"/>
      <c r="I155" s="2488"/>
      <c r="J155" s="2487"/>
      <c r="K155" s="2487"/>
      <c r="L155" s="2488"/>
      <c r="M155" s="2487"/>
      <c r="N155" s="2487"/>
      <c r="O155" s="2488"/>
      <c r="P155" s="2487"/>
      <c r="Q155" s="2487"/>
      <c r="R155" s="2489"/>
    </row>
    <row r="156" spans="2:18" s="795" customFormat="1">
      <c r="B156" s="2487"/>
      <c r="C156" s="2487"/>
      <c r="D156" s="2487"/>
      <c r="E156" s="2487"/>
      <c r="F156" s="2487"/>
      <c r="G156" s="2488"/>
      <c r="H156" s="2487"/>
      <c r="I156" s="2488"/>
      <c r="J156" s="2487"/>
      <c r="K156" s="2487"/>
      <c r="L156" s="2488"/>
      <c r="M156" s="2487"/>
      <c r="N156" s="2487"/>
      <c r="O156" s="2488"/>
      <c r="P156" s="2487"/>
      <c r="Q156" s="2487"/>
      <c r="R156" s="2489"/>
    </row>
    <row r="157" spans="2:18" s="795" customFormat="1">
      <c r="B157" s="2487"/>
      <c r="C157" s="2487"/>
      <c r="D157" s="2487"/>
      <c r="E157" s="2487"/>
      <c r="F157" s="2487"/>
      <c r="G157" s="2488"/>
      <c r="H157" s="2487"/>
      <c r="I157" s="2488"/>
      <c r="J157" s="2487"/>
      <c r="K157" s="2487"/>
      <c r="L157" s="2488"/>
      <c r="M157" s="2487"/>
      <c r="N157" s="2487"/>
      <c r="O157" s="2488"/>
      <c r="P157" s="2487"/>
      <c r="Q157" s="2487"/>
      <c r="R157" s="2489"/>
    </row>
    <row r="158" spans="2:18" s="795" customFormat="1">
      <c r="B158" s="2487"/>
      <c r="C158" s="2487"/>
      <c r="D158" s="2487"/>
      <c r="E158" s="2487"/>
      <c r="F158" s="2487"/>
      <c r="G158" s="2488"/>
      <c r="H158" s="2487"/>
      <c r="I158" s="2488"/>
      <c r="J158" s="2487"/>
      <c r="K158" s="2487"/>
      <c r="L158" s="2488"/>
      <c r="M158" s="2487"/>
      <c r="N158" s="2487"/>
      <c r="O158" s="2488"/>
      <c r="P158" s="2487"/>
      <c r="Q158" s="2487"/>
      <c r="R158" s="2489"/>
    </row>
    <row r="159" spans="2:18" s="795" customFormat="1">
      <c r="B159" s="2487"/>
      <c r="C159" s="2487"/>
      <c r="D159" s="2487"/>
      <c r="E159" s="2487"/>
      <c r="F159" s="2487"/>
      <c r="G159" s="2488"/>
      <c r="H159" s="2487"/>
      <c r="I159" s="2488"/>
      <c r="J159" s="2487"/>
      <c r="K159" s="2487"/>
      <c r="L159" s="2488"/>
      <c r="M159" s="2487"/>
      <c r="N159" s="2487"/>
      <c r="O159" s="2488"/>
      <c r="P159" s="2487"/>
      <c r="Q159" s="2487"/>
      <c r="R159" s="2489"/>
    </row>
    <row r="160" spans="2:18" s="795" customFormat="1">
      <c r="B160" s="2487"/>
      <c r="C160" s="2487"/>
      <c r="D160" s="2487"/>
      <c r="E160" s="2487"/>
      <c r="F160" s="2487"/>
      <c r="G160" s="2488"/>
      <c r="H160" s="2487"/>
      <c r="I160" s="2488"/>
      <c r="J160" s="2487"/>
      <c r="K160" s="2487"/>
      <c r="L160" s="2488"/>
      <c r="M160" s="2487"/>
      <c r="N160" s="2487"/>
      <c r="O160" s="2488"/>
      <c r="P160" s="2487"/>
      <c r="Q160" s="2487"/>
      <c r="R160" s="2489"/>
    </row>
    <row r="161" spans="2:18" s="795" customFormat="1">
      <c r="B161" s="2487"/>
      <c r="C161" s="2487"/>
      <c r="D161" s="2487"/>
      <c r="E161" s="2487"/>
      <c r="F161" s="2487"/>
      <c r="G161" s="2488"/>
      <c r="H161" s="2487"/>
      <c r="I161" s="2488"/>
      <c r="J161" s="2487"/>
      <c r="K161" s="2487"/>
      <c r="L161" s="2488"/>
      <c r="M161" s="2487"/>
      <c r="N161" s="2487"/>
      <c r="O161" s="2488"/>
      <c r="P161" s="2487"/>
      <c r="Q161" s="2487"/>
      <c r="R161" s="2489"/>
    </row>
    <row r="162" spans="2:18" s="795" customFormat="1">
      <c r="B162" s="2487"/>
      <c r="C162" s="2487"/>
      <c r="D162" s="2487"/>
      <c r="E162" s="2487"/>
      <c r="F162" s="2487"/>
      <c r="G162" s="2488"/>
      <c r="H162" s="2487"/>
      <c r="I162" s="2488"/>
      <c r="J162" s="2487"/>
      <c r="K162" s="2487"/>
      <c r="L162" s="2488"/>
      <c r="M162" s="2487"/>
      <c r="N162" s="2487"/>
      <c r="O162" s="2488"/>
      <c r="P162" s="2487"/>
      <c r="Q162" s="2487"/>
      <c r="R162" s="2489"/>
    </row>
    <row r="163" spans="2:18" s="795" customFormat="1">
      <c r="B163" s="2487"/>
      <c r="C163" s="2487"/>
      <c r="D163" s="2487"/>
      <c r="E163" s="2487"/>
      <c r="F163" s="2487"/>
      <c r="G163" s="2488"/>
      <c r="H163" s="2487"/>
      <c r="I163" s="2488"/>
      <c r="J163" s="2487"/>
      <c r="K163" s="2487"/>
      <c r="L163" s="2488"/>
      <c r="M163" s="2487"/>
      <c r="N163" s="2487"/>
      <c r="O163" s="2488"/>
      <c r="P163" s="2487"/>
      <c r="Q163" s="2487"/>
      <c r="R163" s="2489"/>
    </row>
    <row r="164" spans="2:18" s="795" customFormat="1">
      <c r="B164" s="2487"/>
      <c r="C164" s="2487"/>
      <c r="D164" s="2487"/>
      <c r="E164" s="2487"/>
      <c r="F164" s="2487"/>
      <c r="G164" s="2488"/>
      <c r="H164" s="2487"/>
      <c r="I164" s="2488"/>
      <c r="J164" s="2487"/>
      <c r="K164" s="2487"/>
      <c r="L164" s="2488"/>
      <c r="M164" s="2487"/>
      <c r="N164" s="2487"/>
      <c r="O164" s="2488"/>
      <c r="P164" s="2487"/>
      <c r="Q164" s="2487"/>
      <c r="R164" s="2489"/>
    </row>
    <row r="165" spans="2:18" s="795" customFormat="1">
      <c r="B165" s="2487"/>
      <c r="C165" s="2487"/>
      <c r="D165" s="2487"/>
      <c r="E165" s="2487"/>
      <c r="F165" s="2487"/>
      <c r="G165" s="2488"/>
      <c r="H165" s="2487"/>
      <c r="I165" s="2488"/>
      <c r="J165" s="2487"/>
      <c r="K165" s="2487"/>
      <c r="L165" s="2488"/>
      <c r="M165" s="2487"/>
      <c r="N165" s="2487"/>
      <c r="O165" s="2488"/>
      <c r="P165" s="2487"/>
      <c r="Q165" s="2487"/>
      <c r="R165" s="2489"/>
    </row>
    <row r="166" spans="2:18" s="795" customFormat="1">
      <c r="B166" s="2487"/>
      <c r="C166" s="2487"/>
      <c r="D166" s="2487"/>
      <c r="E166" s="2487"/>
      <c r="F166" s="2487"/>
      <c r="G166" s="2488"/>
      <c r="H166" s="2487"/>
      <c r="I166" s="2488"/>
      <c r="J166" s="2487"/>
      <c r="K166" s="2487"/>
      <c r="L166" s="2488"/>
      <c r="M166" s="2487"/>
      <c r="N166" s="2487"/>
      <c r="O166" s="2488"/>
      <c r="P166" s="2487"/>
      <c r="Q166" s="2487"/>
      <c r="R166" s="2489"/>
    </row>
    <row r="167" spans="2:18" s="795" customFormat="1">
      <c r="B167" s="2487"/>
      <c r="C167" s="2487"/>
      <c r="D167" s="2487"/>
      <c r="E167" s="2487"/>
      <c r="F167" s="2487"/>
      <c r="G167" s="2488"/>
      <c r="H167" s="2487"/>
      <c r="I167" s="2488"/>
      <c r="J167" s="2487"/>
      <c r="K167" s="2487"/>
      <c r="L167" s="2488"/>
      <c r="M167" s="2487"/>
      <c r="N167" s="2487"/>
      <c r="O167" s="2488"/>
      <c r="P167" s="2487"/>
      <c r="Q167" s="2487"/>
      <c r="R167" s="2489"/>
    </row>
    <row r="168" spans="2:18" s="795" customFormat="1">
      <c r="B168" s="2487"/>
      <c r="C168" s="2487"/>
      <c r="D168" s="2487"/>
      <c r="E168" s="2487"/>
      <c r="F168" s="2487"/>
      <c r="G168" s="2488"/>
      <c r="H168" s="2487"/>
      <c r="I168" s="2488"/>
      <c r="J168" s="2487"/>
      <c r="K168" s="2487"/>
      <c r="L168" s="2488"/>
      <c r="M168" s="2487"/>
      <c r="N168" s="2487"/>
      <c r="O168" s="2488"/>
      <c r="P168" s="2487"/>
      <c r="Q168" s="2487"/>
      <c r="R168" s="2489"/>
    </row>
    <row r="169" spans="2:18" s="795" customFormat="1">
      <c r="B169" s="2487"/>
      <c r="C169" s="2487"/>
      <c r="D169" s="2487"/>
      <c r="E169" s="2487"/>
      <c r="F169" s="2487"/>
      <c r="G169" s="2488"/>
      <c r="H169" s="2487"/>
      <c r="I169" s="2488"/>
      <c r="J169" s="2487"/>
      <c r="K169" s="2487"/>
      <c r="L169" s="2488"/>
      <c r="M169" s="2487"/>
      <c r="N169" s="2487"/>
      <c r="O169" s="2488"/>
      <c r="P169" s="2487"/>
      <c r="Q169" s="2487"/>
      <c r="R169" s="2489"/>
    </row>
    <row r="170" spans="2:18" s="795" customFormat="1">
      <c r="B170" s="2487"/>
      <c r="C170" s="2487"/>
      <c r="D170" s="2487"/>
      <c r="E170" s="2487"/>
      <c r="F170" s="2487"/>
      <c r="G170" s="2488"/>
      <c r="H170" s="2487"/>
      <c r="I170" s="2488"/>
      <c r="J170" s="2487"/>
      <c r="K170" s="2487"/>
      <c r="L170" s="2488"/>
      <c r="M170" s="2487"/>
      <c r="N170" s="2487"/>
      <c r="O170" s="2488"/>
      <c r="P170" s="2487"/>
      <c r="Q170" s="2487"/>
      <c r="R170" s="2489"/>
    </row>
    <row r="171" spans="2:18" s="795" customFormat="1">
      <c r="B171" s="2487"/>
      <c r="C171" s="2487"/>
      <c r="D171" s="2487"/>
      <c r="E171" s="2487"/>
      <c r="F171" s="2487"/>
      <c r="G171" s="2488"/>
      <c r="H171" s="2487"/>
      <c r="I171" s="2488"/>
      <c r="J171" s="2487"/>
      <c r="K171" s="2487"/>
      <c r="L171" s="2488"/>
      <c r="M171" s="2487"/>
      <c r="N171" s="2487"/>
      <c r="O171" s="2488"/>
      <c r="P171" s="2487"/>
      <c r="Q171" s="2487"/>
      <c r="R171" s="2489"/>
    </row>
    <row r="172" spans="2:18" s="795" customFormat="1">
      <c r="B172" s="2487"/>
      <c r="C172" s="2487"/>
      <c r="D172" s="2487"/>
      <c r="E172" s="2487"/>
      <c r="F172" s="2487"/>
      <c r="G172" s="2488"/>
      <c r="H172" s="2487"/>
      <c r="I172" s="2488"/>
      <c r="J172" s="2487"/>
      <c r="K172" s="2487"/>
      <c r="L172" s="2488"/>
      <c r="M172" s="2487"/>
      <c r="N172" s="2487"/>
      <c r="O172" s="2488"/>
      <c r="P172" s="2487"/>
      <c r="Q172" s="2487"/>
      <c r="R172" s="2489"/>
    </row>
    <row r="173" spans="2:18" s="795" customFormat="1">
      <c r="B173" s="2487"/>
      <c r="C173" s="2487"/>
      <c r="D173" s="2487"/>
      <c r="E173" s="2487"/>
      <c r="F173" s="2487"/>
      <c r="G173" s="2488"/>
      <c r="H173" s="2487"/>
      <c r="I173" s="2488"/>
      <c r="J173" s="2487"/>
      <c r="K173" s="2487"/>
      <c r="L173" s="2488"/>
      <c r="M173" s="2487"/>
      <c r="N173" s="2487"/>
      <c r="O173" s="2488"/>
      <c r="P173" s="2487"/>
      <c r="Q173" s="2487"/>
      <c r="R173" s="2489"/>
    </row>
    <row r="174" spans="2:18" s="795" customFormat="1">
      <c r="B174" s="2487"/>
      <c r="C174" s="2487"/>
      <c r="D174" s="2487"/>
      <c r="E174" s="2487"/>
      <c r="F174" s="2487"/>
      <c r="G174" s="2488"/>
      <c r="H174" s="2487"/>
      <c r="I174" s="2488"/>
      <c r="J174" s="2487"/>
      <c r="K174" s="2487"/>
      <c r="L174" s="2488"/>
      <c r="M174" s="2487"/>
      <c r="N174" s="2487"/>
      <c r="O174" s="2488"/>
      <c r="P174" s="2487"/>
      <c r="Q174" s="2487"/>
      <c r="R174" s="2489"/>
    </row>
    <row r="175" spans="2:18" s="795" customFormat="1">
      <c r="B175" s="2487"/>
      <c r="C175" s="2487"/>
      <c r="D175" s="2487"/>
      <c r="E175" s="2487"/>
      <c r="F175" s="2487"/>
      <c r="G175" s="2488"/>
      <c r="H175" s="2487"/>
      <c r="I175" s="2488"/>
      <c r="J175" s="2487"/>
      <c r="K175" s="2487"/>
      <c r="L175" s="2488"/>
      <c r="M175" s="2487"/>
      <c r="N175" s="2487"/>
      <c r="O175" s="2488"/>
      <c r="P175" s="2487"/>
      <c r="Q175" s="2487"/>
      <c r="R175" s="2489"/>
    </row>
    <row r="176" spans="2:18" s="795" customFormat="1">
      <c r="B176" s="2487"/>
      <c r="C176" s="2487"/>
      <c r="D176" s="2487"/>
      <c r="E176" s="2487"/>
      <c r="F176" s="2487"/>
      <c r="G176" s="2488"/>
      <c r="H176" s="2487"/>
      <c r="I176" s="2488"/>
      <c r="J176" s="2487"/>
      <c r="K176" s="2487"/>
      <c r="L176" s="2488"/>
      <c r="M176" s="2487"/>
      <c r="N176" s="2487"/>
      <c r="O176" s="2488"/>
      <c r="P176" s="2487"/>
      <c r="Q176" s="2487"/>
      <c r="R176" s="2489"/>
    </row>
    <row r="177" spans="1:18" s="795" customFormat="1">
      <c r="B177" s="2487"/>
      <c r="C177" s="2487"/>
      <c r="D177" s="2487"/>
      <c r="E177" s="2487"/>
      <c r="F177" s="2487"/>
      <c r="G177" s="2488"/>
      <c r="H177" s="2487"/>
      <c r="I177" s="2488"/>
      <c r="J177" s="2487"/>
      <c r="K177" s="2487"/>
      <c r="L177" s="2488"/>
      <c r="M177" s="2487"/>
      <c r="N177" s="2487"/>
      <c r="O177" s="2488"/>
      <c r="P177" s="2487"/>
      <c r="Q177" s="2487"/>
      <c r="R177" s="2489"/>
    </row>
    <row r="178" spans="1:18" s="795" customFormat="1">
      <c r="B178" s="2487"/>
      <c r="C178" s="2487"/>
      <c r="D178" s="2487"/>
      <c r="E178" s="2487"/>
      <c r="F178" s="2487"/>
      <c r="G178" s="2488"/>
      <c r="H178" s="2487"/>
      <c r="I178" s="2488"/>
      <c r="J178" s="2487"/>
      <c r="K178" s="2487"/>
      <c r="L178" s="2488"/>
      <c r="M178" s="2487"/>
      <c r="N178" s="2487"/>
      <c r="O178" s="2488"/>
      <c r="P178" s="2487"/>
      <c r="Q178" s="2487"/>
      <c r="R178" s="2489"/>
    </row>
    <row r="179" spans="1:18" s="795" customFormat="1">
      <c r="B179" s="2487"/>
      <c r="C179" s="2487"/>
      <c r="D179" s="2487"/>
      <c r="E179" s="2487"/>
      <c r="F179" s="2487"/>
      <c r="G179" s="2488"/>
      <c r="H179" s="2487"/>
      <c r="I179" s="2488"/>
      <c r="J179" s="2487"/>
      <c r="K179" s="2487"/>
      <c r="L179" s="2488"/>
      <c r="M179" s="2487"/>
      <c r="N179" s="2487"/>
      <c r="O179" s="2488"/>
      <c r="P179" s="2487"/>
      <c r="Q179" s="2487"/>
      <c r="R179" s="2489"/>
    </row>
    <row r="180" spans="1:18" s="795" customFormat="1">
      <c r="B180" s="2487"/>
      <c r="C180" s="2487"/>
      <c r="D180" s="2487"/>
      <c r="E180" s="2487"/>
      <c r="F180" s="2487"/>
      <c r="G180" s="2488"/>
      <c r="H180" s="2487"/>
      <c r="I180" s="2488"/>
      <c r="J180" s="2487"/>
      <c r="K180" s="2487"/>
      <c r="L180" s="2488"/>
      <c r="M180" s="2487"/>
      <c r="N180" s="2487"/>
      <c r="O180" s="2488"/>
      <c r="P180" s="2487"/>
      <c r="Q180" s="2487"/>
      <c r="R180" s="2489"/>
    </row>
    <row r="181" spans="1:18" s="795" customFormat="1">
      <c r="B181" s="2487"/>
      <c r="C181" s="2487"/>
      <c r="D181" s="2487"/>
      <c r="E181" s="2487"/>
      <c r="F181" s="2487"/>
      <c r="G181" s="2488"/>
      <c r="H181" s="2487"/>
      <c r="I181" s="2488"/>
      <c r="J181" s="2487"/>
      <c r="K181" s="2487"/>
      <c r="L181" s="2488"/>
      <c r="M181" s="2487"/>
      <c r="N181" s="2487"/>
      <c r="O181" s="2488"/>
      <c r="P181" s="2487"/>
      <c r="Q181" s="2487"/>
      <c r="R181" s="2489"/>
    </row>
    <row r="182" spans="1:18" s="795" customFormat="1">
      <c r="B182" s="2487"/>
      <c r="C182" s="2487"/>
      <c r="D182" s="2487"/>
      <c r="E182" s="2487"/>
      <c r="F182" s="2487"/>
      <c r="G182" s="2488"/>
      <c r="H182" s="2487"/>
      <c r="I182" s="2488"/>
      <c r="J182" s="2487"/>
      <c r="K182" s="2487"/>
      <c r="L182" s="2488"/>
      <c r="M182" s="2487"/>
      <c r="N182" s="2487"/>
      <c r="O182" s="2488"/>
      <c r="P182" s="2487"/>
      <c r="Q182" s="2487"/>
      <c r="R182" s="2489"/>
    </row>
    <row r="183" spans="1:18" s="795" customFormat="1">
      <c r="B183" s="2487"/>
      <c r="C183" s="2487"/>
      <c r="D183" s="2487"/>
      <c r="E183" s="2487"/>
      <c r="F183" s="2487"/>
      <c r="G183" s="2488"/>
      <c r="H183" s="2487"/>
      <c r="I183" s="2488"/>
      <c r="J183" s="2487"/>
      <c r="K183" s="2487"/>
      <c r="L183" s="2488"/>
      <c r="M183" s="2487"/>
      <c r="N183" s="2487"/>
      <c r="O183" s="2488"/>
      <c r="P183" s="2487"/>
      <c r="Q183" s="2487"/>
      <c r="R183" s="2489"/>
    </row>
    <row r="184" spans="1:18" s="795" customFormat="1">
      <c r="B184" s="2487"/>
      <c r="C184" s="2487"/>
      <c r="D184" s="2487"/>
      <c r="E184" s="2487"/>
      <c r="F184" s="2487"/>
      <c r="G184" s="2488"/>
      <c r="H184" s="2487"/>
      <c r="I184" s="2488"/>
      <c r="J184" s="2487"/>
      <c r="K184" s="2487"/>
      <c r="L184" s="2488"/>
      <c r="M184" s="2487"/>
      <c r="N184" s="2487"/>
      <c r="O184" s="2488"/>
      <c r="P184" s="2487"/>
      <c r="Q184" s="2487"/>
      <c r="R184" s="2489"/>
    </row>
    <row r="185" spans="1:18" s="795"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5"/>
      <c r="B186" s="2487"/>
      <c r="C186" s="2487"/>
      <c r="E186" s="2487"/>
      <c r="F186" s="2487"/>
      <c r="G186" s="2488"/>
    </row>
    <row r="187" spans="1:18">
      <c r="A187" s="795"/>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tabSelected="1" view="pageBreakPreview" zoomScale="80" zoomScaleNormal="80" zoomScaleSheetLayoutView="80" workbookViewId="0">
      <selection activeCell="F31" sqref="F31"/>
    </sheetView>
  </sheetViews>
  <sheetFormatPr defaultColWidth="9" defaultRowHeight="14.4"/>
  <cols>
    <col min="1" max="1" width="25" style="2509" customWidth="1"/>
    <col min="2" max="9" width="15.77734375" style="2509" customWidth="1"/>
    <col min="10" max="11" width="9" style="2509"/>
    <col min="12" max="12" width="9.44140625" style="2509" bestFit="1" customWidth="1"/>
    <col min="13" max="16384" width="9" style="2509"/>
  </cols>
  <sheetData>
    <row r="1" spans="1:15" ht="16.2">
      <c r="A1" s="2508" t="s">
        <v>665</v>
      </c>
      <c r="B1" s="2508">
        <f>SUM(B14:B23)</f>
        <v>99232.329999999987</v>
      </c>
      <c r="C1" s="2682"/>
      <c r="D1" s="2682"/>
      <c r="E1" s="2682"/>
      <c r="F1" s="2682"/>
      <c r="G1" s="2683"/>
      <c r="H1" s="2684"/>
      <c r="I1" s="2684"/>
      <c r="J1" s="2684"/>
      <c r="K1" s="2684"/>
    </row>
    <row r="2" spans="1:15" ht="16.2">
      <c r="A2" s="2508" t="s">
        <v>653</v>
      </c>
      <c r="B2" s="2508">
        <f>SUM(C14:C23)</f>
        <v>12540.52</v>
      </c>
      <c r="C2" s="2682"/>
      <c r="D2" s="2682"/>
      <c r="E2" s="2682"/>
      <c r="F2" s="2682"/>
      <c r="G2" s="2683"/>
      <c r="H2" s="2684"/>
      <c r="I2" s="2684"/>
      <c r="J2" s="2684"/>
      <c r="K2" s="2684"/>
    </row>
    <row r="3" spans="1:15" ht="15.6">
      <c r="A3" s="2508" t="s">
        <v>662</v>
      </c>
      <c r="B3" s="2510">
        <f>项目基本情况!D3</f>
        <v>44995</v>
      </c>
      <c r="C3" s="2682"/>
      <c r="D3" s="2682"/>
      <c r="E3" s="2682"/>
      <c r="F3" s="2682"/>
      <c r="G3" s="2683"/>
      <c r="H3" s="2684"/>
      <c r="I3" s="2684"/>
      <c r="J3" s="2684"/>
      <c r="K3" s="2684"/>
    </row>
    <row r="4" spans="1:15" ht="31.2">
      <c r="A4" s="2508" t="s">
        <v>661</v>
      </c>
      <c r="B4" s="2508" t="s">
        <v>660</v>
      </c>
      <c r="C4" s="2508" t="s">
        <v>659</v>
      </c>
      <c r="D4" s="2508" t="s">
        <v>658</v>
      </c>
      <c r="E4" s="2682"/>
      <c r="F4" s="2683"/>
      <c r="G4" s="2683"/>
      <c r="H4" s="2684"/>
      <c r="I4" s="2684"/>
      <c r="J4" s="2684"/>
      <c r="K4" s="2684"/>
    </row>
    <row r="5" spans="1:15" ht="15.6">
      <c r="A5" s="2508" t="s">
        <v>657</v>
      </c>
      <c r="B5" s="2508">
        <f ca="1">SUM(D14:D23)</f>
        <v>182301</v>
      </c>
      <c r="C5" s="2508">
        <f ca="1">IF(B5=D14,结果表!H102,ROUND(B5*10000/$B$1,0))</f>
        <v>18371</v>
      </c>
      <c r="D5" s="2508">
        <f ca="1">ROUND(B5*10000/$B$2,0)</f>
        <v>145370</v>
      </c>
      <c r="E5" s="2682"/>
      <c r="F5" s="2683"/>
      <c r="G5" s="2683"/>
      <c r="H5" s="2684"/>
      <c r="I5" s="2684"/>
      <c r="J5" s="2684"/>
      <c r="K5" s="2684"/>
    </row>
    <row r="6" spans="1:15" ht="15.6">
      <c r="A6" s="2508" t="s">
        <v>656</v>
      </c>
      <c r="B6" s="2508">
        <f ca="1">SUM(G14:G23)</f>
        <v>182301</v>
      </c>
      <c r="C6" s="2508">
        <f ca="1">IF(B6=G14,结果表!H108,ROUND(B6*10000/$B$1,0))</f>
        <v>18371</v>
      </c>
      <c r="D6" s="2508">
        <f ca="1">ROUND(B6*10000/$B$2,0)</f>
        <v>145370</v>
      </c>
      <c r="E6" s="2682"/>
      <c r="F6" s="2683"/>
      <c r="G6" s="2683"/>
      <c r="H6" s="2684"/>
      <c r="I6" s="2684"/>
      <c r="J6" s="2684"/>
      <c r="K6" s="2684"/>
    </row>
    <row r="7" spans="1:15" ht="15.6">
      <c r="A7" s="2508" t="s">
        <v>664</v>
      </c>
      <c r="B7" s="2508">
        <f>SUM(H14:H23)</f>
        <v>0</v>
      </c>
      <c r="C7" s="2508" t="str">
        <f>IF(B7=H14,结果表!H110,ROUND(B7*10000/$B$1,0))</f>
        <v>——</v>
      </c>
      <c r="D7" s="2508">
        <f>ROUND(B7*10000/$B$2,0)</f>
        <v>0</v>
      </c>
      <c r="E7" s="2682"/>
      <c r="F7" s="2683"/>
      <c r="G7" s="2683"/>
      <c r="H7" s="2684"/>
      <c r="I7" s="2684"/>
      <c r="J7" s="2684"/>
      <c r="K7" s="2684"/>
    </row>
    <row r="8" spans="1:15" ht="15.6">
      <c r="A8" s="2508" t="s">
        <v>587</v>
      </c>
      <c r="B8" s="2508">
        <f>SUM(I14:I23)</f>
        <v>0</v>
      </c>
      <c r="C8" s="2508" t="str">
        <f>IF(B8=I14,结果表!H112,ROUND(B8*10000/$B$1,0))</f>
        <v>——</v>
      </c>
      <c r="D8" s="2508">
        <f>ROUND(B8*10000/$B$2,0)</f>
        <v>0</v>
      </c>
      <c r="E8" s="2682"/>
      <c r="F8" s="2683"/>
      <c r="G8" s="2683"/>
      <c r="H8" s="2684"/>
      <c r="I8" s="2684"/>
      <c r="J8" s="2684"/>
      <c r="K8" s="2684"/>
    </row>
    <row r="9" spans="1:15" ht="15.6">
      <c r="A9" s="2508" t="s">
        <v>655</v>
      </c>
      <c r="B9" s="2516"/>
      <c r="C9" s="2682"/>
      <c r="D9" s="2682"/>
      <c r="E9" s="2682"/>
      <c r="F9" s="2683"/>
      <c r="G9" s="2683"/>
      <c r="H9" s="2684"/>
      <c r="I9" s="2684"/>
      <c r="J9" s="2684"/>
      <c r="K9" s="2684"/>
    </row>
    <row r="10" spans="1:15" ht="15.6">
      <c r="A10" s="2508" t="s">
        <v>654</v>
      </c>
      <c r="B10" s="2508">
        <f>IF(E10="",0,ROUND(B1*(E10*365/G10)/10000,0))</f>
        <v>0</v>
      </c>
      <c r="C10" s="2508" t="s">
        <v>3362</v>
      </c>
      <c r="D10" s="2508" t="s">
        <v>3363</v>
      </c>
      <c r="E10" s="3437"/>
      <c r="F10" s="3441" t="s">
        <v>3364</v>
      </c>
      <c r="G10" s="3438"/>
      <c r="H10" s="2684"/>
      <c r="I10" s="2684"/>
      <c r="J10" s="2684"/>
      <c r="K10" s="2684"/>
    </row>
    <row r="11" spans="1:15" ht="15.6">
      <c r="A11" s="2508" t="s">
        <v>670</v>
      </c>
      <c r="B11" s="2516"/>
      <c r="C11" s="2682"/>
      <c r="D11" s="2682"/>
      <c r="E11" s="2682"/>
      <c r="F11" s="2683"/>
      <c r="G11" s="2683"/>
      <c r="H11" s="2684"/>
      <c r="I11" s="2684"/>
      <c r="J11" s="2684"/>
      <c r="K11" s="2684"/>
    </row>
    <row r="12" spans="1:15" ht="15.6">
      <c r="A12" s="2682"/>
      <c r="B12" s="2682"/>
      <c r="C12" s="2682"/>
      <c r="D12" s="2682"/>
      <c r="E12" s="2682"/>
      <c r="F12" s="2683"/>
      <c r="G12" s="2683"/>
      <c r="H12" s="2684"/>
      <c r="I12" s="2684"/>
      <c r="J12" s="2684"/>
      <c r="K12" s="2684"/>
    </row>
    <row r="13" spans="1:15" ht="31.8">
      <c r="A13" s="2511" t="s">
        <v>669</v>
      </c>
      <c r="B13" s="2512" t="s">
        <v>666</v>
      </c>
      <c r="C13" s="2512" t="s">
        <v>668</v>
      </c>
      <c r="D13" s="2512" t="s">
        <v>667</v>
      </c>
      <c r="E13" s="2508" t="s">
        <v>659</v>
      </c>
      <c r="F13" s="2508" t="s">
        <v>658</v>
      </c>
      <c r="G13" s="2512" t="s">
        <v>652</v>
      </c>
      <c r="H13" s="2512" t="s">
        <v>663</v>
      </c>
      <c r="I13" s="2512" t="s">
        <v>651</v>
      </c>
      <c r="J13" s="2683" t="s">
        <v>3443</v>
      </c>
      <c r="K13" s="2684" t="s">
        <v>3444</v>
      </c>
    </row>
    <row r="14" spans="1:15" ht="15.6">
      <c r="A14" s="2513" t="s">
        <v>650</v>
      </c>
      <c r="B14" s="2514">
        <f>结果表!B118</f>
        <v>19830.27</v>
      </c>
      <c r="C14" s="2514">
        <f>结果表!C118</f>
        <v>2506.06</v>
      </c>
      <c r="D14" s="2514">
        <f ca="1">结果表!H118</f>
        <v>80938</v>
      </c>
      <c r="E14" s="2514">
        <f ca="1">ROUND(D14*10000/B14,0)</f>
        <v>40815</v>
      </c>
      <c r="F14" s="2514">
        <f ca="1">ROUND(D14*10000/C14,0)</f>
        <v>322969</v>
      </c>
      <c r="G14" s="2514">
        <f ca="1">D14</f>
        <v>80938</v>
      </c>
      <c r="H14" s="2514"/>
      <c r="I14" s="2514"/>
      <c r="J14" s="2683">
        <f>[2]系统读取表!$D$14</f>
        <v>86012</v>
      </c>
      <c r="K14" s="2684">
        <f ca="1">D14</f>
        <v>80938</v>
      </c>
      <c r="L14" s="2509">
        <f ca="1">E14</f>
        <v>40815</v>
      </c>
      <c r="N14" s="2509">
        <f ca="1">K14-J14</f>
        <v>-5074</v>
      </c>
      <c r="O14" s="3814">
        <f ca="1">N14/J14</f>
        <v>-5.899176859042924E-2</v>
      </c>
    </row>
    <row r="15" spans="1:15" ht="15.6">
      <c r="A15" s="2513" t="s">
        <v>649</v>
      </c>
      <c r="B15" s="2515">
        <f>'结果表-地下商业1'!B118</f>
        <v>31986.760000000002</v>
      </c>
      <c r="C15" s="2515">
        <f>'结果表-地下商业1'!C118</f>
        <v>4042.34</v>
      </c>
      <c r="D15" s="2515">
        <f ca="1">'结果表-地下商业1'!H118</f>
        <v>53522</v>
      </c>
      <c r="E15" s="2514">
        <f t="shared" ref="E15:E23" ca="1" si="0">ROUND(D15*10000/B15,0)</f>
        <v>16733</v>
      </c>
      <c r="F15" s="2514">
        <f t="shared" ref="F15:F23" ca="1" si="1">ROUND(D15*10000/C15,0)</f>
        <v>132404</v>
      </c>
      <c r="G15" s="2514">
        <f t="shared" ref="G15:G17" ca="1" si="2">D15</f>
        <v>53522</v>
      </c>
      <c r="H15" s="1327"/>
      <c r="I15" s="2515"/>
      <c r="J15" s="2683">
        <f>[2]系统读取表!$K$15</f>
        <v>77590</v>
      </c>
      <c r="K15" s="2684">
        <f ca="1">D15+D17</f>
        <v>74337</v>
      </c>
      <c r="L15" s="3474">
        <f ca="1">K15/(B15+B17)*10000</f>
        <v>11866.232756434067</v>
      </c>
      <c r="N15" s="2509">
        <f t="shared" ref="N15:N16" ca="1" si="3">K15-J15</f>
        <v>-3253</v>
      </c>
      <c r="O15" s="3814">
        <f t="shared" ref="O15:O16" ca="1" si="4">N15/J15</f>
        <v>-4.1925505864157754E-2</v>
      </c>
    </row>
    <row r="16" spans="1:15" ht="15.6">
      <c r="A16" s="2513" t="s">
        <v>648</v>
      </c>
      <c r="B16" s="2515">
        <f>'结果表-地下商业2'!B118</f>
        <v>16756.23</v>
      </c>
      <c r="C16" s="2515">
        <f>'结果表-地下商业2'!C118</f>
        <v>2117.5700000000002</v>
      </c>
      <c r="D16" s="2515">
        <f ca="1">'结果表-地下商业2'!H118</f>
        <v>27026</v>
      </c>
      <c r="E16" s="2514">
        <f t="shared" ca="1" si="0"/>
        <v>16129</v>
      </c>
      <c r="F16" s="2514">
        <f t="shared" ca="1" si="1"/>
        <v>127627</v>
      </c>
      <c r="G16" s="2514">
        <f t="shared" ca="1" si="2"/>
        <v>27026</v>
      </c>
      <c r="H16" s="1327"/>
      <c r="I16" s="2515"/>
      <c r="J16" s="2684">
        <f>[2]系统读取表!$K$17</f>
        <v>27188</v>
      </c>
      <c r="K16" s="2684">
        <f ca="1">D16</f>
        <v>27026</v>
      </c>
      <c r="L16" s="2509">
        <f ca="1">E16</f>
        <v>16129</v>
      </c>
      <c r="N16" s="2509">
        <f t="shared" ca="1" si="3"/>
        <v>-162</v>
      </c>
      <c r="O16" s="3814">
        <f t="shared" ca="1" si="4"/>
        <v>-5.9585111078416944E-3</v>
      </c>
    </row>
    <row r="17" spans="1:11" ht="15.6">
      <c r="A17" s="2513" t="s">
        <v>647</v>
      </c>
      <c r="B17" s="2515">
        <f>'结果表-地下车库'!B118</f>
        <v>30659.07</v>
      </c>
      <c r="C17" s="2515">
        <f>'结果表-地下车库'!C118</f>
        <v>3874.55</v>
      </c>
      <c r="D17" s="2515">
        <f ca="1">'结果表-地下车库'!H118</f>
        <v>20815</v>
      </c>
      <c r="E17" s="2514">
        <f t="shared" ca="1" si="0"/>
        <v>6789</v>
      </c>
      <c r="F17" s="2514">
        <f t="shared" ca="1" si="1"/>
        <v>53722</v>
      </c>
      <c r="G17" s="2514">
        <f t="shared" ca="1" si="2"/>
        <v>20815</v>
      </c>
      <c r="H17" s="1327"/>
      <c r="I17" s="2515"/>
      <c r="J17" s="2684"/>
      <c r="K17" s="2684"/>
    </row>
    <row r="18" spans="1:11" ht="15.6">
      <c r="A18" s="2513" t="s">
        <v>646</v>
      </c>
      <c r="B18" s="2515"/>
      <c r="C18" s="2515"/>
      <c r="D18" s="2515"/>
      <c r="E18" s="2514" t="e">
        <f t="shared" si="0"/>
        <v>#DIV/0!</v>
      </c>
      <c r="F18" s="2514" t="e">
        <f t="shared" si="1"/>
        <v>#DIV/0!</v>
      </c>
      <c r="G18" s="2515"/>
      <c r="H18" s="2515"/>
      <c r="I18" s="2515"/>
      <c r="J18" s="2684"/>
      <c r="K18" s="2684"/>
    </row>
    <row r="19" spans="1:11" ht="15.6">
      <c r="A19" s="2513" t="s">
        <v>645</v>
      </c>
      <c r="B19" s="2515"/>
      <c r="C19" s="2515"/>
      <c r="D19" s="2515"/>
      <c r="E19" s="2514" t="e">
        <f t="shared" si="0"/>
        <v>#DIV/0!</v>
      </c>
      <c r="F19" s="2514" t="e">
        <f t="shared" si="1"/>
        <v>#DIV/0!</v>
      </c>
      <c r="G19" s="2515"/>
      <c r="H19" s="2515"/>
      <c r="I19" s="2515"/>
      <c r="J19" s="2684"/>
      <c r="K19" s="2684"/>
    </row>
    <row r="20" spans="1:11" ht="15.6">
      <c r="A20" s="2513" t="s">
        <v>644</v>
      </c>
      <c r="B20" s="2515"/>
      <c r="C20" s="2515"/>
      <c r="D20" s="2515"/>
      <c r="E20" s="2514" t="e">
        <f t="shared" si="0"/>
        <v>#DIV/0!</v>
      </c>
      <c r="F20" s="2514" t="e">
        <f t="shared" si="1"/>
        <v>#DIV/0!</v>
      </c>
      <c r="G20" s="2515"/>
      <c r="H20" s="2515"/>
      <c r="I20" s="2515"/>
      <c r="J20" s="2684"/>
      <c r="K20" s="2684"/>
    </row>
    <row r="21" spans="1:11" ht="15.6">
      <c r="A21" s="2513" t="s">
        <v>643</v>
      </c>
      <c r="B21" s="2515"/>
      <c r="C21" s="2515"/>
      <c r="D21" s="2515"/>
      <c r="E21" s="2514" t="e">
        <f t="shared" si="0"/>
        <v>#DIV/0!</v>
      </c>
      <c r="F21" s="2514" t="e">
        <f t="shared" si="1"/>
        <v>#DIV/0!</v>
      </c>
      <c r="G21" s="2515"/>
      <c r="H21" s="2515"/>
      <c r="I21" s="2515"/>
      <c r="J21" s="2684"/>
      <c r="K21" s="2684"/>
    </row>
    <row r="22" spans="1:11" ht="15.6">
      <c r="A22" s="2513" t="s">
        <v>642</v>
      </c>
      <c r="B22" s="2515"/>
      <c r="C22" s="2515"/>
      <c r="D22" s="2515"/>
      <c r="E22" s="2514" t="e">
        <f t="shared" si="0"/>
        <v>#DIV/0!</v>
      </c>
      <c r="F22" s="2514" t="e">
        <f t="shared" si="1"/>
        <v>#DIV/0!</v>
      </c>
      <c r="G22" s="2515"/>
      <c r="H22" s="2515"/>
      <c r="I22" s="2515"/>
      <c r="J22" s="2684"/>
      <c r="K22" s="2684"/>
    </row>
    <row r="23" spans="1:11" ht="15.6">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f>J14+J15+J16</f>
        <v>190790</v>
      </c>
      <c r="K24" s="2684">
        <f ca="1">K14+K15+K16</f>
        <v>182301</v>
      </c>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row r="36" spans="3:3">
      <c r="C36" s="2509">
        <f ca="1">收益法!C6+'收益法-地下商业1'!C6+'收益法-地下商业2'!C6+'收益法-地下车库'!C6</f>
        <v>12562</v>
      </c>
    </row>
    <row r="37" spans="3:3">
      <c r="C37" s="2509">
        <f>'数据-汇总表'!F19+'数据-汇总表'!G20+'数据-汇总表'!G22</f>
        <v>68573.259999999995</v>
      </c>
    </row>
    <row r="38" spans="3:3">
      <c r="C38" s="2509">
        <f ca="1">C36/C37/365*10000</f>
        <v>5.0189298796884367</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70" zoomScaleNormal="100" zoomScaleSheetLayoutView="70" zoomScalePageLayoutView="80" workbookViewId="0">
      <selection activeCell="L113" sqref="L113"/>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t="s">
        <v>3402</v>
      </c>
      <c r="D1" s="1743"/>
      <c r="E1" s="1743"/>
      <c r="F1" s="1745" t="s">
        <v>1263</v>
      </c>
      <c r="G1" s="1557"/>
      <c r="H1" s="1746" t="str">
        <f>IF(G1="现房","——","估价对象范围")</f>
        <v>估价对象范围</v>
      </c>
      <c r="I1" s="1747"/>
    </row>
    <row r="2" spans="1:12" ht="21.75" customHeight="1" thickBot="1">
      <c r="A2" s="3631" t="str">
        <f>项目基本情况!S2</f>
        <v>北京市房地产</v>
      </c>
      <c r="B2" s="3632"/>
      <c r="C2" s="3632"/>
      <c r="D2" s="3632"/>
      <c r="E2" s="3632"/>
      <c r="F2" s="3632"/>
      <c r="G2" s="3632"/>
      <c r="H2" s="3632"/>
      <c r="I2" s="3633"/>
    </row>
    <row r="3" spans="1:12" ht="13.2">
      <c r="A3" s="3635" t="s">
        <v>1264</v>
      </c>
      <c r="B3" s="3636"/>
      <c r="C3" s="3636"/>
      <c r="D3" s="3636"/>
      <c r="E3" s="3636"/>
      <c r="F3" s="3636"/>
      <c r="G3" s="3636"/>
      <c r="H3" s="3636"/>
      <c r="I3" s="3636"/>
    </row>
    <row r="4" spans="1:12" ht="14.4">
      <c r="A4" s="1750" t="s">
        <v>1265</v>
      </c>
      <c r="B4" s="1751" t="s">
        <v>1266</v>
      </c>
      <c r="C4" s="1752" t="s">
        <v>3441</v>
      </c>
      <c r="D4" s="1752" t="s">
        <v>3433</v>
      </c>
      <c r="E4" s="3640" t="s">
        <v>1267</v>
      </c>
      <c r="F4" s="3641"/>
      <c r="G4" s="3641"/>
      <c r="H4" s="3641"/>
      <c r="I4" s="3642"/>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3.2">
      <c r="A5" s="3579" t="s">
        <v>1268</v>
      </c>
      <c r="B5" s="3634">
        <v>25</v>
      </c>
      <c r="C5" s="3637"/>
      <c r="D5" s="3625"/>
      <c r="E5" s="130" t="s">
        <v>1269</v>
      </c>
      <c r="F5" s="1753"/>
      <c r="G5" s="1753"/>
      <c r="H5" s="1753"/>
      <c r="I5" s="1369"/>
    </row>
    <row r="6" spans="1:12" ht="13.2">
      <c r="A6" s="3579"/>
      <c r="B6" s="3634"/>
      <c r="C6" s="3639"/>
      <c r="D6" s="3625"/>
      <c r="E6" s="130" t="s">
        <v>1270</v>
      </c>
      <c r="F6" s="1753"/>
      <c r="G6" s="1753"/>
      <c r="H6" s="1753"/>
      <c r="I6" s="1369"/>
    </row>
    <row r="7" spans="1:12" ht="13.2">
      <c r="A7" s="3579"/>
      <c r="B7" s="3634"/>
      <c r="C7" s="3638"/>
      <c r="D7" s="3625"/>
      <c r="E7" s="130" t="s">
        <v>1271</v>
      </c>
      <c r="F7" s="1753"/>
      <c r="G7" s="1753"/>
      <c r="H7" s="1753"/>
      <c r="I7" s="1369"/>
    </row>
    <row r="8" spans="1:12" ht="13.2">
      <c r="A8" s="3579" t="s">
        <v>1272</v>
      </c>
      <c r="B8" s="3634">
        <v>15</v>
      </c>
      <c r="C8" s="3637"/>
      <c r="D8" s="3625"/>
      <c r="E8" s="130" t="s">
        <v>1273</v>
      </c>
      <c r="F8" s="1753"/>
      <c r="G8" s="1753"/>
      <c r="H8" s="1753"/>
      <c r="I8" s="1369"/>
    </row>
    <row r="9" spans="1:12" ht="13.2">
      <c r="A9" s="3579"/>
      <c r="B9" s="3634"/>
      <c r="C9" s="3638"/>
      <c r="D9" s="3625"/>
      <c r="E9" s="130" t="s">
        <v>1274</v>
      </c>
      <c r="F9" s="1753"/>
      <c r="G9" s="1753"/>
      <c r="H9" s="1753"/>
      <c r="I9" s="1369"/>
    </row>
    <row r="10" spans="1:12" ht="13.2">
      <c r="A10" s="3579" t="s">
        <v>1275</v>
      </c>
      <c r="B10" s="3634">
        <v>15</v>
      </c>
      <c r="C10" s="3637"/>
      <c r="D10" s="3625"/>
      <c r="E10" s="130" t="s">
        <v>1276</v>
      </c>
      <c r="F10" s="1753"/>
      <c r="G10" s="1753"/>
      <c r="H10" s="1753"/>
      <c r="I10" s="1369"/>
    </row>
    <row r="11" spans="1:12" ht="13.2">
      <c r="A11" s="3579"/>
      <c r="B11" s="3634"/>
      <c r="C11" s="3638"/>
      <c r="D11" s="3625"/>
      <c r="E11" s="130" t="s">
        <v>1277</v>
      </c>
      <c r="F11" s="1753"/>
      <c r="G11" s="1753"/>
      <c r="H11" s="1753"/>
      <c r="I11" s="1369"/>
    </row>
    <row r="12" spans="1:12" ht="13.2">
      <c r="A12" s="3579" t="s">
        <v>1278</v>
      </c>
      <c r="B12" s="3634">
        <v>15</v>
      </c>
      <c r="C12" s="3637"/>
      <c r="D12" s="3625"/>
      <c r="E12" s="130" t="s">
        <v>1279</v>
      </c>
      <c r="F12" s="1753"/>
      <c r="G12" s="1753"/>
      <c r="H12" s="1753"/>
      <c r="I12" s="1369"/>
    </row>
    <row r="13" spans="1:12" ht="13.2">
      <c r="A13" s="3579"/>
      <c r="B13" s="3634"/>
      <c r="C13" s="3638"/>
      <c r="D13" s="3625"/>
      <c r="E13" s="130" t="s">
        <v>1280</v>
      </c>
      <c r="F13" s="1753"/>
      <c r="G13" s="1753"/>
      <c r="H13" s="1753"/>
      <c r="I13" s="1369"/>
    </row>
    <row r="14" spans="1:12" ht="13.2">
      <c r="A14" s="3579" t="s">
        <v>1281</v>
      </c>
      <c r="B14" s="3634">
        <v>30</v>
      </c>
      <c r="C14" s="3637">
        <v>5</v>
      </c>
      <c r="D14" s="3625">
        <v>5</v>
      </c>
      <c r="E14" s="130" t="s">
        <v>1282</v>
      </c>
      <c r="F14" s="1753"/>
      <c r="G14" s="1753"/>
      <c r="H14" s="1753"/>
      <c r="I14" s="1369"/>
    </row>
    <row r="15" spans="1:12" ht="13.2">
      <c r="A15" s="3579"/>
      <c r="B15" s="3634"/>
      <c r="C15" s="3639"/>
      <c r="D15" s="3625"/>
      <c r="E15" s="130" t="s">
        <v>1283</v>
      </c>
      <c r="F15" s="1753"/>
      <c r="G15" s="1753"/>
      <c r="H15" s="1753"/>
      <c r="I15" s="1369"/>
    </row>
    <row r="16" spans="1:12" ht="13.2">
      <c r="A16" s="3579"/>
      <c r="B16" s="3634"/>
      <c r="C16" s="3638"/>
      <c r="D16" s="3625"/>
      <c r="E16" s="130" t="s">
        <v>1284</v>
      </c>
      <c r="F16" s="1753"/>
      <c r="G16" s="1753"/>
      <c r="H16" s="1753"/>
      <c r="I16" s="1369"/>
    </row>
    <row r="17" spans="1:36" ht="14.4">
      <c r="A17" s="1754" t="s">
        <v>1285</v>
      </c>
      <c r="B17" s="56"/>
      <c r="C17" s="131">
        <f>SUM(C5:C16)</f>
        <v>5</v>
      </c>
      <c r="D17" s="131">
        <f>SUM(D5:D16)</f>
        <v>5</v>
      </c>
      <c r="E17" s="128"/>
      <c r="F17" s="128"/>
      <c r="G17" s="128"/>
      <c r="H17" s="128"/>
      <c r="I17" s="128"/>
      <c r="K17" s="301"/>
      <c r="L17" s="301" t="s">
        <v>1286</v>
      </c>
      <c r="M17" s="301" t="s">
        <v>1287</v>
      </c>
    </row>
    <row r="18" spans="1:36" ht="31.95" customHeight="1" thickBot="1">
      <c r="A18" s="1755" t="s">
        <v>1288</v>
      </c>
      <c r="B18" s="1756"/>
      <c r="C18" s="132">
        <f>ROUND(C17/SUM(C17:D17),2)</f>
        <v>0.5</v>
      </c>
      <c r="D18" s="132">
        <f>1-C18</f>
        <v>0.5</v>
      </c>
      <c r="E18" s="3656" t="s">
        <v>2131</v>
      </c>
      <c r="F18" s="3657"/>
      <c r="G18" s="3657"/>
      <c r="H18" s="3657"/>
      <c r="I18" s="3657"/>
      <c r="K18" s="301" t="s">
        <v>1289</v>
      </c>
      <c r="L18" s="301">
        <f>IF(C1="",'数据-汇总表'!E3,SUMIF(项目类型,C1,'数据-汇总表'!E17:E26)+SUMIF(项目类型,C1,'数据-汇总表'!I17:I26))</f>
        <v>19830.27</v>
      </c>
      <c r="M18" s="301">
        <f>IF(C1="",'数据-汇总表'!E3,SUMIF(项目类型,C1,'数据-汇总表'!E17:E26))</f>
        <v>19830.27</v>
      </c>
    </row>
    <row r="19" spans="1:36" ht="14.4">
      <c r="A19" s="1757" t="s">
        <v>1290</v>
      </c>
      <c r="B19" s="1758" t="s">
        <v>1291</v>
      </c>
      <c r="C19" s="133">
        <f ca="1">SUMIF(INDIRECT("'"&amp;C4&amp;"'"&amp;"!A:A"),结果表!B19,INDIRECT("'"&amp;C4&amp;"'"&amp;"!B:B"))</f>
        <v>73765</v>
      </c>
      <c r="D19" s="134">
        <f ca="1">SUMIF(INDIRECT("'"&amp;D4&amp;"'"&amp;"!A:A"),结果表!B19,INDIRECT("'"&amp;D4&amp;"'"&amp;"!B:B"))</f>
        <v>88111</v>
      </c>
      <c r="E19" s="1757" t="s">
        <v>1292</v>
      </c>
      <c r="F19" s="1758" t="s">
        <v>1291</v>
      </c>
      <c r="G19" s="135">
        <f ca="1">ROUND(C19*$C$18+D19*$D$18,0)</f>
        <v>80938</v>
      </c>
      <c r="H19" s="1759" t="s">
        <v>1293</v>
      </c>
      <c r="I19" s="128"/>
      <c r="K19" s="301" t="s">
        <v>1294</v>
      </c>
      <c r="L19" s="301">
        <f>IF(C1="",'数据-汇总表'!D3,SUMIF(项目类型,C1,'数据-汇总表'!D17:D26)+SUMIF(项目类型,C1,'数据-汇总表'!H17:H27))</f>
        <v>2506.06</v>
      </c>
      <c r="M19" s="301">
        <f>IF(C1="",'数据-汇总表'!D3,SUMIF(项目类型,C1,'数据-汇总表'!D17:D26))</f>
        <v>2506.06</v>
      </c>
    </row>
    <row r="20" spans="1:36" ht="14.4">
      <c r="A20" s="1760"/>
      <c r="B20" s="1022" t="s">
        <v>1295</v>
      </c>
      <c r="C20" s="136">
        <f ca="1">SUMIF(INDIRECT("'"&amp;C4&amp;"'"&amp;"!A:A"),结果表!B20,INDIRECT("'"&amp;C4&amp;"'"&amp;"!B:B"))</f>
        <v>37198</v>
      </c>
      <c r="D20" s="137">
        <f ca="1">SUMIF(INDIRECT("'"&amp;D4&amp;"'"&amp;"!A:A"),结果表!B20,INDIRECT("'"&amp;D4&amp;"'"&amp;"!B:B"))</f>
        <v>44433</v>
      </c>
      <c r="E20" s="1760"/>
      <c r="F20" s="1022" t="s">
        <v>1295</v>
      </c>
      <c r="G20" s="138">
        <f ca="1">ROUND(C20*$C$18+D20*$D$18,0)</f>
        <v>40816</v>
      </c>
      <c r="H20" s="804" t="s">
        <v>1296</v>
      </c>
      <c r="I20" s="128"/>
    </row>
    <row r="21" spans="1:36" ht="15" customHeight="1" thickBot="1">
      <c r="A21" s="824"/>
      <c r="B21" s="1761" t="s">
        <v>1297</v>
      </c>
      <c r="C21" s="717">
        <f ca="1">ROUND(C19*10000/L19,0)</f>
        <v>294347</v>
      </c>
      <c r="D21" s="718">
        <f ca="1">ROUND(D19*10000/L19,0)</f>
        <v>351592</v>
      </c>
      <c r="E21" s="824"/>
      <c r="F21" s="1761" t="s">
        <v>1297</v>
      </c>
      <c r="G21" s="139">
        <f ca="1">ROUND(G19*10000/L19,0)</f>
        <v>322969</v>
      </c>
      <c r="H21" s="1762" t="s">
        <v>1296</v>
      </c>
      <c r="I21" s="128"/>
    </row>
    <row r="22" spans="1:36" ht="15" thickBot="1">
      <c r="A22" s="1684" t="s">
        <v>1298</v>
      </c>
      <c r="B22" s="1763"/>
      <c r="C22" s="1764"/>
      <c r="D22" s="719">
        <f ca="1">IF(C19&lt;D19,D19/C19-1,C19/D19-1)</f>
        <v>0.19448247814003938</v>
      </c>
      <c r="E22" s="128"/>
      <c r="F22" s="128"/>
      <c r="G22" s="128"/>
      <c r="H22" s="128"/>
      <c r="I22" s="128"/>
    </row>
    <row r="23" spans="1:36" ht="13.8" thickBot="1">
      <c r="A23" s="1743"/>
      <c r="B23" s="1743"/>
      <c r="C23" s="1743"/>
      <c r="D23" s="1743"/>
      <c r="E23" s="128"/>
      <c r="F23" s="128"/>
      <c r="G23" s="128"/>
      <c r="H23" s="128"/>
      <c r="I23" s="128"/>
    </row>
    <row r="24" spans="1:36" ht="14.4">
      <c r="A24" s="3649" t="s">
        <v>1299</v>
      </c>
      <c r="B24" s="1758" t="s">
        <v>1291</v>
      </c>
      <c r="C24" s="135">
        <f>IF(B30=0,0,D30)</f>
        <v>0</v>
      </c>
      <c r="D24" s="1765"/>
      <c r="E24" s="128"/>
      <c r="F24" s="128"/>
      <c r="G24" s="128"/>
      <c r="H24" s="128"/>
      <c r="I24" s="128"/>
    </row>
    <row r="25" spans="1:36" ht="14.4">
      <c r="A25" s="3650"/>
      <c r="B25" s="1022" t="s">
        <v>1295</v>
      </c>
      <c r="C25" s="140">
        <f>IF(B30=0,0,C30)</f>
        <v>0</v>
      </c>
      <c r="D25" s="1766"/>
      <c r="E25" s="128"/>
      <c r="F25" s="128"/>
      <c r="G25" s="128"/>
      <c r="H25" s="128"/>
      <c r="I25" s="128"/>
    </row>
    <row r="26" spans="1:36" ht="13.5" customHeight="1">
      <c r="A26" s="1767" t="s">
        <v>1300</v>
      </c>
      <c r="B26" s="141" t="s">
        <v>1301</v>
      </c>
      <c r="C26" s="141" t="s">
        <v>1302</v>
      </c>
      <c r="D26" s="142" t="s">
        <v>1303</v>
      </c>
      <c r="E26" s="128"/>
      <c r="F26" s="128"/>
      <c r="G26" s="128"/>
      <c r="H26" s="128"/>
      <c r="I26" s="128"/>
    </row>
    <row r="27" spans="1:36" ht="13.8">
      <c r="A27" s="1767"/>
      <c r="B27" s="141">
        <v>0</v>
      </c>
      <c r="C27" s="141">
        <v>0</v>
      </c>
      <c r="D27" s="142">
        <f>ROUND(C27*B27/10000,0)</f>
        <v>0</v>
      </c>
      <c r="E27" s="128"/>
      <c r="F27" s="128"/>
      <c r="G27" s="128"/>
      <c r="H27" s="128"/>
      <c r="I27" s="128"/>
    </row>
    <row r="28" spans="1:36" ht="13.8">
      <c r="A28" s="1767"/>
      <c r="B28" s="141"/>
      <c r="C28" s="141"/>
      <c r="D28" s="142"/>
      <c r="E28" s="128"/>
      <c r="F28" s="128"/>
      <c r="G28" s="128"/>
      <c r="H28" s="128"/>
      <c r="I28" s="128"/>
    </row>
    <row r="29" spans="1:36" ht="13.8">
      <c r="A29" s="1767"/>
      <c r="B29" s="141"/>
      <c r="C29" s="141"/>
      <c r="D29" s="142"/>
      <c r="E29" s="128"/>
      <c r="F29" s="128"/>
      <c r="G29" s="128"/>
      <c r="H29" s="128"/>
      <c r="I29" s="128"/>
    </row>
    <row r="30" spans="1:36" ht="15" thickBot="1">
      <c r="A30" s="141" t="s">
        <v>1304</v>
      </c>
      <c r="B30" s="141"/>
      <c r="C30" s="141"/>
      <c r="D30" s="141"/>
      <c r="E30" s="2299" t="s">
        <v>2132</v>
      </c>
      <c r="F30" s="128"/>
      <c r="G30" s="128"/>
      <c r="H30" s="128"/>
      <c r="I30" s="128"/>
    </row>
    <row r="31" spans="1:36" s="2305" customFormat="1" ht="26.4"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5.6" thickTop="1" thickBot="1">
      <c r="A32" s="1769" t="s">
        <v>1305</v>
      </c>
      <c r="B32" s="1770"/>
      <c r="C32" s="143">
        <f ca="1">IF(D32="总价",G19-C24,G20-C25)</f>
        <v>80938</v>
      </c>
      <c r="D32" s="1771" t="s">
        <v>3442</v>
      </c>
      <c r="E32" s="128"/>
      <c r="F32" s="128"/>
      <c r="G32" s="128"/>
      <c r="H32" s="128"/>
      <c r="I32" s="128"/>
    </row>
    <row r="33" spans="1:15" ht="14.4">
      <c r="A33" s="782" t="s">
        <v>1306</v>
      </c>
      <c r="B33" s="1772"/>
      <c r="C33" s="1773"/>
      <c r="D33" s="1774"/>
      <c r="E33" s="1775" t="s">
        <v>1307</v>
      </c>
      <c r="F33" s="1776" t="str">
        <f>IF(D32="楼面单价","取值（单价）","取值（总价）")</f>
        <v>取值（总价）</v>
      </c>
      <c r="G33" s="128"/>
      <c r="H33" s="128"/>
      <c r="I33" s="128"/>
    </row>
    <row r="34" spans="1:15" ht="14.4">
      <c r="A34" s="1777"/>
      <c r="B34" s="1778" t="s">
        <v>1308</v>
      </c>
      <c r="C34" s="147" t="e">
        <f ca="1">IF(C33="自定义",F34,C32-C35)</f>
        <v>#REF!</v>
      </c>
      <c r="D34" s="857" t="e">
        <f ca="1">IF(C33="自定义",ROUND(C34/C32,3),IF(C33="收益比率",SUMIF(INDIRECT("'"&amp;D33&amp;"'"&amp;"!b:b"),"土地收益比率",INDIRECT("'"&amp;D33&amp;"'"&amp;"!c:c")),SUMIF(INDIRECT("'"&amp;D33&amp;"'"&amp;"!b:b"),"土地成本比率",INDIRECT("'"&amp;D33&amp;"'"&amp;"!c:c"))))</f>
        <v>#REF!</v>
      </c>
      <c r="E34" s="1779" t="s">
        <v>1309</v>
      </c>
      <c r="F34" s="1326"/>
      <c r="G34" s="128"/>
      <c r="H34" s="128"/>
      <c r="I34" s="128"/>
    </row>
    <row r="35" spans="1:15" ht="15" thickBot="1">
      <c r="A35" s="1780"/>
      <c r="B35" s="1781"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1311</v>
      </c>
      <c r="F35" s="153"/>
      <c r="G35" s="128"/>
      <c r="H35" s="128"/>
      <c r="I35" s="128"/>
    </row>
    <row r="36" spans="1:15" ht="15" thickBot="1">
      <c r="A36" s="3626" t="s">
        <v>1312</v>
      </c>
      <c r="B36" s="1783" t="s">
        <v>1313</v>
      </c>
      <c r="C36" s="144"/>
      <c r="D36" s="1784"/>
      <c r="E36" s="1785"/>
      <c r="F36" s="1786"/>
      <c r="G36" s="128"/>
      <c r="H36" s="128"/>
      <c r="I36" s="128"/>
    </row>
    <row r="37" spans="1:15" ht="15" thickBot="1">
      <c r="A37" s="3627"/>
      <c r="B37" s="1670" t="s">
        <v>1314</v>
      </c>
      <c r="C37" s="146"/>
      <c r="D37" s="1135"/>
      <c r="E37" s="1135"/>
      <c r="F37" s="1786"/>
      <c r="G37" s="128"/>
      <c r="H37" s="128"/>
      <c r="I37" s="128"/>
    </row>
    <row r="38" spans="1:15" ht="15" thickBot="1">
      <c r="A38" s="3628"/>
      <c r="B38" s="1787" t="s">
        <v>1315</v>
      </c>
      <c r="C38" s="672"/>
      <c r="D38" s="1788" t="s">
        <v>1316</v>
      </c>
      <c r="E38" s="1135"/>
      <c r="F38" s="1786"/>
      <c r="G38" s="128"/>
      <c r="H38" s="128"/>
      <c r="I38" s="128"/>
    </row>
    <row r="39" spans="1:15" ht="14.4">
      <c r="A39" s="1760" t="s">
        <v>1317</v>
      </c>
      <c r="B39" s="1789" t="s">
        <v>1318</v>
      </c>
      <c r="C39" s="1790" t="s">
        <v>1319</v>
      </c>
      <c r="D39" s="1790" t="s">
        <v>1320</v>
      </c>
      <c r="E39" s="1791" t="s">
        <v>1321</v>
      </c>
      <c r="F39" s="1786"/>
      <c r="G39" s="128"/>
      <c r="H39" s="128"/>
      <c r="I39" s="128"/>
    </row>
    <row r="40" spans="1:15" ht="13.8">
      <c r="A40" s="1792" t="s">
        <v>1322</v>
      </c>
      <c r="B40" s="148"/>
      <c r="C40" s="149"/>
      <c r="D40" s="149"/>
      <c r="E40" s="150"/>
      <c r="F40" s="1786"/>
      <c r="G40" s="128"/>
      <c r="H40" s="128"/>
      <c r="I40" s="128"/>
    </row>
    <row r="41" spans="1:15" ht="13.8">
      <c r="A41" s="1792" t="s">
        <v>1323</v>
      </c>
      <c r="B41" s="148"/>
      <c r="C41" s="149"/>
      <c r="D41" s="149"/>
      <c r="E41" s="150"/>
      <c r="F41" s="1786"/>
      <c r="G41" s="128"/>
      <c r="H41" s="128"/>
      <c r="I41" s="128"/>
    </row>
    <row r="42" spans="1:15" ht="14.4" thickBot="1">
      <c r="A42" s="1793"/>
      <c r="B42" s="151"/>
      <c r="C42" s="152"/>
      <c r="D42" s="152"/>
      <c r="E42" s="153"/>
      <c r="F42" s="1786"/>
      <c r="G42" s="128"/>
      <c r="H42" s="128"/>
      <c r="I42" s="128"/>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46" t="s">
        <v>1326</v>
      </c>
      <c r="B45" s="3647"/>
      <c r="C45" s="3648"/>
      <c r="D45" s="154">
        <f ca="1">ROUND(H101*F45,0)</f>
        <v>80938</v>
      </c>
      <c r="E45" s="155" t="s">
        <v>1327</v>
      </c>
      <c r="F45" s="156">
        <v>1</v>
      </c>
      <c r="G45" s="157" t="s">
        <v>1328</v>
      </c>
      <c r="H45" s="128"/>
      <c r="I45" s="128"/>
      <c r="J45" s="3566" t="s">
        <v>1329</v>
      </c>
      <c r="K45" s="3566"/>
      <c r="L45" s="3566"/>
      <c r="M45" s="3566"/>
      <c r="N45" s="3566"/>
      <c r="O45" s="3566"/>
    </row>
    <row r="46" spans="1:15" ht="14.25" customHeight="1">
      <c r="A46" s="3643" t="s">
        <v>1330</v>
      </c>
      <c r="B46" s="3644"/>
      <c r="C46" s="3644"/>
      <c r="D46" s="3644"/>
      <c r="E46" s="3644"/>
      <c r="F46" s="3644"/>
      <c r="G46" s="3645"/>
      <c r="H46" s="1802"/>
      <c r="I46" s="158"/>
      <c r="J46" s="2519">
        <v>1</v>
      </c>
      <c r="K46" s="3567" t="s">
        <v>1331</v>
      </c>
      <c r="L46" s="3567"/>
      <c r="M46" s="3568"/>
      <c r="N46" s="3568"/>
      <c r="O46" s="3568"/>
    </row>
    <row r="47" spans="1:15" ht="12" customHeight="1">
      <c r="A47" s="159" t="s">
        <v>1332</v>
      </c>
      <c r="B47" s="160"/>
      <c r="C47" s="161"/>
      <c r="D47" s="1083" t="s">
        <v>1333</v>
      </c>
      <c r="E47" s="301" t="s">
        <v>1334</v>
      </c>
      <c r="F47" s="162" t="s">
        <v>1335</v>
      </c>
      <c r="G47" s="2542" t="s">
        <v>1336</v>
      </c>
      <c r="H47" s="2543"/>
      <c r="I47" s="158"/>
      <c r="J47" s="2519">
        <v>2</v>
      </c>
      <c r="K47" s="3567" t="s">
        <v>1337</v>
      </c>
      <c r="L47" s="3567"/>
      <c r="M47" s="3569">
        <f>'数据-取费表'!B2</f>
        <v>44995</v>
      </c>
      <c r="N47" s="3569"/>
      <c r="O47" s="3569"/>
    </row>
    <row r="48" spans="1:15" ht="26.4">
      <c r="A48" s="3629" t="s">
        <v>1338</v>
      </c>
      <c r="B48" s="3630"/>
      <c r="C48" s="3630"/>
      <c r="D48" s="2320" t="b">
        <f>IF(H48="情况1",0,IF(H48="情况2",D52,IF(H48="情况3",D53,IF(H48="情况4",D54))))</f>
        <v>0</v>
      </c>
      <c r="E48" s="2330" t="str">
        <f>IF(H48="情况4","(销售额-原购置价)×税（费）率","销售额×税（费）率")</f>
        <v>销售额×税（费）率</v>
      </c>
      <c r="F48" s="2544">
        <f>IF(H48="情况1","免征",'数据-取费表'!B41)</f>
        <v>5.6000000000000001E-2</v>
      </c>
      <c r="G48" s="2545" t="s">
        <v>1339</v>
      </c>
      <c r="H48" s="2546"/>
      <c r="I48" s="1802"/>
      <c r="J48" s="2519">
        <v>3</v>
      </c>
      <c r="K48" s="3567" t="s">
        <v>1340</v>
      </c>
      <c r="L48" s="3567"/>
      <c r="M48" s="3570">
        <f ca="1">H101</f>
        <v>80938</v>
      </c>
      <c r="N48" s="3570"/>
      <c r="O48" s="3570"/>
    </row>
    <row r="49" spans="1:35" ht="25.5" customHeight="1">
      <c r="A49" s="2329" t="s">
        <v>1341</v>
      </c>
      <c r="B49" s="3615" t="s">
        <v>1342</v>
      </c>
      <c r="C49" s="3615"/>
      <c r="D49" s="1586">
        <v>0</v>
      </c>
      <c r="E49" s="323" t="s">
        <v>1343</v>
      </c>
      <c r="F49" s="2420" t="s">
        <v>28</v>
      </c>
      <c r="G49" s="3598"/>
      <c r="H49" s="2306" t="s">
        <v>2134</v>
      </c>
      <c r="I49" s="2307"/>
      <c r="J49" s="2519">
        <v>4</v>
      </c>
      <c r="K49" s="3567" t="str">
        <f>IF(项目基本情况!E8="房地产抵押价值","房地产抵押价值","抵押担保权已注销时的房地产抵押价值")</f>
        <v>房地产抵押价值</v>
      </c>
      <c r="L49" s="3567"/>
      <c r="M49" s="3570">
        <f ca="1">IF(项目基本情况!E8="房地产抵押价值",H107,H109)</f>
        <v>80938</v>
      </c>
      <c r="N49" s="3570"/>
      <c r="O49" s="3570"/>
    </row>
    <row r="50" spans="1:35" ht="25.5" customHeight="1">
      <c r="A50" s="2547"/>
      <c r="B50" s="3615" t="s">
        <v>1344</v>
      </c>
      <c r="C50" s="3615"/>
      <c r="D50" s="2548"/>
      <c r="E50" s="331"/>
      <c r="F50" s="2420"/>
      <c r="G50" s="3599"/>
      <c r="H50" s="2308" t="s">
        <v>2135</v>
      </c>
      <c r="I50" s="2307"/>
      <c r="J50" s="3566" t="s">
        <v>1345</v>
      </c>
      <c r="K50" s="3566"/>
      <c r="L50" s="3566"/>
      <c r="M50" s="3566"/>
      <c r="N50" s="3566"/>
      <c r="O50" s="3566"/>
    </row>
    <row r="51" spans="1:35" ht="20.399999999999999" customHeight="1">
      <c r="A51" s="2549"/>
      <c r="B51" s="3615" t="s">
        <v>1346</v>
      </c>
      <c r="C51" s="3615"/>
      <c r="D51" s="1083"/>
      <c r="E51" s="326"/>
      <c r="F51" s="2420"/>
      <c r="G51" s="3600"/>
      <c r="H51" s="2308" t="s">
        <v>2136</v>
      </c>
      <c r="I51" s="2307"/>
      <c r="J51" s="2520" t="s">
        <v>1347</v>
      </c>
      <c r="K51" s="3567" t="s">
        <v>1348</v>
      </c>
      <c r="L51" s="3567"/>
      <c r="M51" s="2520" t="s">
        <v>1349</v>
      </c>
      <c r="N51" s="2520" t="s">
        <v>1350</v>
      </c>
      <c r="O51" s="2520" t="s">
        <v>1351</v>
      </c>
    </row>
    <row r="52" spans="1:35" ht="24" customHeight="1">
      <c r="A52" s="2331" t="s">
        <v>1352</v>
      </c>
      <c r="B52" s="3615" t="s">
        <v>1353</v>
      </c>
      <c r="C52" s="3615"/>
      <c r="D52" s="1083">
        <f ca="1">ROUND(D45*'数据-取费表'!B41/(1+'数据-取费表'!C42),0)</f>
        <v>4317</v>
      </c>
      <c r="E52" s="2330" t="s">
        <v>1354</v>
      </c>
      <c r="F52" s="2550">
        <f>'数据-取费表'!B41</f>
        <v>5.6000000000000001E-2</v>
      </c>
      <c r="G52" s="2551"/>
      <c r="H52" s="2540"/>
      <c r="I52" s="1803"/>
      <c r="J52" s="2519">
        <v>1</v>
      </c>
      <c r="K52" s="3592" t="s">
        <v>1355</v>
      </c>
      <c r="L52" s="3592"/>
      <c r="M52" s="2521" t="b">
        <f>D48</f>
        <v>0</v>
      </c>
      <c r="N52" s="2519" t="str">
        <f>E48</f>
        <v>销售额×税（费）率</v>
      </c>
      <c r="O52" s="2522">
        <f>F48</f>
        <v>5.6000000000000001E-2</v>
      </c>
    </row>
    <row r="53" spans="1:35" ht="12" customHeight="1">
      <c r="A53" s="2331" t="s">
        <v>1356</v>
      </c>
      <c r="B53" s="3616" t="s">
        <v>2291</v>
      </c>
      <c r="C53" s="3617"/>
      <c r="D53" s="1083">
        <f ca="1">ROUND(D45*'数据-取费表'!B41/(1+'数据-取费表'!C42),0)</f>
        <v>4317</v>
      </c>
      <c r="E53" s="2330" t="s">
        <v>1354</v>
      </c>
      <c r="F53" s="2550">
        <f>'数据-取费表'!B41</f>
        <v>5.6000000000000001E-2</v>
      </c>
      <c r="G53" s="2551"/>
      <c r="H53" s="2540"/>
      <c r="I53" s="1803"/>
      <c r="J53" s="2519">
        <v>2</v>
      </c>
      <c r="K53" s="3592" t="s">
        <v>1357</v>
      </c>
      <c r="L53" s="3592"/>
      <c r="M53" s="2521">
        <f t="shared" ref="M53:O54" ca="1" si="0">D55</f>
        <v>40</v>
      </c>
      <c r="N53" s="2519" t="str">
        <f t="shared" si="0"/>
        <v>销售额×税（费）率</v>
      </c>
      <c r="O53" s="2522" t="str">
        <f t="shared" si="0"/>
        <v>免征</v>
      </c>
    </row>
    <row r="54" spans="1:35" ht="12" customHeight="1">
      <c r="A54" s="2331" t="s">
        <v>1358</v>
      </c>
      <c r="B54" s="3616" t="s">
        <v>2292</v>
      </c>
      <c r="C54" s="3617"/>
      <c r="D54" s="1083">
        <f ca="1">C68</f>
        <v>4317</v>
      </c>
      <c r="E54" s="326" t="s">
        <v>1359</v>
      </c>
      <c r="F54" s="2550">
        <f>'数据-取费表'!B41</f>
        <v>5.6000000000000001E-2</v>
      </c>
      <c r="G54" s="2551"/>
      <c r="H54" s="2552"/>
      <c r="I54" s="1803"/>
      <c r="J54" s="2519">
        <v>3</v>
      </c>
      <c r="K54" s="3592" t="s">
        <v>1360</v>
      </c>
      <c r="L54" s="3592"/>
      <c r="M54" s="2521">
        <f t="shared" ca="1" si="0"/>
        <v>45811</v>
      </c>
      <c r="N54" s="2519" t="str">
        <f t="shared" si="0"/>
        <v>增值额×税（费）率</v>
      </c>
      <c r="O54" s="2523" t="str">
        <f t="shared" si="0"/>
        <v>免征</v>
      </c>
    </row>
    <row r="55" spans="1:35" ht="24" customHeight="1">
      <c r="A55" s="3652" t="s">
        <v>1361</v>
      </c>
      <c r="B55" s="3630"/>
      <c r="C55" s="3630"/>
      <c r="D55" s="2320">
        <f ca="1">IF(H55="个人住宅",0,ROUND(D45*I55,0))</f>
        <v>40</v>
      </c>
      <c r="E55" s="2330" t="s">
        <v>1362</v>
      </c>
      <c r="F55" s="2550" t="str">
        <f>IF(H55="正常",I55,"免征")</f>
        <v>免征</v>
      </c>
      <c r="G55" s="2551"/>
      <c r="H55" s="2546"/>
      <c r="I55" s="164">
        <f>'数据-取费表'!B49</f>
        <v>5.0000000000000001E-4</v>
      </c>
      <c r="J55" s="2519">
        <f>IF(H59="非个人房产","",4)</f>
        <v>4</v>
      </c>
      <c r="K55" s="3592" t="str">
        <f>IF(H59="非个人房产","——","个人所得税")</f>
        <v>个人所得税</v>
      </c>
      <c r="L55" s="3592"/>
      <c r="M55" s="2524">
        <f ca="1">D59</f>
        <v>771</v>
      </c>
      <c r="N55" s="2036" t="str">
        <f>E59</f>
        <v>差额计税</v>
      </c>
      <c r="O55" s="2525">
        <f>F59</f>
        <v>0.01</v>
      </c>
    </row>
    <row r="56" spans="1:35" ht="25.2">
      <c r="A56" s="3652" t="s">
        <v>1363</v>
      </c>
      <c r="B56" s="3630"/>
      <c r="C56" s="3630"/>
      <c r="D56" s="2320">
        <f ca="1">IF(H56="个人住宅",D57,D58)</f>
        <v>45811</v>
      </c>
      <c r="E56" s="2330" t="s">
        <v>1364</v>
      </c>
      <c r="F56" s="2550" t="str">
        <f>IF(H56="正常",F58,"免征")</f>
        <v>免征</v>
      </c>
      <c r="G56" s="2553" t="s">
        <v>1365</v>
      </c>
      <c r="H56" s="2554"/>
      <c r="I56" s="1804"/>
      <c r="J56" s="2519" t="str">
        <f>IF(项目基本情况!K6="上海银行",IF(J55="",4,J55+1),"")</f>
        <v/>
      </c>
      <c r="K56" s="3573" t="str">
        <f>IF(项目基本情况!K6="上海银行","其他处置费用","")</f>
        <v/>
      </c>
      <c r="L56" s="3574"/>
      <c r="M56" s="2521" t="str">
        <f>IF(项目基本情况!K6="上海银行",M69,"")</f>
        <v/>
      </c>
      <c r="N56" s="3573" t="str">
        <f>IF(项目基本情况!K6="上海银行","包含处置中涉及的律师、诉讼、拍卖、评估等费用","")</f>
        <v/>
      </c>
      <c r="O56" s="3576"/>
    </row>
    <row r="57" spans="1:35" ht="13.2">
      <c r="A57" s="2331" t="s">
        <v>1341</v>
      </c>
      <c r="B57" s="3616" t="s">
        <v>1366</v>
      </c>
      <c r="C57" s="3617"/>
      <c r="D57" s="1586">
        <v>0</v>
      </c>
      <c r="E57" s="323" t="s">
        <v>1343</v>
      </c>
      <c r="F57" s="301"/>
      <c r="G57" s="2551"/>
      <c r="H57" s="2555"/>
      <c r="I57" s="1804"/>
      <c r="J57" s="3592">
        <f>IF(AND(J55="",J56=""),4,IF(项目基本情况!K6="上海银行",结果表!J56+1,结果表!J55+1))</f>
        <v>5</v>
      </c>
      <c r="K57" s="3592" t="s">
        <v>1367</v>
      </c>
      <c r="L57" s="2526" t="s">
        <v>1368</v>
      </c>
      <c r="M57" s="2527"/>
      <c r="N57" s="2528">
        <f ca="1">SUMIF(M52:M56,"&lt;9e307")</f>
        <v>46622</v>
      </c>
      <c r="O57" s="2529"/>
      <c r="P57" s="2686">
        <f ca="1">N57/M49</f>
        <v>0.5760211519928834</v>
      </c>
    </row>
    <row r="58" spans="1:35" ht="25.2">
      <c r="A58" s="2331" t="s">
        <v>1352</v>
      </c>
      <c r="B58" s="3616" t="s">
        <v>1369</v>
      </c>
      <c r="C58" s="3615"/>
      <c r="D58" s="2320">
        <f ca="1">IF(H58="转让取得",C81,C97)</f>
        <v>45811</v>
      </c>
      <c r="E58" s="2330" t="s">
        <v>1364</v>
      </c>
      <c r="F58" s="301" t="s">
        <v>28</v>
      </c>
      <c r="G58" s="2551"/>
      <c r="H58" s="2554"/>
      <c r="I58" s="1804"/>
      <c r="J58" s="3592"/>
      <c r="K58" s="3592"/>
      <c r="L58" s="2526" t="s">
        <v>1370</v>
      </c>
      <c r="M58" s="2530"/>
      <c r="N58" s="2531" t="str">
        <f ca="1">NUMBERSTRING(INT(N57*10000),2)&amp;"元整"</f>
        <v>肆亿陆仟陆佰贰拾贰万元整</v>
      </c>
      <c r="O58" s="2532"/>
    </row>
    <row r="59" spans="1:35" ht="24.6" thickBot="1">
      <c r="A59" s="3596" t="s">
        <v>1371</v>
      </c>
      <c r="B59" s="3597"/>
      <c r="C59" s="3597"/>
      <c r="D59" s="2556">
        <f ca="1">IF(H59="非个人房产","——",IF(H59="个人住宅（满五唯一有凭证）",0,IF(H59="个人其他（无凭证）",ROUND(D45*F59,0),ROUND(C67*F59,0))))</f>
        <v>771</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594">
        <f>J57+1</f>
        <v>6</v>
      </c>
      <c r="K59" s="3592" t="s">
        <v>1372</v>
      </c>
      <c r="L59" s="2519" t="s">
        <v>1368</v>
      </c>
      <c r="M59" s="2533"/>
      <c r="N59" s="2534">
        <f ca="1">M49-N57</f>
        <v>34316</v>
      </c>
      <c r="O59" s="2535"/>
    </row>
    <row r="60" spans="1:35" ht="12" customHeight="1">
      <c r="A60" s="1805"/>
      <c r="B60" s="1743"/>
      <c r="C60" s="1743"/>
      <c r="D60" s="1743"/>
      <c r="E60" s="1574"/>
      <c r="F60" s="1804"/>
      <c r="G60" s="1804"/>
      <c r="H60" s="1806"/>
      <c r="I60" s="128"/>
      <c r="J60" s="3595"/>
      <c r="K60" s="3592"/>
      <c r="L60" s="2526" t="s">
        <v>1370</v>
      </c>
      <c r="M60" s="2530"/>
      <c r="N60" s="2531" t="str">
        <f ca="1">NUMBERSTRING(INT(N59*10000),2)&amp;"元整"</f>
        <v>叁亿肆仟叁佰壹拾陆万元整</v>
      </c>
      <c r="O60" s="2532"/>
    </row>
    <row r="61" spans="1:35" ht="13.8" thickBot="1">
      <c r="A61" s="3651" t="s">
        <v>1373</v>
      </c>
      <c r="B61" s="3651"/>
      <c r="C61" s="3651"/>
      <c r="D61" s="3651"/>
      <c r="E61" s="3651"/>
      <c r="F61" s="1804"/>
      <c r="G61" s="1804"/>
      <c r="H61" s="1806"/>
      <c r="I61" s="128"/>
      <c r="J61" s="2519">
        <f>J59+1</f>
        <v>7</v>
      </c>
      <c r="K61" s="3592" t="s">
        <v>1374</v>
      </c>
      <c r="L61" s="3592"/>
      <c r="M61" s="2536"/>
      <c r="N61" s="2537">
        <f ca="1">ROUND(N59*10000/'数据-汇总表'!E3,0)</f>
        <v>3458</v>
      </c>
      <c r="O61" s="2538"/>
    </row>
    <row r="62" spans="1:35" ht="13.2">
      <c r="A62" s="3611" t="s">
        <v>1375</v>
      </c>
      <c r="B62" s="3612"/>
      <c r="C62" s="2017"/>
      <c r="D62" s="2017" t="s">
        <v>1376</v>
      </c>
      <c r="E62" s="165" t="s">
        <v>1377</v>
      </c>
      <c r="F62" s="1804"/>
      <c r="G62" s="1804"/>
      <c r="H62" s="1806"/>
      <c r="I62" s="128"/>
    </row>
    <row r="63" spans="1:35" ht="13.2">
      <c r="A63" s="172" t="s">
        <v>330</v>
      </c>
      <c r="B63" s="166" t="s">
        <v>1378</v>
      </c>
      <c r="C63" s="2560">
        <f ca="1">ROUND((C64+C65)/(1+'数据-取费表'!C42),0)</f>
        <v>77084</v>
      </c>
      <c r="D63" s="166"/>
      <c r="E63" s="167"/>
      <c r="F63" s="1804"/>
      <c r="G63" s="1804"/>
      <c r="H63" s="1806"/>
      <c r="I63" s="128"/>
      <c r="J63" s="3575" t="s">
        <v>1379</v>
      </c>
      <c r="K63" s="1328" t="s">
        <v>1380</v>
      </c>
      <c r="L63" s="1328">
        <f ca="1">IF(M49&gt;10000,M49*0.5%,IF(AND(M49&gt;1000,M49&lt;=10000),M49*1%,IF(AND(M49&gt;100,M49&lt;=1000),M49*3%,IF(AND(M49&gt;10,M49&lt;=100),M49*5%,M49*8%))))</f>
        <v>404.69</v>
      </c>
      <c r="M63" s="301">
        <f ca="1">ROUND(L63,1)</f>
        <v>404.7</v>
      </c>
      <c r="N63" s="2539"/>
      <c r="Z63" s="1748"/>
      <c r="AI63" s="1749"/>
    </row>
    <row r="64" spans="1:35" ht="14.25" customHeight="1">
      <c r="A64" s="168" t="s">
        <v>325</v>
      </c>
      <c r="B64" s="169" t="s">
        <v>1381</v>
      </c>
      <c r="C64" s="2561">
        <f ca="1">D45</f>
        <v>80938</v>
      </c>
      <c r="D64" s="169" t="s">
        <v>26</v>
      </c>
      <c r="E64" s="171"/>
      <c r="F64" s="1804"/>
      <c r="G64" s="1804"/>
      <c r="H64" s="1806"/>
      <c r="I64" s="128"/>
      <c r="J64" s="3575"/>
      <c r="K64" s="1328" t="s">
        <v>1382</v>
      </c>
      <c r="L64" s="1328">
        <f ca="1">IF(M49&gt;2000,M49*0.5%,IF(AND(M49&gt;1000,M49&lt;=2000),M49*0.6%,IF(AND(M49&gt;500,M49&lt;=1000),M49*0.7%,IF(AND(M49&gt;200,M49&lt;=500),M49*0.8%,IF(AND(M49&gt;100,M49&lt;=200),M49*0.9%,IF(AND(M49&gt;50,M49&lt;=100),M49*1%,IF(AND(M49&gt;20,M49&lt;=50),M49*1.5%,IF(AND(M49&gt;10,M49&lt;=20),M49*2%,IF(AND(M49&gt;1,M49&lt;=10),M49*2.5%)))))))))</f>
        <v>404.69</v>
      </c>
      <c r="M64" s="301">
        <f t="shared" ref="M64:M65" ca="1" si="1">ROUND(L64,1)</f>
        <v>404.7</v>
      </c>
      <c r="N64" s="2540" t="s">
        <v>1383</v>
      </c>
      <c r="Z64" s="1748"/>
      <c r="AI64" s="1749"/>
    </row>
    <row r="65" spans="1:35" ht="14.25" customHeight="1">
      <c r="A65" s="168" t="s">
        <v>326</v>
      </c>
      <c r="B65" s="169" t="s">
        <v>1384</v>
      </c>
      <c r="C65" s="2562"/>
      <c r="D65" s="169"/>
      <c r="E65" s="171"/>
      <c r="F65" s="1804"/>
      <c r="G65" s="1804"/>
      <c r="H65" s="1806"/>
      <c r="I65" s="128"/>
      <c r="J65" s="3575"/>
      <c r="K65" s="1328" t="s">
        <v>1385</v>
      </c>
      <c r="L65" s="1328">
        <f ca="1">IF(M49&gt;1000,M49*0.1%,IF(AND(M49&gt;500,M49&lt;=1000),M49*0.5%,IF(AND(M49&gt;50,M49&lt;=500),M49*1%,IF(AND(M49&gt;1,M49&lt;=50),M49*1.5%))))</f>
        <v>80.938000000000002</v>
      </c>
      <c r="M65" s="301">
        <f t="shared" ca="1" si="1"/>
        <v>80.900000000000006</v>
      </c>
      <c r="N65" s="2540" t="s">
        <v>1383</v>
      </c>
      <c r="Z65" s="1748"/>
      <c r="AI65" s="1749"/>
    </row>
    <row r="66" spans="1:35" ht="14.25" customHeight="1">
      <c r="A66" s="172" t="s">
        <v>327</v>
      </c>
      <c r="B66" s="173" t="s">
        <v>1386</v>
      </c>
      <c r="C66" s="2563"/>
      <c r="D66" s="173" t="s">
        <v>26</v>
      </c>
      <c r="E66" s="1334" t="s">
        <v>671</v>
      </c>
      <c r="F66" s="1804"/>
      <c r="G66" s="1804"/>
      <c r="H66" s="1806"/>
      <c r="I66" s="128"/>
      <c r="J66" s="3575"/>
      <c r="K66" s="1328" t="s">
        <v>1387</v>
      </c>
      <c r="L66" s="1328">
        <f ca="1">M49*0.5%</f>
        <v>404.69</v>
      </c>
      <c r="M66" s="301">
        <f ca="1">IF(L66&gt;0.5,0.5,ROUND(L66,0))</f>
        <v>0.5</v>
      </c>
      <c r="N66" s="2540" t="s">
        <v>1388</v>
      </c>
      <c r="Z66" s="1748"/>
      <c r="AI66" s="1749"/>
    </row>
    <row r="67" spans="1:35" ht="14.25" customHeight="1">
      <c r="A67" s="172" t="s">
        <v>328</v>
      </c>
      <c r="B67" s="173" t="s">
        <v>1389</v>
      </c>
      <c r="C67" s="2564">
        <f ca="1">C63-C66</f>
        <v>77084</v>
      </c>
      <c r="D67" s="169" t="s">
        <v>26</v>
      </c>
      <c r="E67" s="171"/>
      <c r="F67" s="1804"/>
      <c r="G67" s="1804"/>
      <c r="H67" s="1806"/>
      <c r="I67" s="128"/>
      <c r="J67" s="3575"/>
      <c r="K67" s="1328" t="s">
        <v>1390</v>
      </c>
      <c r="L67" s="1328">
        <f ca="1">IF(M49&gt;=10000,(8.25+(M49-10000)*0.01%),IF(AND(M49&gt;=8000,M49&lt;10000),(7.85+(M49-8000)*0.02%),IF(AND(M49&gt;=5000,M49&lt;8000),(6.65+(M49-5000)*0.04%),IF(AND(M49&gt;=2000,M49&lt;5000),(4.25+(PM49-2000)*0.08%),IF(AND(M49&gt;=1000,M49&lt;2000),(2.75+(M49-1000)*0.15%),IF(AND(M49&gt;=100,M49&lt;1000),(0.5+(M49-100)*0.25%),IF(AND(M49&gt;0,M49&lt;100),M49*0.5%)))))))</f>
        <v>15.343800000000002</v>
      </c>
      <c r="M67" s="301">
        <f ca="1">ROUND(L67*0.9,1)</f>
        <v>13.8</v>
      </c>
      <c r="N67" s="2539"/>
      <c r="Z67" s="1748"/>
      <c r="AI67" s="1749"/>
    </row>
    <row r="68" spans="1:35" ht="14.25" customHeight="1" thickBot="1">
      <c r="A68" s="175" t="s">
        <v>329</v>
      </c>
      <c r="B68" s="176" t="s">
        <v>1391</v>
      </c>
      <c r="C68" s="2565">
        <f ca="1">IF(C67&lt;=0,0,ROUND(C67*D68,0))</f>
        <v>4317</v>
      </c>
      <c r="D68" s="2566">
        <f>'数据-取费表'!B41</f>
        <v>5.6000000000000001E-2</v>
      </c>
      <c r="E68" s="177"/>
      <c r="F68" s="1804"/>
      <c r="G68" s="1804"/>
      <c r="H68" s="1806"/>
      <c r="I68" s="128"/>
      <c r="J68" s="3575"/>
      <c r="K68" s="1328" t="s">
        <v>1392</v>
      </c>
      <c r="L68" s="1328">
        <f ca="1">IF(M49&gt;10000,M49*0.5%,IF(AND(M49&gt;5000,M49&lt;=10000),M49*1%,IF(AND(M49&gt;1000,M49&lt;=5000),M49*2%,IF(AND(M49&gt;200,M49&lt;=1000),M49*3%,M49*5%))))</f>
        <v>404.69</v>
      </c>
      <c r="M68" s="301">
        <f ca="1">ROUND(L68,1)</f>
        <v>404.7</v>
      </c>
      <c r="N68" s="2539"/>
      <c r="Z68" s="1748"/>
      <c r="AI68" s="1749"/>
    </row>
    <row r="69" spans="1:35" s="1768" customFormat="1" ht="16.5" customHeight="1">
      <c r="A69" s="1807"/>
      <c r="B69" s="1808"/>
      <c r="C69" s="1809"/>
      <c r="D69" s="1810"/>
      <c r="E69" s="1811"/>
      <c r="F69" s="1574"/>
      <c r="G69" s="1574"/>
      <c r="H69" s="1573"/>
      <c r="I69" s="1743"/>
      <c r="J69" s="3575"/>
      <c r="K69" s="1328" t="s">
        <v>1393</v>
      </c>
      <c r="L69" s="1328"/>
      <c r="M69" s="301">
        <f ca="1">ROUND(SUM(M63:M68),0)</f>
        <v>1309</v>
      </c>
      <c r="N69" s="2541">
        <f ca="1">M69/M49</f>
        <v>1.6172873063332427E-2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9" t="s">
        <v>1394</v>
      </c>
      <c r="B70" s="3620"/>
      <c r="C70" s="3620"/>
      <c r="D70" s="3620"/>
      <c r="E70" s="3620"/>
      <c r="F70" s="3620"/>
      <c r="G70" s="3620"/>
      <c r="H70" s="3620"/>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611" t="s">
        <v>1375</v>
      </c>
      <c r="B71" s="3612"/>
      <c r="C71" s="2017"/>
      <c r="D71" s="2017" t="s">
        <v>1376</v>
      </c>
      <c r="E71" s="178" t="s">
        <v>1377</v>
      </c>
      <c r="F71" s="179"/>
      <c r="G71" s="179"/>
      <c r="H71" s="180"/>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2" t="s">
        <v>330</v>
      </c>
      <c r="B72" s="173" t="s">
        <v>1395</v>
      </c>
      <c r="C72" s="2564">
        <f ca="1">ROUND(D45/(1+'数据-取费表'!C42),0)</f>
        <v>77084</v>
      </c>
      <c r="D72" s="169" t="s">
        <v>26</v>
      </c>
      <c r="E72" s="2327"/>
      <c r="F72" s="2326"/>
      <c r="G72" s="2326"/>
      <c r="H72" s="181"/>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2" t="s">
        <v>327</v>
      </c>
      <c r="B73" s="162" t="s">
        <v>1396</v>
      </c>
      <c r="C73" s="2564">
        <f ca="1">C74+C78</f>
        <v>463</v>
      </c>
      <c r="D73" s="169" t="s">
        <v>26</v>
      </c>
      <c r="E73" s="2327"/>
      <c r="F73" s="2326"/>
      <c r="G73" s="2326"/>
      <c r="H73" s="181"/>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8" t="s">
        <v>325</v>
      </c>
      <c r="B74" s="169" t="s">
        <v>1397</v>
      </c>
      <c r="C74" s="169">
        <f>ROUND(IF(G77="2016年5月1日后购买",C75/(1+'数据-取费表'!C42)+C76+C77,C75+C76+C77),0)</f>
        <v>0</v>
      </c>
      <c r="D74" s="169" t="s">
        <v>26</v>
      </c>
      <c r="E74" s="2327"/>
      <c r="F74" s="2326"/>
      <c r="G74" s="2326"/>
      <c r="H74" s="181"/>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8" t="s">
        <v>331</v>
      </c>
      <c r="B75" s="169" t="s">
        <v>1398</v>
      </c>
      <c r="C75" s="2567"/>
      <c r="D75" s="169" t="s">
        <v>26</v>
      </c>
      <c r="E75" s="183" t="s">
        <v>1399</v>
      </c>
      <c r="F75" s="2568"/>
      <c r="G75" s="183"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8" t="s">
        <v>332</v>
      </c>
      <c r="B76" s="184" t="s">
        <v>1401</v>
      </c>
      <c r="C76" s="169">
        <f>IF(F75="购房发票",ROUND(C75*H75*D76,0),0)</f>
        <v>0</v>
      </c>
      <c r="D76" s="2570">
        <v>0.05</v>
      </c>
      <c r="E76" s="3616" t="s">
        <v>1402</v>
      </c>
      <c r="F76" s="3615"/>
      <c r="G76" s="3615"/>
      <c r="H76" s="3618"/>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8" t="s">
        <v>333</v>
      </c>
      <c r="B77" s="169" t="s">
        <v>1403</v>
      </c>
      <c r="C77" s="169">
        <f>ROUND(IF(G77="个人住宅",0,IF(G77="2016年5月1日前购买",C75*D77,C75*D77/(1+'数据-取费表'!C42))),0)</f>
        <v>0</v>
      </c>
      <c r="D77" s="2571">
        <f>'数据-取费表'!B48+'数据-取费表'!B49</f>
        <v>3.0499999999999999E-2</v>
      </c>
      <c r="E77" s="2320" t="s">
        <v>1404</v>
      </c>
      <c r="F77" s="185"/>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8" t="s">
        <v>326</v>
      </c>
      <c r="B78" s="169" t="s">
        <v>1405</v>
      </c>
      <c r="C78" s="2572">
        <f ca="1">ROUND(D45*D78/(1+'数据-取费表'!C42),0)</f>
        <v>463</v>
      </c>
      <c r="D78" s="2573">
        <f>'数据-取费表'!B43</f>
        <v>6.000000000000001E-3</v>
      </c>
      <c r="E78" s="3608" t="s">
        <v>1406</v>
      </c>
      <c r="F78" s="3609"/>
      <c r="G78" s="3609"/>
      <c r="H78" s="3610"/>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2" t="s">
        <v>334</v>
      </c>
      <c r="B79" s="173" t="s">
        <v>1407</v>
      </c>
      <c r="C79" s="2564">
        <f ca="1">C72-C73</f>
        <v>76621</v>
      </c>
      <c r="D79" s="169" t="s">
        <v>26</v>
      </c>
      <c r="E79" s="2327"/>
      <c r="F79" s="2326"/>
      <c r="G79" s="2326"/>
      <c r="H79" s="181"/>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2" t="s">
        <v>335</v>
      </c>
      <c r="B80" s="173" t="s">
        <v>1408</v>
      </c>
      <c r="C80" s="2574">
        <f ca="1">IF(C79&lt;=0,0,C79/C73)</f>
        <v>165.48812095032397</v>
      </c>
      <c r="D80" s="169"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1"/>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5" t="s">
        <v>336</v>
      </c>
      <c r="B81" s="176" t="s">
        <v>1409</v>
      </c>
      <c r="C81" s="2575">
        <f ca="1">ROUND(IF(C79&lt;=0,0,IF(C80&gt;=200%,C79*60%-C73*35%,IF(C80&gt;=100%,C79*50%-C73*15%,IF(C80&gt;=50%,C79*40%-C73*5%,IF(C80&lt;50%,C79*30%,0))))),0)</f>
        <v>45811</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9" t="s">
        <v>1410</v>
      </c>
      <c r="B83" s="3620"/>
      <c r="C83" s="3620"/>
      <c r="D83" s="3620"/>
      <c r="E83" s="3620"/>
      <c r="F83" s="3620"/>
      <c r="G83" s="3620"/>
      <c r="H83" s="3620"/>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611" t="s">
        <v>1375</v>
      </c>
      <c r="B84" s="3612"/>
      <c r="C84" s="2017"/>
      <c r="D84" s="2017" t="s">
        <v>1376</v>
      </c>
      <c r="E84" s="178" t="s">
        <v>1377</v>
      </c>
      <c r="F84" s="179"/>
      <c r="G84" s="179"/>
      <c r="H84" s="190"/>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2" t="s">
        <v>330</v>
      </c>
      <c r="B85" s="173" t="s">
        <v>1395</v>
      </c>
      <c r="C85" s="2564">
        <f ca="1">ROUND(D45/(1+'数据-取费表'!C42),0)</f>
        <v>77084</v>
      </c>
      <c r="D85" s="169" t="s">
        <v>26</v>
      </c>
      <c r="E85" s="2327"/>
      <c r="F85" s="2326"/>
      <c r="G85" s="2326"/>
      <c r="H85" s="191"/>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2" t="s">
        <v>327</v>
      </c>
      <c r="B86" s="162" t="s">
        <v>1396</v>
      </c>
      <c r="C86" s="2564">
        <f ca="1">IF(H88="仅含出让金",C87+C90+C91+C92+C93+C94,C87+C91+C92+C93+C94)</f>
        <v>463</v>
      </c>
      <c r="D86" s="2577"/>
      <c r="E86" s="2327"/>
      <c r="F86" s="2326"/>
      <c r="G86" s="2326"/>
      <c r="H86" s="191"/>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8" t="s">
        <v>325</v>
      </c>
      <c r="B87" s="169"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8" t="s">
        <v>331</v>
      </c>
      <c r="B88" s="169" t="s">
        <v>1412</v>
      </c>
      <c r="C88" s="2578"/>
      <c r="D88" s="2573"/>
      <c r="E88" s="192" t="s">
        <v>1413</v>
      </c>
      <c r="F88" s="2323"/>
      <c r="G88" s="193" t="s">
        <v>1414</v>
      </c>
      <c r="H88" s="1820"/>
      <c r="I88" s="1817"/>
      <c r="J88" s="2517"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8" t="s">
        <v>332</v>
      </c>
      <c r="B89" s="169" t="s">
        <v>1403</v>
      </c>
      <c r="C89" s="2572">
        <f>ROUND(C88*D89,0)</f>
        <v>0</v>
      </c>
      <c r="D89" s="2573">
        <f>'数据-取费表'!B48+'数据-取费表'!B49</f>
        <v>3.0499999999999999E-2</v>
      </c>
      <c r="E89" s="192"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8" t="s">
        <v>326</v>
      </c>
      <c r="B90" s="169" t="s">
        <v>1416</v>
      </c>
      <c r="C90" s="2578"/>
      <c r="D90" s="2573"/>
      <c r="E90" s="192" t="str">
        <f>IF(H88="-","土地取得成本中已包含该笔费用"," ")</f>
        <v xml:space="preserve"> </v>
      </c>
      <c r="F90" s="2323"/>
      <c r="G90" s="3577" t="s">
        <v>2129</v>
      </c>
      <c r="H90" s="3578"/>
      <c r="I90" s="1817"/>
      <c r="J90" s="2517"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8" t="s">
        <v>1417</v>
      </c>
      <c r="B91" s="169" t="s">
        <v>1418</v>
      </c>
      <c r="C91" s="2572">
        <f>IF(H91="——",成本法!C33,I91)</f>
        <v>0</v>
      </c>
      <c r="D91" s="2573"/>
      <c r="E91" s="3608" t="s">
        <v>1419</v>
      </c>
      <c r="F91" s="3609"/>
      <c r="G91" s="360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8" t="s">
        <v>1420</v>
      </c>
      <c r="B92" s="169" t="s">
        <v>1421</v>
      </c>
      <c r="C92" s="2572">
        <f>ROUND((C87+C90+C91)*D92,0)</f>
        <v>0</v>
      </c>
      <c r="D92" s="2579"/>
      <c r="E92" s="3608" t="s">
        <v>1422</v>
      </c>
      <c r="F92" s="3609"/>
      <c r="G92" s="3609"/>
      <c r="H92" s="3610"/>
      <c r="I92" s="1817"/>
      <c r="J92" s="2518"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8" t="s">
        <v>1423</v>
      </c>
      <c r="B93" s="169" t="s">
        <v>1405</v>
      </c>
      <c r="C93" s="2572">
        <f ca="1">ROUND(D45*D93/(1+'数据-取费表'!C42),0)</f>
        <v>463</v>
      </c>
      <c r="D93" s="2573">
        <f>'数据-取费表'!B43</f>
        <v>6.000000000000001E-3</v>
      </c>
      <c r="E93" s="3608" t="s">
        <v>1406</v>
      </c>
      <c r="F93" s="3609"/>
      <c r="G93" s="3609"/>
      <c r="H93" s="3610"/>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8" t="s">
        <v>1424</v>
      </c>
      <c r="B94" s="169" t="s">
        <v>1425</v>
      </c>
      <c r="C94" s="2578">
        <f>ROUND((C87+C90+C91)*D94,0)</f>
        <v>0</v>
      </c>
      <c r="D94" s="2573">
        <v>0.2</v>
      </c>
      <c r="E94" s="3653" t="s">
        <v>1426</v>
      </c>
      <c r="F94" s="3654"/>
      <c r="G94" s="3654"/>
      <c r="H94" s="3655"/>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2" t="s">
        <v>334</v>
      </c>
      <c r="B95" s="173" t="s">
        <v>1407</v>
      </c>
      <c r="C95" s="2564">
        <f ca="1">ROUND(C85-C86,0)</f>
        <v>76621</v>
      </c>
      <c r="D95" s="169" t="s">
        <v>26</v>
      </c>
      <c r="E95" s="2327"/>
      <c r="F95" s="2326"/>
      <c r="G95" s="2326"/>
      <c r="H95" s="191"/>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2" t="s">
        <v>335</v>
      </c>
      <c r="B96" s="173" t="s">
        <v>1408</v>
      </c>
      <c r="C96" s="2574">
        <f ca="1">IF(C95&lt;=0,0,C95/C86)</f>
        <v>165.48812095032397</v>
      </c>
      <c r="D96" s="169"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1"/>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5" t="s">
        <v>336</v>
      </c>
      <c r="B97" s="176" t="s">
        <v>1409</v>
      </c>
      <c r="C97" s="2575">
        <f ca="1">ROUND(IF(C95&lt;=0,0,IF(C96&gt;=200%,C95*60%-C86*35%,IF(C96&gt;=100%,C95*50%-C86*15%,IF(C96&gt;=50%,C95*40%-C86*5%,IF(C96&lt;50%,C95*30%,0))))),0)</f>
        <v>45811</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8"/>
    </row>
    <row r="99" spans="1:35" ht="21.75" customHeight="1" thickBot="1">
      <c r="A99" s="1796" t="s">
        <v>1427</v>
      </c>
      <c r="B99" s="1743"/>
      <c r="C99" s="1743"/>
      <c r="D99" s="1743"/>
      <c r="E99" s="1574"/>
      <c r="F99" s="1574"/>
      <c r="G99" s="1574"/>
      <c r="H99" s="1573"/>
      <c r="I99" s="128"/>
    </row>
    <row r="100" spans="1:35" ht="18.75" customHeight="1">
      <c r="A100" s="3558" t="s">
        <v>1428</v>
      </c>
      <c r="B100" s="3559"/>
      <c r="C100" s="3559"/>
      <c r="D100" s="3593"/>
      <c r="E100" s="3559" t="s">
        <v>1429</v>
      </c>
      <c r="F100" s="3559"/>
      <c r="G100" s="3559"/>
      <c r="H100" s="3593"/>
      <c r="I100" s="128"/>
    </row>
    <row r="101" spans="1:35" ht="18.75" customHeight="1">
      <c r="A101" s="3601" t="s">
        <v>1430</v>
      </c>
      <c r="B101" s="3602"/>
      <c r="C101" s="2581" t="str">
        <f>C4</f>
        <v>成本法</v>
      </c>
      <c r="D101" s="2582" t="str">
        <f>D4</f>
        <v>收益法</v>
      </c>
      <c r="E101" s="3571" t="s">
        <v>1431</v>
      </c>
      <c r="F101" s="3572"/>
      <c r="G101" s="1823" t="s">
        <v>1432</v>
      </c>
      <c r="H101" s="2591">
        <f ca="1">H118</f>
        <v>80938</v>
      </c>
      <c r="I101" s="128"/>
    </row>
    <row r="102" spans="1:35" ht="18.75" customHeight="1">
      <c r="A102" s="3603" t="s">
        <v>1433</v>
      </c>
      <c r="B102" s="2580" t="s">
        <v>1432</v>
      </c>
      <c r="C102" s="2581">
        <f ca="1">IF(D32="楼面单价",ROUND(C19,0),C19)</f>
        <v>73765</v>
      </c>
      <c r="D102" s="2582">
        <f ca="1">IF(D32="楼面单价",ROUND(D19,0),D19)</f>
        <v>88111</v>
      </c>
      <c r="E102" s="3571"/>
      <c r="F102" s="3572"/>
      <c r="G102" s="1823" t="s">
        <v>1434</v>
      </c>
      <c r="H102" s="2551">
        <f ca="1">I118</f>
        <v>40815</v>
      </c>
      <c r="I102" s="128"/>
    </row>
    <row r="103" spans="1:35" ht="42.75" customHeight="1">
      <c r="A103" s="3603"/>
      <c r="B103" s="2580" t="s">
        <v>1434</v>
      </c>
      <c r="C103" s="2583">
        <f ca="1">C20</f>
        <v>37198</v>
      </c>
      <c r="D103" s="2584">
        <f ca="1">D20</f>
        <v>44433</v>
      </c>
      <c r="E103" s="3564" t="s">
        <v>1435</v>
      </c>
      <c r="F103" s="3565"/>
      <c r="G103" s="1824" t="s">
        <v>1436</v>
      </c>
      <c r="H103" s="2591">
        <f>IF(D36="正常操作",H104+H105+H106,H105+H106)</f>
        <v>0</v>
      </c>
      <c r="I103" s="128"/>
    </row>
    <row r="104" spans="1:35" ht="18.75" customHeight="1">
      <c r="A104" s="3603" t="s">
        <v>1437</v>
      </c>
      <c r="B104" s="2585" t="s">
        <v>1432</v>
      </c>
      <c r="C104" s="2586">
        <f ca="1">H118</f>
        <v>80938</v>
      </c>
      <c r="D104" s="2587"/>
      <c r="E104" s="1670" t="s">
        <v>1438</v>
      </c>
      <c r="F104" s="1662"/>
      <c r="G104" s="1824" t="s">
        <v>1436</v>
      </c>
      <c r="H104" s="2592">
        <f>IF(D36="同一抵押权人同一抵押物续贷",C36&amp;"（续贷，未扣减，详见特别提示）",C36)</f>
        <v>0</v>
      </c>
      <c r="I104" s="128"/>
    </row>
    <row r="105" spans="1:35" ht="18.75" customHeight="1" thickBot="1">
      <c r="A105" s="3613"/>
      <c r="B105" s="2588" t="s">
        <v>1434</v>
      </c>
      <c r="C105" s="2589">
        <f ca="1">I118</f>
        <v>40815</v>
      </c>
      <c r="D105" s="2590"/>
      <c r="E105" s="1670" t="s">
        <v>1439</v>
      </c>
      <c r="F105" s="1662"/>
      <c r="G105" s="1824" t="s">
        <v>1436</v>
      </c>
      <c r="H105" s="2593">
        <f>C37</f>
        <v>0</v>
      </c>
      <c r="I105" s="128"/>
    </row>
    <row r="106" spans="1:35" ht="18.75" customHeight="1">
      <c r="A106" s="1743" t="s">
        <v>1440</v>
      </c>
      <c r="B106" s="1743"/>
      <c r="C106" s="1743"/>
      <c r="D106" s="1743"/>
      <c r="E106" s="1825" t="s">
        <v>1441</v>
      </c>
      <c r="F106" s="1662"/>
      <c r="G106" s="1824" t="s">
        <v>1436</v>
      </c>
      <c r="H106" s="2593">
        <f>C38</f>
        <v>0</v>
      </c>
      <c r="I106" s="128"/>
    </row>
    <row r="107" spans="1:35" ht="18.75" customHeight="1">
      <c r="A107" s="128"/>
      <c r="B107" s="128"/>
      <c r="C107" s="128"/>
      <c r="D107" s="128"/>
      <c r="E107" s="3604" t="str">
        <f>IF(项目基本情况!E8="已注销","——","3.房地产抵押价值")</f>
        <v>3.房地产抵押价值</v>
      </c>
      <c r="F107" s="3572"/>
      <c r="G107" s="1823" t="s">
        <v>1432</v>
      </c>
      <c r="H107" s="2591">
        <f ca="1">IF(E107="——","——",H101-H103)</f>
        <v>80938</v>
      </c>
      <c r="I107" s="128"/>
    </row>
    <row r="108" spans="1:35" ht="18.75" customHeight="1">
      <c r="A108" s="128"/>
      <c r="B108" s="128"/>
      <c r="C108" s="128"/>
      <c r="D108" s="128"/>
      <c r="E108" s="3604"/>
      <c r="F108" s="3572"/>
      <c r="G108" s="1823" t="s">
        <v>1434</v>
      </c>
      <c r="H108" s="2551">
        <f ca="1">IF(H107=H101,H102,ROUND(H107*10000/'数据-汇总表'!E3,0))</f>
        <v>40815</v>
      </c>
      <c r="I108" s="128"/>
    </row>
    <row r="109" spans="1:35" ht="18.75" customHeight="1">
      <c r="A109" s="128"/>
      <c r="B109" s="128"/>
      <c r="C109" s="128"/>
      <c r="D109" s="128"/>
      <c r="E109" s="3604" t="str">
        <f>IF(项目基本情况!E8="已注销及未注销","4.抵押担保权已注销时的房地产抵押价值",IF(项目基本情况!E8="已注销","3.抵押担保权已注销时的房地产抵押价值","——"))</f>
        <v>——</v>
      </c>
      <c r="F109" s="3572"/>
      <c r="G109" s="1823" t="s">
        <v>1432</v>
      </c>
      <c r="H109" s="2594" t="str">
        <f>IF(E109="——","——",H101-H105-H106)</f>
        <v>——</v>
      </c>
      <c r="I109" s="128"/>
    </row>
    <row r="110" spans="1:35" ht="18.75" customHeight="1">
      <c r="A110" s="128"/>
      <c r="B110" s="128"/>
      <c r="C110" s="128"/>
      <c r="D110" s="128"/>
      <c r="E110" s="3604"/>
      <c r="F110" s="3572"/>
      <c r="G110" s="1823" t="s">
        <v>1434</v>
      </c>
      <c r="H110" s="2551" t="str">
        <f>IF(H109="——","——",ROUND(H109*10000/'数据-汇总表'!E3,0))</f>
        <v>——</v>
      </c>
      <c r="I110" s="128"/>
    </row>
    <row r="111" spans="1:35" ht="18.75" customHeight="1">
      <c r="A111" s="128"/>
      <c r="B111" s="128"/>
      <c r="C111" s="128"/>
      <c r="D111" s="128"/>
      <c r="E111" s="3605" t="str">
        <f>IF(项目基本情况!E9="抵押净值",IF(OR(项目基本情况!E8="已注销",项目基本情况!E8="房地产抵押价值"),"4.抵押净值","5.抵押净值"),"——")</f>
        <v>——</v>
      </c>
      <c r="F111" s="3591"/>
      <c r="G111" s="1823" t="s">
        <v>1432</v>
      </c>
      <c r="H111" s="2591" t="str">
        <f>IF(E111="——","——",N59)</f>
        <v>——</v>
      </c>
      <c r="I111" s="128"/>
    </row>
    <row r="112" spans="1:35" ht="18.75" customHeight="1" thickBot="1">
      <c r="A112" s="128"/>
      <c r="B112" s="128"/>
      <c r="C112" s="128"/>
      <c r="D112" s="128"/>
      <c r="E112" s="3606"/>
      <c r="F112" s="3607"/>
      <c r="G112" s="1826" t="s">
        <v>1434</v>
      </c>
      <c r="H112" s="2595" t="str">
        <f>IF(E111="——","——",N61)</f>
        <v>——</v>
      </c>
      <c r="I112" s="128"/>
    </row>
    <row r="113" spans="1:27" ht="18.75" customHeight="1">
      <c r="A113" s="128"/>
      <c r="B113" s="128"/>
      <c r="C113" s="128"/>
      <c r="D113" s="128"/>
      <c r="E113" s="3614" t="s">
        <v>1440</v>
      </c>
      <c r="F113" s="3614"/>
      <c r="G113" s="3614"/>
      <c r="H113" s="3614"/>
      <c r="I113" s="128"/>
    </row>
    <row r="114" spans="1:27" ht="3.75" customHeight="1">
      <c r="A114" s="1743"/>
      <c r="B114" s="1743"/>
      <c r="C114" s="1743"/>
      <c r="D114" s="1743"/>
      <c r="E114" s="1805"/>
      <c r="F114" s="1805"/>
      <c r="G114" s="1805"/>
      <c r="H114" s="1805"/>
      <c r="I114" s="1743"/>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19830.27</v>
      </c>
      <c r="C118" s="2325">
        <f>M19</f>
        <v>2506.06</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f ca="1">ROUND(IF(D32="总价",C32,I118*B118/10000),0)</f>
        <v>80938</v>
      </c>
      <c r="I118" s="2325">
        <f ca="1">ROUND(IF(D32="楼面单价",C32,H118*10000/B118),0)</f>
        <v>40815</v>
      </c>
    </row>
    <row r="119" spans="1:27" ht="18.75" customHeight="1">
      <c r="A119" s="3579" t="s">
        <v>1452</v>
      </c>
      <c r="B119" s="3579"/>
      <c r="C119" s="3579"/>
      <c r="D119" s="3585" t="e">
        <f ca="1">NUMBERSTRING(INT(D118*10000),2)&amp;"元整"</f>
        <v>#REF!</v>
      </c>
      <c r="E119" s="3586"/>
      <c r="F119" s="3585" t="e">
        <f ca="1">NUMBERSTRING(INT(F118*10000),2)&amp;"元整"</f>
        <v>#REF!</v>
      </c>
      <c r="G119" s="3586"/>
      <c r="H119" s="3585" t="str">
        <f ca="1">NUMBERSTRING(INT(H118*10000),2)&amp;"元整"</f>
        <v>捌亿零玖佰叁拾捌万元整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585" t="s">
        <v>1452</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80938</v>
      </c>
      <c r="E122" s="3581"/>
      <c r="F122" s="3581"/>
      <c r="G122" s="3581"/>
      <c r="H122" s="3581"/>
      <c r="I122" s="3582"/>
      <c r="AA122" s="723"/>
    </row>
    <row r="123" spans="1:27" ht="18.75" customHeight="1">
      <c r="A123" s="3579" t="s">
        <v>1452</v>
      </c>
      <c r="B123" s="3579"/>
      <c r="C123" s="3579"/>
      <c r="D123" s="3585" t="str">
        <f ca="1">NUMBERSTRING(INT(D122*10000),2)&amp;"元整"</f>
        <v>捌亿零玖佰叁拾捌万元整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1452</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1452</v>
      </c>
      <c r="B127" s="3579"/>
      <c r="C127" s="3579"/>
      <c r="D127" s="3585" t="e">
        <f>NUMBERSTRING(INT(D126*10000),2)&amp;"元整"</f>
        <v>#VALUE!</v>
      </c>
      <c r="E127" s="3587"/>
      <c r="F127" s="3587"/>
      <c r="G127" s="3587"/>
      <c r="H127" s="3587"/>
      <c r="I127" s="3586"/>
      <c r="AA127" s="723"/>
    </row>
    <row r="128" spans="1:27" ht="21.75" customHeight="1">
      <c r="A128" s="3588" t="s">
        <v>1453</v>
      </c>
      <c r="B128" s="3588"/>
      <c r="C128" s="3588"/>
      <c r="D128" s="3588"/>
      <c r="E128" s="3588"/>
      <c r="F128" s="3588"/>
      <c r="G128" s="3588"/>
      <c r="H128" s="3588"/>
      <c r="I128" s="3588"/>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29"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90">
    <cfRule type="expression" dxfId="214" priority="3" stopIfTrue="1">
      <formula>$H$88&lt;&gt;"仅含出让金"</formula>
    </cfRule>
  </conditionalFormatting>
  <conditionalFormatting sqref="C91">
    <cfRule type="expression" dxfId="213" priority="2" stopIfTrue="1">
      <formula>$H$91="由企业提供"</formula>
    </cfRule>
  </conditionalFormatting>
  <conditionalFormatting sqref="E36">
    <cfRule type="expression" dxfId="21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4" zoomScale="70" zoomScaleNormal="80" zoomScaleSheetLayoutView="70" workbookViewId="0">
      <selection activeCell="E53" sqref="E53"/>
    </sheetView>
  </sheetViews>
  <sheetFormatPr defaultColWidth="12" defaultRowHeight="13.2"/>
  <cols>
    <col min="1" max="1" width="9.77734375" style="2049" customWidth="1"/>
    <col min="2" max="2" width="22.44140625" style="2140" customWidth="1"/>
    <col min="3" max="3" width="12" style="1994"/>
    <col min="4" max="4" width="14.88671875" style="1994" customWidth="1"/>
    <col min="5" max="5" width="14.6640625" style="1994" customWidth="1"/>
    <col min="6" max="8" width="12" style="1994"/>
    <col min="9" max="9" width="12.21875" style="1994" bestFit="1" customWidth="1"/>
    <col min="10" max="10" width="12" style="1994"/>
    <col min="11" max="11" width="8.109375" style="2045" customWidth="1"/>
    <col min="12" max="12" width="19.44140625" style="1994" customWidth="1"/>
    <col min="13" max="13" width="8.44140625" style="1994" customWidth="1"/>
    <col min="14" max="14" width="9.77734375" style="1994" customWidth="1"/>
    <col min="15" max="25" width="12" style="1994"/>
    <col min="26" max="26" width="9.33203125" style="2049" customWidth="1"/>
    <col min="27" max="32" width="9.33203125" style="1117" customWidth="1"/>
    <col min="33" max="36" width="9.33203125" style="2049" customWidth="1"/>
    <col min="37" max="38" width="9.33203125" style="1994" customWidth="1"/>
    <col min="39" max="16384" width="12" style="1994"/>
  </cols>
  <sheetData>
    <row r="1" spans="1:36" ht="31.2">
      <c r="A1" s="195" t="s">
        <v>1926</v>
      </c>
      <c r="B1" s="196"/>
      <c r="C1" s="200" t="s">
        <v>1927</v>
      </c>
      <c r="D1" s="341">
        <f>SUM(D33:D34,D37:D42)</f>
        <v>62645.83</v>
      </c>
      <c r="E1" s="1991"/>
      <c r="F1" s="1991"/>
      <c r="G1" s="1991"/>
      <c r="H1" s="1991"/>
      <c r="I1" s="1991"/>
      <c r="J1" s="1991"/>
      <c r="K1" s="1115"/>
      <c r="L1" s="1992" t="s">
        <v>1928</v>
      </c>
      <c r="M1" s="859">
        <f>SUMPRODUCT((区片价!B5:B9=I2)*(区片价!C3:G3=E2)*(区片价!C5:G9))</f>
        <v>0</v>
      </c>
      <c r="N1" s="862">
        <f>SUMPRODUCT((因素修正幅度!B5:B9=I2)*(因素修正幅度!C3:G3=E2)*(因素修正幅度!C5:G9))</f>
        <v>0</v>
      </c>
      <c r="O1" s="1993"/>
      <c r="P1" s="1993"/>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6">
      <c r="A2" s="200" t="s">
        <v>1934</v>
      </c>
      <c r="B2" s="203">
        <f>C30</f>
        <v>58218</v>
      </c>
      <c r="C2" s="1995" t="s">
        <v>1935</v>
      </c>
      <c r="D2" s="1996" t="s">
        <v>1936</v>
      </c>
      <c r="E2" s="3418" t="s">
        <v>673</v>
      </c>
      <c r="F2" s="1996" t="s">
        <v>1937</v>
      </c>
      <c r="G2" s="1997" t="str">
        <f>IF(E2="商业",项目基本情况!B37,IF(E2="办公",项目基本情况!C37,IF(E2="住宅",项目基本情况!D37,IF(E2="工业",项目基本情况!E37,项目基本情况!F37))))</f>
        <v>五级</v>
      </c>
      <c r="H2" s="1996" t="s">
        <v>1938</v>
      </c>
      <c r="I2" s="1997" t="str">
        <f>IF(E2="商业",项目基本情况!B38,IF(E2="办公",项目基本情况!C38,IF(E2="住宅",项目基本情况!D38,IF(E2="工业",项目基本情况!E38,项目基本情况!F38))))</f>
        <v>Ⅴ-32</v>
      </c>
      <c r="J2" s="1998"/>
      <c r="K2" s="1115"/>
      <c r="L2" s="1999" t="s">
        <v>1939</v>
      </c>
      <c r="M2" s="860">
        <f>SUMPRODUCT((区片价!B10:B29=I2)*(区片价!C3:G3=E2)*(区片价!C10:G29))</f>
        <v>0</v>
      </c>
      <c r="N2" s="862">
        <f>SUMPRODUCT((因素修正幅度!B10:B29=I2)*(因素修正幅度!C3:G3=E2)*(因素修正幅度!C10:G29))</f>
        <v>0</v>
      </c>
      <c r="O2" s="1115"/>
      <c r="P2" s="1115"/>
      <c r="Q2" s="1115"/>
      <c r="R2" s="1208">
        <v>1</v>
      </c>
      <c r="S2" s="3357">
        <f>ROUND(SUMPRODUCT((B106:B110=R2)*(C105:N105=G2)*(C106:N110)),4)</f>
        <v>1.5019</v>
      </c>
      <c r="T2" s="3357">
        <f t="shared" ref="T2:T16" si="0">ROUND($C$5*$C$22*$C$23*$C$24*S2*$C$28,0)</f>
        <v>21135</v>
      </c>
      <c r="U2" s="1209">
        <f>Sheet1!D8</f>
        <v>8567.73</v>
      </c>
      <c r="V2" s="3357">
        <f>ROUND(T2*U2/10000,0)</f>
        <v>18108</v>
      </c>
      <c r="W2" s="1212"/>
      <c r="X2" s="1212"/>
      <c r="Y2" s="1212"/>
      <c r="Z2" s="1212"/>
      <c r="AA2" s="1212"/>
      <c r="AB2" s="1212"/>
      <c r="AC2" s="1213"/>
      <c r="AD2" s="1214"/>
      <c r="AE2" s="1214"/>
      <c r="AF2" s="1214"/>
      <c r="AG2" s="1214"/>
      <c r="AH2" s="1214"/>
      <c r="AI2" s="1214"/>
      <c r="AJ2" s="1215"/>
    </row>
    <row r="3" spans="1:36" ht="15.6">
      <c r="A3" s="202" t="s">
        <v>1940</v>
      </c>
      <c r="B3" s="203">
        <f>ROUND(B2*10000/D1,0)</f>
        <v>9293</v>
      </c>
      <c r="C3" s="1995" t="s">
        <v>1941</v>
      </c>
      <c r="D3" s="1996" t="s">
        <v>1942</v>
      </c>
      <c r="E3" s="3416" t="s">
        <v>2442</v>
      </c>
      <c r="F3" s="2000" t="s">
        <v>3414</v>
      </c>
      <c r="G3" s="748">
        <f>IF(F3="宗地容积率",'数据-汇总表'!I4,IF(F3="估价对象容积率",'数据-汇总表'!I6,'数据-汇总表'!I7))</f>
        <v>5.07</v>
      </c>
      <c r="H3" s="169" t="s">
        <v>1943</v>
      </c>
      <c r="I3" s="771"/>
      <c r="J3" s="1998" t="s">
        <v>1944</v>
      </c>
      <c r="K3" s="1115"/>
      <c r="L3" s="1999" t="s">
        <v>1945</v>
      </c>
      <c r="M3" s="860">
        <f>SUMPRODUCT((区片价!B30:B54=I2)*(区片价!C3:G3=E2)*(区片价!C30:G54))</f>
        <v>0</v>
      </c>
      <c r="N3" s="862">
        <f>SUMPRODUCT((因素修正幅度!B30:B54=I2)*(因素修正幅度!C3:G3=E2)*(因素修正幅度!C30:G54))</f>
        <v>0</v>
      </c>
      <c r="O3" s="1115"/>
      <c r="P3" s="1115"/>
      <c r="Q3" s="1115"/>
      <c r="R3" s="1208">
        <v>2</v>
      </c>
      <c r="S3" s="3357">
        <f>ROUND(SUMPRODUCT((B106:B110=R3)*(C105:N105=G2)*(C106:N110)),4)</f>
        <v>1.1838</v>
      </c>
      <c r="T3" s="3357">
        <f t="shared" si="0"/>
        <v>16658</v>
      </c>
      <c r="U3" s="1209">
        <f>Sheet1!D9</f>
        <v>11262.54</v>
      </c>
      <c r="V3" s="3357">
        <f t="shared" ref="V3:V16" si="1">ROUND(T3*U3/10000,0)</f>
        <v>18761</v>
      </c>
      <c r="W3" s="1212"/>
      <c r="X3" s="1212"/>
      <c r="Y3" s="1212"/>
      <c r="Z3" s="1212"/>
      <c r="AA3" s="1212"/>
      <c r="AB3" s="1212"/>
      <c r="AC3" s="1213"/>
      <c r="AD3" s="1214"/>
      <c r="AE3" s="1214"/>
      <c r="AF3" s="1214"/>
      <c r="AG3" s="1214"/>
      <c r="AH3" s="1214"/>
      <c r="AI3" s="1214"/>
      <c r="AJ3" s="1215"/>
    </row>
    <row r="4" spans="1:36" ht="15.6">
      <c r="A4" s="3665"/>
      <c r="B4" s="3666"/>
      <c r="C4" s="3666"/>
      <c r="D4" s="3667"/>
      <c r="E4" s="3667"/>
      <c r="F4" s="3667"/>
      <c r="G4" s="3667"/>
      <c r="H4" s="3667"/>
      <c r="I4" s="3667"/>
      <c r="J4" s="3668"/>
      <c r="K4" s="1115"/>
      <c r="L4" s="1999" t="s">
        <v>1946</v>
      </c>
      <c r="M4" s="860">
        <f>SUMPRODUCT((区片价!B55:B86=I2)*(区片价!C3:G3=E2)*(区片价!C55:G86))</f>
        <v>0</v>
      </c>
      <c r="N4" s="862">
        <f>SUMPRODUCT((因素修正幅度!B55:B86=I2)*(因素修正幅度!C3:G3=E2)*(因素修正幅度!C55:G86))</f>
        <v>0</v>
      </c>
      <c r="O4" s="1115"/>
      <c r="P4" s="1115"/>
      <c r="Q4" s="1115"/>
      <c r="R4" s="1208">
        <v>3</v>
      </c>
      <c r="S4" s="3357">
        <f>ROUND(SUMPRODUCT((B106:B110=R4)*(C105:N105=G2)*(C106:N110)),4)</f>
        <v>1.0004999999999999</v>
      </c>
      <c r="T4" s="3357">
        <f t="shared" si="0"/>
        <v>14079</v>
      </c>
      <c r="U4" s="1209"/>
      <c r="V4" s="3357">
        <f t="shared" si="1"/>
        <v>0</v>
      </c>
      <c r="W4" s="1212"/>
      <c r="X4" s="1212"/>
      <c r="Y4" s="1212"/>
      <c r="Z4" s="1212"/>
      <c r="AA4" s="1212"/>
      <c r="AB4" s="1212"/>
      <c r="AC4" s="1213"/>
      <c r="AD4" s="1214"/>
      <c r="AE4" s="1214"/>
      <c r="AF4" s="1214"/>
      <c r="AG4" s="1214"/>
      <c r="AH4" s="1214"/>
      <c r="AI4" s="1214"/>
      <c r="AJ4" s="1215"/>
    </row>
    <row r="5" spans="1:36" s="2010" customFormat="1" ht="15.6" thickBot="1">
      <c r="A5" s="2001" t="s">
        <v>362</v>
      </c>
      <c r="B5" s="2002" t="s">
        <v>1947</v>
      </c>
      <c r="C5" s="749">
        <f>ROUND(IF(E2="商业",C6*C7*C17+C20,(IF(E2="住宅",C6*C13*C17+C20,IF(E2="办公",C6*C12*C17+C20,C6+C20)))),0)</f>
        <v>14860</v>
      </c>
      <c r="D5" s="1335">
        <f>ROUND(C6*C17+C20,0)</f>
        <v>14860</v>
      </c>
      <c r="E5" s="1335"/>
      <c r="F5" s="2003"/>
      <c r="G5" s="2004"/>
      <c r="H5" s="2004"/>
      <c r="I5" s="2004"/>
      <c r="J5" s="2005"/>
      <c r="K5" s="2006"/>
      <c r="L5" s="1999" t="s">
        <v>1948</v>
      </c>
      <c r="M5" s="860">
        <f>SUMPRODUCT((区片价!B87:B126=I2)*(区片价!C3:G3=E2)*(区片价!C87:G126))</f>
        <v>14860</v>
      </c>
      <c r="N5" s="862">
        <f>SUMPRODUCT((因素修正幅度!B87:B126=I2)*(因素修正幅度!C3:G3=E2)*(因素修正幅度!C87:G126))</f>
        <v>0.1</v>
      </c>
      <c r="O5" s="1115"/>
      <c r="P5" s="1115"/>
      <c r="Q5" s="1115"/>
      <c r="R5" s="1208">
        <v>4</v>
      </c>
      <c r="S5" s="3357">
        <f>ROUND(SUMPRODUCT((B106:B110=R5)*(C105:N105=G2)*(C106:N110)),4)</f>
        <v>0.88239999999999996</v>
      </c>
      <c r="T5" s="3357">
        <f t="shared" si="0"/>
        <v>12417</v>
      </c>
      <c r="U5" s="1209"/>
      <c r="V5" s="3357">
        <f t="shared" si="1"/>
        <v>0</v>
      </c>
      <c r="W5" s="1212"/>
      <c r="X5" s="1212"/>
      <c r="Y5" s="1212"/>
      <c r="Z5" s="1212"/>
      <c r="AA5" s="1212"/>
      <c r="AB5" s="1212"/>
      <c r="AC5" s="2007"/>
      <c r="AD5" s="2008"/>
      <c r="AE5" s="2008"/>
      <c r="AF5" s="2008"/>
      <c r="AG5" s="2008"/>
      <c r="AH5" s="2008"/>
      <c r="AI5" s="2008"/>
      <c r="AJ5" s="2009"/>
    </row>
    <row r="6" spans="1:36" ht="15.6" thickBot="1">
      <c r="A6" s="2011" t="s">
        <v>1949</v>
      </c>
      <c r="B6" s="2012" t="s">
        <v>1950</v>
      </c>
      <c r="C6" s="750">
        <f>SUMIF(L1:L12,G2,M1:M12)</f>
        <v>14860</v>
      </c>
      <c r="D6" s="2013"/>
      <c r="E6" s="2014"/>
      <c r="F6" s="2014"/>
      <c r="G6" s="2015"/>
      <c r="H6" s="2015"/>
      <c r="I6" s="2015"/>
      <c r="J6" s="2016"/>
      <c r="K6" s="1380"/>
      <c r="L6" s="1999" t="s">
        <v>1951</v>
      </c>
      <c r="M6" s="860">
        <f>SUMPRODUCT((区片价!B127:B189=I2)*(区片价!C3:G3=E2)*(区片价!C127:G189))</f>
        <v>0</v>
      </c>
      <c r="N6" s="862">
        <f>SUMPRODUCT((因素修正幅度!B127:B189=I2)*(因素修正幅度!C3:G3=E2)*(因素修正幅度!C127:G189))</f>
        <v>0</v>
      </c>
      <c r="O6" s="1115"/>
      <c r="P6" s="1115"/>
      <c r="Q6" s="1115"/>
      <c r="R6" s="1208">
        <v>5</v>
      </c>
      <c r="S6" s="3357">
        <f>ROUND(SUMPRODUCT((B106:B110=R6)*(C105:N105=G2)*(C106:N110)),4)</f>
        <v>0.84799999999999998</v>
      </c>
      <c r="T6" s="3357">
        <f t="shared" si="0"/>
        <v>11933</v>
      </c>
      <c r="U6" s="1209"/>
      <c r="V6" s="3357">
        <f t="shared" si="1"/>
        <v>0</v>
      </c>
      <c r="W6" s="1212"/>
      <c r="X6" s="1212"/>
      <c r="Y6" s="1212"/>
      <c r="Z6" s="1212"/>
      <c r="AA6" s="1212"/>
      <c r="AB6" s="1212"/>
      <c r="AC6" s="2007"/>
      <c r="AD6" s="2008"/>
      <c r="AE6" s="2008"/>
      <c r="AF6" s="2008"/>
      <c r="AG6" s="2008"/>
      <c r="AH6" s="2008"/>
      <c r="AI6" s="2008"/>
      <c r="AJ6" s="2009"/>
    </row>
    <row r="7" spans="1:36" ht="24.6" thickBot="1">
      <c r="A7" s="3300" t="s">
        <v>3244</v>
      </c>
      <c r="B7" s="2017" t="s">
        <v>1952</v>
      </c>
      <c r="C7" s="751">
        <f>IF(C8="不临65条商业街",1,ROUND(1+(1.6*E8+1.2*E9+0.8*E10+0.4*E11)*C9,4))</f>
        <v>1</v>
      </c>
      <c r="D7" s="2018" t="s">
        <v>1953</v>
      </c>
      <c r="E7" s="772"/>
      <c r="F7" s="2019"/>
      <c r="G7" s="2020"/>
      <c r="H7" s="2020"/>
      <c r="I7" s="2020"/>
      <c r="J7" s="2021"/>
      <c r="K7" s="1380"/>
      <c r="L7" s="1999" t="s">
        <v>1954</v>
      </c>
      <c r="M7" s="860">
        <f>SUMPRODUCT((区片价!B190:B233=I2)*(区片价!C3:G3=E2)*(区片价!C190:G233))</f>
        <v>0</v>
      </c>
      <c r="N7" s="862">
        <f>SUMPRODUCT((因素修正幅度!B190:B233=I2)*(因素修正幅度!C3:G3=E2)*(因素修正幅度!C190:G233))</f>
        <v>0</v>
      </c>
      <c r="O7" s="1115"/>
      <c r="P7" s="1115"/>
      <c r="Q7" s="1115"/>
      <c r="R7" s="1208">
        <v>6</v>
      </c>
      <c r="S7" s="3415"/>
      <c r="T7" s="3357">
        <f t="shared" si="0"/>
        <v>0</v>
      </c>
      <c r="U7" s="1209"/>
      <c r="V7" s="3357">
        <f t="shared" si="1"/>
        <v>0</v>
      </c>
      <c r="W7" s="1354" t="s">
        <v>1955</v>
      </c>
      <c r="X7" s="1210" t="str">
        <f>G2</f>
        <v>五级</v>
      </c>
      <c r="Y7" s="1210" t="s">
        <v>1956</v>
      </c>
      <c r="Z7" s="1211">
        <f>G3</f>
        <v>5.07</v>
      </c>
      <c r="AA7" s="1212"/>
      <c r="AB7" s="1212"/>
      <c r="AC7" s="1213"/>
      <c r="AD7" s="1214"/>
      <c r="AE7" s="1214"/>
      <c r="AF7" s="1214"/>
      <c r="AG7" s="1214"/>
      <c r="AH7" s="1214"/>
      <c r="AI7" s="1214"/>
      <c r="AJ7" s="1215"/>
    </row>
    <row r="8" spans="1:36" ht="26.4">
      <c r="A8" s="3295"/>
      <c r="B8" s="169" t="s">
        <v>1957</v>
      </c>
      <c r="C8" s="2022" t="s">
        <v>3416</v>
      </c>
      <c r="D8" s="752" t="s">
        <v>112</v>
      </c>
      <c r="E8" s="753" t="e">
        <f>ROUND(C11/E7,4)</f>
        <v>#DIV/0!</v>
      </c>
      <c r="F8" s="2023" t="s">
        <v>1958</v>
      </c>
      <c r="G8" s="2024"/>
      <c r="H8" s="2024"/>
      <c r="I8" s="2024"/>
      <c r="J8" s="2025"/>
      <c r="K8" s="1115"/>
      <c r="L8" s="1999" t="s">
        <v>1959</v>
      </c>
      <c r="M8" s="860">
        <f>SUMPRODUCT((区片价!B234:B276=I2)*(区片价!C3:G3=E2)*(区片价!C234:G276))</f>
        <v>0</v>
      </c>
      <c r="N8" s="862">
        <f>SUMPRODUCT((因素修正幅度!B234:B276=I2)*(因素修正幅度!C3:G3=E2)*(因素修正幅度!C234:G276))</f>
        <v>0</v>
      </c>
      <c r="O8" s="1115"/>
      <c r="P8" s="1115"/>
      <c r="Q8" s="1115"/>
      <c r="R8" s="1208">
        <v>7</v>
      </c>
      <c r="S8" s="1209"/>
      <c r="T8" s="3357">
        <f t="shared" si="0"/>
        <v>0</v>
      </c>
      <c r="U8" s="1209"/>
      <c r="V8" s="3357">
        <f t="shared" si="1"/>
        <v>0</v>
      </c>
      <c r="W8" s="3662" t="s">
        <v>1960</v>
      </c>
      <c r="X8" s="3663"/>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5"/>
      <c r="B9" s="169" t="s">
        <v>1973</v>
      </c>
      <c r="C9" s="754">
        <f>SUMIF(修正!C71:C138,C8,修正!E71:E138)</f>
        <v>0</v>
      </c>
      <c r="D9" s="170" t="s">
        <v>113</v>
      </c>
      <c r="E9" s="170" t="e">
        <f>ROUND(C11/E7,4)</f>
        <v>#DIV/0!</v>
      </c>
      <c r="F9" s="2023" t="s">
        <v>1974</v>
      </c>
      <c r="G9" s="2024"/>
      <c r="H9" s="2024"/>
      <c r="I9" s="2024"/>
      <c r="J9" s="2025"/>
      <c r="K9" s="1115"/>
      <c r="L9" s="1999" t="s">
        <v>1975</v>
      </c>
      <c r="M9" s="860">
        <f>SUMPRODUCT((区片价!B277:B326=I2)*(区片价!C3:G3=E2)*(区片价!C277:G326))</f>
        <v>0</v>
      </c>
      <c r="N9" s="862">
        <f>SUMPRODUCT((因素修正幅度!B277:B326=I2)*(因素修正幅度!C3:G3=E2)*(因素修正幅度!C277:G326))</f>
        <v>0</v>
      </c>
      <c r="O9" s="1115"/>
      <c r="P9" s="1115"/>
      <c r="Q9" s="1115"/>
      <c r="R9" s="1208">
        <v>8</v>
      </c>
      <c r="S9" s="1209"/>
      <c r="T9" s="3357">
        <f t="shared" si="0"/>
        <v>0</v>
      </c>
      <c r="U9" s="1209"/>
      <c r="V9" s="3357">
        <f t="shared" si="1"/>
        <v>0</v>
      </c>
      <c r="W9" s="3664"/>
      <c r="X9" s="3358" t="s">
        <v>3275</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69" t="s">
        <v>1976</v>
      </c>
      <c r="C10" s="170">
        <f>SUMIF(修正!C71:C138,C8,修正!F71:F138)</f>
        <v>0</v>
      </c>
      <c r="D10" s="170" t="s">
        <v>114</v>
      </c>
      <c r="E10" s="170" t="e">
        <f>ROUND(C11/E7,4)</f>
        <v>#DIV/0!</v>
      </c>
      <c r="F10" s="2023" t="s">
        <v>1977</v>
      </c>
      <c r="G10" s="2024"/>
      <c r="H10" s="2024"/>
      <c r="I10" s="2024"/>
      <c r="J10" s="2025"/>
      <c r="K10" s="1115"/>
      <c r="L10" s="1999"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357">
        <f t="shared" si="0"/>
        <v>0</v>
      </c>
      <c r="U10" s="1209"/>
      <c r="V10" s="3357">
        <f t="shared" si="1"/>
        <v>0</v>
      </c>
      <c r="W10" s="3664"/>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6" thickBot="1">
      <c r="A11" s="3299"/>
      <c r="B11" s="2026" t="s">
        <v>1979</v>
      </c>
      <c r="C11" s="755">
        <f>C10/4</f>
        <v>0</v>
      </c>
      <c r="D11" s="755" t="s">
        <v>115</v>
      </c>
      <c r="E11" s="755" t="e">
        <f>ROUND(C11/E7,4)</f>
        <v>#DIV/0!</v>
      </c>
      <c r="F11" s="2027" t="s">
        <v>1980</v>
      </c>
      <c r="G11" s="2028"/>
      <c r="H11" s="2028"/>
      <c r="I11" s="2028"/>
      <c r="J11" s="2029"/>
      <c r="K11" s="1115"/>
      <c r="L11" s="1999"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357">
        <f t="shared" si="0"/>
        <v>0</v>
      </c>
      <c r="U11" s="1209"/>
      <c r="V11" s="3357">
        <f t="shared" si="1"/>
        <v>0</v>
      </c>
      <c r="W11" s="1212"/>
      <c r="X11" s="1212"/>
      <c r="Y11" s="1212"/>
      <c r="Z11" s="1212"/>
      <c r="AA11" s="1212"/>
      <c r="AB11" s="1212"/>
      <c r="AC11" s="1213"/>
      <c r="AD11" s="2785"/>
      <c r="AE11" s="2785"/>
      <c r="AF11" s="2785"/>
      <c r="AG11" s="2785"/>
      <c r="AH11" s="2785"/>
      <c r="AI11" s="2785"/>
      <c r="AJ11" s="2786"/>
    </row>
    <row r="12" spans="1:36" ht="25.8" thickBot="1">
      <c r="A12" s="3300" t="s">
        <v>3245</v>
      </c>
      <c r="B12" s="3301" t="s">
        <v>3246</v>
      </c>
      <c r="C12" s="3302"/>
      <c r="D12" s="3303" t="s">
        <v>3247</v>
      </c>
      <c r="E12" s="3304" t="s">
        <v>3248</v>
      </c>
      <c r="F12" s="3305"/>
      <c r="G12" s="3306"/>
      <c r="H12" s="3306"/>
      <c r="I12" s="3306"/>
      <c r="J12" s="3307"/>
      <c r="K12" s="1115"/>
      <c r="L12" s="2035"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357">
        <f t="shared" si="0"/>
        <v>0</v>
      </c>
      <c r="U12" s="1209"/>
      <c r="V12" s="3357">
        <f t="shared" si="1"/>
        <v>0</v>
      </c>
      <c r="W12" s="1212"/>
      <c r="X12" s="1212"/>
      <c r="Y12" s="1212"/>
      <c r="Z12" s="1212"/>
      <c r="AA12" s="1212"/>
      <c r="AB12" s="1212"/>
      <c r="AC12" s="1213"/>
      <c r="AD12" s="2785"/>
      <c r="AE12" s="2785"/>
      <c r="AF12" s="2785"/>
      <c r="AG12" s="2785"/>
      <c r="AH12" s="2785"/>
      <c r="AI12" s="2785"/>
      <c r="AJ12" s="2786"/>
    </row>
    <row r="13" spans="1:36" ht="24.6" thickBot="1">
      <c r="A13" s="3300" t="s">
        <v>3249</v>
      </c>
      <c r="B13" s="2030" t="s">
        <v>1982</v>
      </c>
      <c r="C13" s="751">
        <f>ROUND(C16*D16*E16*F16*G16*H16*I16*J16,4)</f>
        <v>0</v>
      </c>
      <c r="D13" s="2031" t="s">
        <v>1983</v>
      </c>
      <c r="E13" s="2032"/>
      <c r="F13" s="2032"/>
      <c r="G13" s="2033"/>
      <c r="H13" s="2033"/>
      <c r="I13" s="2033"/>
      <c r="J13" s="2034"/>
      <c r="K13" s="1115"/>
      <c r="L13" s="3296"/>
      <c r="M13" s="3297"/>
      <c r="N13" s="3298"/>
      <c r="O13" s="1115"/>
      <c r="P13" s="1115"/>
      <c r="Q13" s="1115"/>
      <c r="R13" s="1208">
        <v>12</v>
      </c>
      <c r="S13" s="1209"/>
      <c r="T13" s="3357">
        <f t="shared" si="0"/>
        <v>0</v>
      </c>
      <c r="U13" s="1209"/>
      <c r="V13" s="3357">
        <f t="shared" si="1"/>
        <v>0</v>
      </c>
      <c r="W13" s="1212"/>
      <c r="X13" s="1212"/>
      <c r="Y13" s="1212"/>
      <c r="Z13" s="1212"/>
      <c r="AA13" s="1212"/>
      <c r="AB13" s="1212"/>
      <c r="AC13" s="1213"/>
      <c r="AD13" s="2785"/>
      <c r="AE13" s="2785"/>
      <c r="AF13" s="2785"/>
      <c r="AG13" s="2785"/>
      <c r="AH13" s="2785"/>
      <c r="AI13" s="2785"/>
      <c r="AJ13" s="2786"/>
    </row>
    <row r="14" spans="1:36" ht="24">
      <c r="A14" s="3294"/>
      <c r="B14" s="2036" t="s">
        <v>1985</v>
      </c>
      <c r="C14" s="2037" t="s">
        <v>1986</v>
      </c>
      <c r="D14" s="1346" t="s">
        <v>1987</v>
      </c>
      <c r="E14" s="27" t="s">
        <v>1988</v>
      </c>
      <c r="F14" s="3308" t="s">
        <v>3250</v>
      </c>
      <c r="G14" s="3308" t="s">
        <v>3250</v>
      </c>
      <c r="H14" s="3308" t="s">
        <v>3250</v>
      </c>
      <c r="I14" s="3308" t="s">
        <v>3250</v>
      </c>
      <c r="J14" s="3308" t="s">
        <v>3250</v>
      </c>
      <c r="K14" s="1115"/>
      <c r="L14" s="1115"/>
      <c r="M14" s="1115"/>
      <c r="N14" s="1115"/>
      <c r="O14" s="1115"/>
      <c r="P14" s="1115"/>
      <c r="Q14" s="1115"/>
      <c r="R14" s="1208">
        <v>13</v>
      </c>
      <c r="S14" s="1209"/>
      <c r="T14" s="3357">
        <f t="shared" si="0"/>
        <v>0</v>
      </c>
      <c r="U14" s="1209"/>
      <c r="V14" s="3357">
        <f t="shared" si="1"/>
        <v>0</v>
      </c>
      <c r="W14" s="1212"/>
      <c r="X14" s="1212"/>
      <c r="Y14" s="1212"/>
      <c r="Z14" s="1212"/>
      <c r="AA14" s="1212"/>
      <c r="AB14" s="1212"/>
      <c r="AC14" s="1213"/>
      <c r="AD14" s="2785"/>
      <c r="AE14" s="2785"/>
      <c r="AF14" s="2785"/>
      <c r="AG14" s="2785"/>
      <c r="AH14" s="2785"/>
      <c r="AI14" s="2785"/>
      <c r="AJ14" s="2786"/>
    </row>
    <row r="15" spans="1:36" ht="15">
      <c r="A15" s="3294"/>
      <c r="B15" s="2038"/>
      <c r="C15" s="2039"/>
      <c r="D15" s="2040"/>
      <c r="E15" s="2041"/>
      <c r="F15" s="3309" t="s">
        <v>3251</v>
      </c>
      <c r="G15" s="3310"/>
      <c r="H15" s="3311"/>
      <c r="I15" s="3312"/>
      <c r="J15" s="3313"/>
      <c r="K15" s="1115"/>
      <c r="L15" s="1115"/>
      <c r="M15" s="1115"/>
      <c r="N15" s="1115"/>
      <c r="O15" s="1115"/>
      <c r="P15" s="1115"/>
      <c r="Q15" s="1115"/>
      <c r="R15" s="1208">
        <v>14</v>
      </c>
      <c r="S15" s="1209"/>
      <c r="T15" s="3357">
        <f t="shared" si="0"/>
        <v>0</v>
      </c>
      <c r="U15" s="1209"/>
      <c r="V15" s="3357">
        <f t="shared" si="1"/>
        <v>0</v>
      </c>
      <c r="W15" s="1212"/>
      <c r="X15" s="1212"/>
      <c r="Y15" s="1212"/>
      <c r="Z15" s="1212"/>
      <c r="AA15" s="1212"/>
      <c r="AB15" s="1212"/>
      <c r="AC15" s="1213"/>
      <c r="AD15" s="2785"/>
      <c r="AE15" s="2785"/>
      <c r="AF15" s="2785"/>
      <c r="AG15" s="2785"/>
      <c r="AH15" s="2785"/>
      <c r="AI15" s="2785"/>
      <c r="AJ15" s="2786"/>
    </row>
    <row r="16" spans="1:36" ht="15.6" thickBot="1">
      <c r="A16" s="3294"/>
      <c r="B16" s="3316" t="s">
        <v>1989</v>
      </c>
      <c r="C16" s="3314"/>
      <c r="D16" s="3314"/>
      <c r="E16" s="3314"/>
      <c r="F16" s="3314">
        <v>1</v>
      </c>
      <c r="G16" s="3314">
        <v>1</v>
      </c>
      <c r="H16" s="3314">
        <v>1</v>
      </c>
      <c r="I16" s="3314">
        <v>1</v>
      </c>
      <c r="J16" s="3315">
        <v>1</v>
      </c>
      <c r="K16" s="1115"/>
      <c r="L16" s="1993"/>
      <c r="M16" s="1993"/>
      <c r="N16" s="1993"/>
      <c r="O16" s="1993"/>
      <c r="P16" s="1993"/>
      <c r="Q16" s="1115"/>
      <c r="R16" s="1208">
        <v>15</v>
      </c>
      <c r="S16" s="1209"/>
      <c r="T16" s="3357">
        <f t="shared" si="0"/>
        <v>0</v>
      </c>
      <c r="U16" s="1209"/>
      <c r="V16" s="3357">
        <f t="shared" si="1"/>
        <v>0</v>
      </c>
      <c r="W16" s="1212"/>
      <c r="X16" s="1212"/>
      <c r="Y16" s="1212"/>
      <c r="Z16" s="1212"/>
      <c r="AA16" s="1212"/>
      <c r="AB16" s="1212"/>
      <c r="AC16" s="1213"/>
      <c r="AD16" s="2785"/>
      <c r="AE16" s="2785"/>
      <c r="AF16" s="2785"/>
      <c r="AG16" s="2785"/>
      <c r="AH16" s="2785"/>
      <c r="AI16" s="2785"/>
      <c r="AJ16" s="2786"/>
    </row>
    <row r="17" spans="1:37" ht="24">
      <c r="A17" s="3326" t="s">
        <v>3252</v>
      </c>
      <c r="B17" s="3317" t="s">
        <v>3253</v>
      </c>
      <c r="C17" s="3327">
        <f>ROUND(IF(OR(E2="工业",E2="公共服务"),1,IF(AND(E18=0,E19=0),1,IF(AND(E18=J24,E19=G19),0.8,IF(E19=0,1+E17*(-0.2),1+E17*G17*(-0.2))))),4)</f>
        <v>1</v>
      </c>
      <c r="D17" s="3318" t="s">
        <v>3254</v>
      </c>
      <c r="E17" s="3327">
        <f>ROUND(G18/I18,2)</f>
        <v>0</v>
      </c>
      <c r="F17" s="3318" t="s">
        <v>3257</v>
      </c>
      <c r="G17" s="3327" t="e">
        <f>ROUND(E19/G19,2)</f>
        <v>#DIV/0!</v>
      </c>
      <c r="H17" s="3327"/>
      <c r="I17" s="3327"/>
      <c r="J17" s="3328"/>
      <c r="K17" s="1115"/>
      <c r="L17" s="1993"/>
      <c r="M17" s="1993"/>
      <c r="N17" s="1993"/>
      <c r="O17" s="1993"/>
      <c r="P17" s="1993"/>
      <c r="Q17" s="1115"/>
      <c r="R17" s="1115"/>
      <c r="S17" s="1115"/>
      <c r="T17" s="1115"/>
      <c r="U17" s="1115"/>
      <c r="V17" s="1115"/>
      <c r="W17" s="1115"/>
      <c r="X17" s="1115"/>
      <c r="Y17" s="1115"/>
      <c r="Z17" s="1116"/>
      <c r="AA17" s="1116"/>
      <c r="AB17" s="1116"/>
      <c r="AC17" s="1116"/>
      <c r="AD17" s="1116"/>
      <c r="AE17" s="1115"/>
      <c r="AF17" s="1115"/>
      <c r="AG17" s="1993"/>
      <c r="AH17" s="1993"/>
      <c r="AI17" s="1993"/>
      <c r="AJ17" s="1993"/>
    </row>
    <row r="18" spans="1:37" s="2010" customFormat="1" ht="13.8">
      <c r="A18" s="3329"/>
      <c r="B18" s="3006"/>
      <c r="C18" s="3324"/>
      <c r="D18" s="3319" t="s">
        <v>3255</v>
      </c>
      <c r="E18" s="3325"/>
      <c r="F18" s="3320" t="s">
        <v>3258</v>
      </c>
      <c r="G18" s="3324">
        <f>ROUND(1-(1/(POWER(1+G24,E18))),4)</f>
        <v>0</v>
      </c>
      <c r="H18" s="3320" t="s">
        <v>3260</v>
      </c>
      <c r="I18" s="3324">
        <f>ROUND(1-(1/(POWER(1+G24,J24))),4)</f>
        <v>0.88249999999999995</v>
      </c>
      <c r="J18" s="3330"/>
      <c r="K18" s="1115"/>
      <c r="L18" s="1993"/>
      <c r="M18" s="1993"/>
      <c r="N18" s="1993"/>
      <c r="O18" s="1993"/>
      <c r="P18" s="1993"/>
      <c r="Q18" s="1115"/>
      <c r="R18" s="1120"/>
      <c r="S18" s="1120"/>
      <c r="T18" s="1116"/>
      <c r="U18" s="1116"/>
      <c r="V18" s="1116"/>
      <c r="W18" s="1115"/>
      <c r="X18" s="1115"/>
      <c r="Y18" s="1115"/>
      <c r="Z18" s="1121"/>
      <c r="AA18" s="1121"/>
      <c r="AB18" s="1121"/>
      <c r="AC18" s="1121"/>
      <c r="AD18" s="1121"/>
      <c r="AE18" s="1116"/>
      <c r="AF18" s="1116"/>
      <c r="AG18" s="2137"/>
      <c r="AH18" s="2137"/>
      <c r="AI18" s="2137"/>
      <c r="AJ18" s="2784"/>
    </row>
    <row r="19" spans="1:37" s="2010" customFormat="1" ht="14.4" thickBot="1">
      <c r="A19" s="3331"/>
      <c r="B19" s="3332"/>
      <c r="C19" s="3333"/>
      <c r="D19" s="3333" t="s">
        <v>3256</v>
      </c>
      <c r="E19" s="3334"/>
      <c r="F19" s="3335" t="s">
        <v>3259</v>
      </c>
      <c r="G19" s="3334"/>
      <c r="H19" s="3333"/>
      <c r="I19" s="3333"/>
      <c r="J19" s="3336"/>
      <c r="K19" s="1115"/>
      <c r="L19" s="1993"/>
      <c r="M19" s="1993"/>
      <c r="N19" s="1993"/>
      <c r="O19" s="1993"/>
      <c r="P19" s="1993"/>
      <c r="Q19" s="1120"/>
      <c r="R19" s="1120"/>
      <c r="S19" s="1120"/>
      <c r="T19" s="1116"/>
      <c r="U19" s="1116"/>
      <c r="V19" s="1116"/>
      <c r="W19" s="1115"/>
      <c r="X19" s="1115"/>
      <c r="Y19" s="1115"/>
      <c r="Z19" s="1121"/>
      <c r="AA19" s="1121"/>
      <c r="AB19" s="1121"/>
      <c r="AC19" s="1121"/>
      <c r="AD19" s="1121"/>
      <c r="AE19" s="1121"/>
      <c r="AF19" s="1120"/>
      <c r="AG19" s="2787"/>
      <c r="AH19" s="2137"/>
      <c r="AI19" s="2788"/>
      <c r="AJ19" s="2788"/>
      <c r="AK19" s="2053"/>
    </row>
    <row r="20" spans="1:37" s="2010" customFormat="1" ht="13.8">
      <c r="A20" s="3669" t="s">
        <v>3261</v>
      </c>
      <c r="B20" s="166" t="s">
        <v>1994</v>
      </c>
      <c r="C20" s="3321">
        <f>ROUND(IF(F21="与级别开发程度一致",0,(G21-E21)/C21),0)</f>
        <v>0</v>
      </c>
      <c r="D20" s="3337" t="s">
        <v>1998</v>
      </c>
      <c r="E20" s="3338"/>
      <c r="F20" s="3675" t="s">
        <v>1995</v>
      </c>
      <c r="G20" s="3676"/>
      <c r="H20" s="3322"/>
      <c r="I20" s="3322"/>
      <c r="J20" s="3323"/>
      <c r="K20" s="2043"/>
      <c r="L20" s="2043"/>
      <c r="M20" s="2043"/>
      <c r="N20" s="2043"/>
      <c r="O20" s="2044"/>
      <c r="P20" s="1993"/>
      <c r="Q20" s="1120"/>
      <c r="R20" s="1120"/>
      <c r="S20" s="1120"/>
      <c r="T20" s="1116"/>
      <c r="U20" s="1116"/>
      <c r="V20" s="1116"/>
      <c r="W20" s="1115"/>
      <c r="X20" s="1115"/>
      <c r="Y20" s="1115"/>
      <c r="Z20" s="1121"/>
      <c r="AA20" s="1121"/>
      <c r="AB20" s="1121"/>
      <c r="AC20" s="1121"/>
      <c r="AD20" s="1121"/>
      <c r="AE20" s="1121"/>
      <c r="AF20" s="1121"/>
      <c r="AG20" s="2784"/>
      <c r="AH20" s="2784"/>
      <c r="AI20" s="2784"/>
      <c r="AJ20" s="2784"/>
    </row>
    <row r="21" spans="1:37" s="2010" customFormat="1" ht="27" thickBot="1">
      <c r="A21" s="3670"/>
      <c r="B21" s="2160" t="s">
        <v>1997</v>
      </c>
      <c r="C21" s="2161">
        <f>IF(E3="M4科研用地",SUMPRODUCT((修正!A2:A7=E3)*(修正!B1:M1=G2)*(修正!B2:M7)),SUMPRODUCT((修正!A2:A7=E2)*(修正!B1:M1=G2)*(修正!B2:M7)))</f>
        <v>2.5</v>
      </c>
      <c r="D21" s="186" t="str">
        <f>IF(OR(G2="八级",G2="九级",G2="十级",G2="十一级",G2="十二级"),"五通一平","七通一平")</f>
        <v>七通一平</v>
      </c>
      <c r="E21" s="2151">
        <f>SUMPRODUCT((修正!B1:M1=G2)*(修正!B17:M17))</f>
        <v>315</v>
      </c>
      <c r="F21" s="2152" t="s">
        <v>3417</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0"/>
      <c r="S21" s="1120"/>
      <c r="T21" s="1116"/>
      <c r="U21" s="1116"/>
      <c r="V21" s="1116"/>
      <c r="W21" s="1115"/>
      <c r="X21" s="1115"/>
      <c r="Y21" s="1115"/>
      <c r="Z21" s="1121"/>
      <c r="AA21" s="1121"/>
      <c r="AB21" s="1121"/>
      <c r="AC21" s="1121"/>
      <c r="AD21" s="1121"/>
      <c r="AE21" s="1121"/>
      <c r="AF21" s="1121"/>
      <c r="AG21" s="2784"/>
      <c r="AH21" s="2784"/>
      <c r="AI21" s="2784"/>
      <c r="AJ21" s="2784"/>
    </row>
    <row r="22" spans="1:37" s="2010" customFormat="1" ht="15" thickBot="1">
      <c r="A22" s="2154" t="s">
        <v>363</v>
      </c>
      <c r="B22" s="2155" t="s">
        <v>2000</v>
      </c>
      <c r="C22" s="2156">
        <f>SUMIF(修正!C20:C51,E3,修正!E20:E51)</f>
        <v>1</v>
      </c>
      <c r="D22" s="2157"/>
      <c r="E22" s="2158"/>
      <c r="F22" s="2158"/>
      <c r="G22" s="2158"/>
      <c r="H22" s="2158"/>
      <c r="I22" s="2158"/>
      <c r="J22" s="2159"/>
      <c r="K22" s="1121"/>
      <c r="L22" s="2784"/>
      <c r="M22" s="2784"/>
      <c r="N22" s="2784"/>
      <c r="O22" s="1119"/>
      <c r="P22" s="1119"/>
      <c r="Q22" s="2784"/>
      <c r="R22" s="1120"/>
      <c r="S22" s="1120"/>
      <c r="T22" s="1116"/>
      <c r="U22" s="1116"/>
      <c r="V22" s="1116"/>
      <c r="W22" s="1115"/>
      <c r="X22" s="1115"/>
      <c r="Y22" s="1115"/>
      <c r="Z22" s="1121"/>
      <c r="AA22" s="1121"/>
      <c r="AB22" s="1121"/>
      <c r="AC22" s="1121"/>
      <c r="AD22" s="1121"/>
      <c r="AE22" s="1121"/>
      <c r="AF22" s="1121"/>
      <c r="AG22" s="2784"/>
      <c r="AH22" s="2784"/>
      <c r="AI22" s="2784"/>
      <c r="AJ22" s="2784"/>
    </row>
    <row r="23" spans="1:37" ht="27" thickBot="1">
      <c r="A23" s="2046" t="s">
        <v>364</v>
      </c>
      <c r="B23" s="2047" t="s">
        <v>2001</v>
      </c>
      <c r="C23" s="75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0" t="s">
        <v>2002</v>
      </c>
      <c r="E23" s="757">
        <v>44197</v>
      </c>
      <c r="F23" s="2050" t="s">
        <v>2003</v>
      </c>
      <c r="G23" s="758">
        <f>'数据-取费表'!B2</f>
        <v>44995</v>
      </c>
      <c r="H23" s="3339" t="s">
        <v>3263</v>
      </c>
      <c r="I23" s="3340" t="str">
        <f>IF(H23="季度增幅（自定义）",SUMIF(N25:N28,E2,O25:O28),"")</f>
        <v/>
      </c>
      <c r="J23" s="3442" t="s">
        <v>3262</v>
      </c>
      <c r="K23" s="1121"/>
      <c r="L23" s="2051" t="s">
        <v>2004</v>
      </c>
      <c r="M23" s="1324">
        <f>ROUND(SUMIF(地价!B2:G2,E2,地价!B16:G16),0)</f>
        <v>350</v>
      </c>
      <c r="N23" s="2052" t="s">
        <v>2005</v>
      </c>
      <c r="O23" s="759">
        <f>ROUNDDOWN(DATEDIF(E23,G23,"M")/3,0)</f>
        <v>8</v>
      </c>
      <c r="P23" s="1118"/>
      <c r="Q23" s="2784"/>
      <c r="R23" s="1120"/>
      <c r="S23" s="1120"/>
      <c r="T23" s="1116"/>
      <c r="U23" s="1116"/>
      <c r="V23" s="1116"/>
      <c r="W23" s="1115"/>
      <c r="X23" s="1115"/>
      <c r="Y23" s="1115"/>
      <c r="Z23" s="1121"/>
      <c r="AA23" s="1121"/>
      <c r="AB23" s="1121"/>
      <c r="AC23" s="1121"/>
      <c r="AD23" s="1121"/>
      <c r="AE23" s="1116"/>
      <c r="AF23" s="1116"/>
      <c r="AG23" s="2137"/>
      <c r="AH23" s="2137"/>
      <c r="AI23" s="2137"/>
      <c r="AJ23" s="2137"/>
      <c r="AK23" s="2049"/>
    </row>
    <row r="24" spans="1:37" s="2010" customFormat="1" ht="24.6" thickBot="1">
      <c r="A24" s="2054" t="s">
        <v>365</v>
      </c>
      <c r="B24" s="2055" t="s">
        <v>2006</v>
      </c>
      <c r="C24" s="760">
        <f>ROUND(POWER(1+G24,J24-I24)*(POWER(1+G24,I24)-1)/(POWER(1+G24,J24)-1),4)</f>
        <v>0.87770000000000004</v>
      </c>
      <c r="D24" s="2056" t="s">
        <v>2007</v>
      </c>
      <c r="E24" s="1331">
        <f>存贷款利率!E22/100</f>
        <v>4.3499999999999997E-2</v>
      </c>
      <c r="F24" s="2056" t="s">
        <v>1999</v>
      </c>
      <c r="G24" s="764">
        <f>SUMIF(M30:Q30,E2,M33:Q33)</f>
        <v>5.5E-2</v>
      </c>
      <c r="H24" s="2056" t="s">
        <v>2008</v>
      </c>
      <c r="I24" s="765">
        <f>SUMIF('数据-取费表'!C6:C15,E2,'数据-取费表'!F6:F15)/COUNTIF('数据-取费表'!C6:C15,E2)</f>
        <v>27.83</v>
      </c>
      <c r="J24" s="766">
        <f>IF(E2="住宅",70,IF(E2="商业",40,50))</f>
        <v>40</v>
      </c>
      <c r="K24" s="1121"/>
      <c r="L24" s="2057" t="s">
        <v>2009</v>
      </c>
      <c r="M24" s="1325">
        <f>ROUND(SUMPRODUCT((地价!A4:A16=YEAR(G23)&amp;"-"&amp;ROUNDUP(MONTH(G23)/3,0))*(地价!B2:G2=E2)*(地价!B4:G16)),0)</f>
        <v>0</v>
      </c>
      <c r="N24" s="2058" t="s">
        <v>2010</v>
      </c>
      <c r="O24" s="2059" t="s">
        <v>2011</v>
      </c>
      <c r="P24" s="2060" t="s">
        <v>2012</v>
      </c>
      <c r="Q24" s="1993"/>
      <c r="R24" s="1120"/>
      <c r="S24" s="1120"/>
      <c r="T24" s="1116"/>
      <c r="U24" s="1116"/>
      <c r="V24" s="1116"/>
      <c r="W24" s="1115"/>
      <c r="X24" s="1115"/>
      <c r="Y24" s="1115"/>
      <c r="Z24" s="1121"/>
      <c r="AA24" s="1121"/>
      <c r="AB24" s="1121"/>
      <c r="AC24" s="1121"/>
      <c r="AD24" s="1121"/>
      <c r="AE24" s="1121"/>
      <c r="AF24" s="1121"/>
      <c r="AG24" s="2784"/>
      <c r="AH24" s="2784"/>
      <c r="AI24" s="2784"/>
      <c r="AJ24" s="2784"/>
    </row>
    <row r="25" spans="1:37" ht="14.4">
      <c r="A25" s="2061" t="s">
        <v>366</v>
      </c>
      <c r="B25" s="2062" t="s">
        <v>3415</v>
      </c>
      <c r="C25" s="767">
        <f>IF(B25="容积率修正",IF(G3&lt;10,D26,J26),C27)</f>
        <v>0</v>
      </c>
      <c r="D25" s="2063"/>
      <c r="E25" s="2063"/>
      <c r="F25" s="2063"/>
      <c r="G25" s="2063"/>
      <c r="H25" s="2063"/>
      <c r="I25" s="2063"/>
      <c r="J25" s="2064"/>
      <c r="K25" s="1121"/>
      <c r="L25" s="2784"/>
      <c r="M25" s="2784"/>
      <c r="N25" s="2065" t="s">
        <v>2013</v>
      </c>
      <c r="O25" s="1169"/>
      <c r="P25" s="1170">
        <f>SUMPRODUCT((地价!A3:A40=YEAR(G23)&amp;"-"&amp;ROUNDUP(MONTH(G23)/3,0))*(地价!AD2:AH2=N25)*(地价!AD3:AH40))</f>
        <v>0</v>
      </c>
      <c r="Q25" s="2784"/>
      <c r="R25" s="1120"/>
      <c r="S25" s="1120"/>
      <c r="T25" s="1116"/>
      <c r="U25" s="1116"/>
      <c r="V25" s="1116"/>
      <c r="W25" s="1115"/>
      <c r="X25" s="1115"/>
      <c r="Y25" s="1115"/>
      <c r="Z25" s="1121"/>
      <c r="AA25" s="1121"/>
      <c r="AB25" s="1121"/>
      <c r="AC25" s="1121"/>
      <c r="AD25" s="1121"/>
      <c r="AE25" s="1116"/>
      <c r="AF25" s="1116"/>
      <c r="AG25" s="2137"/>
      <c r="AH25" s="2137"/>
      <c r="AI25" s="2137"/>
      <c r="AJ25" s="2137"/>
    </row>
    <row r="26" spans="1:37" ht="14.4">
      <c r="A26" s="1951" t="s">
        <v>2014</v>
      </c>
      <c r="B26" s="2066" t="s">
        <v>2015</v>
      </c>
      <c r="C26" s="3341" t="s">
        <v>3264</v>
      </c>
      <c r="D26" s="1348">
        <f>IF(E26=G26,F26,IF(G3&lt;10,ROUND(F26+(H26-F26)*(G3-E26)/(G26-E26),4),"——"))</f>
        <v>0.90680000000000005</v>
      </c>
      <c r="E26" s="748">
        <f>ROUNDDOWN(G3,1)</f>
        <v>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0.90849999999999997</v>
      </c>
      <c r="G26" s="748">
        <f>ROUNDUP(G3,1)</f>
        <v>5.0999999999999996</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0.90600000000000003</v>
      </c>
      <c r="I26" s="3341" t="s">
        <v>3265</v>
      </c>
      <c r="J26" s="768" t="str">
        <f>IF(G3&gt;=10,D115,"——")</f>
        <v>——</v>
      </c>
      <c r="K26" s="1121"/>
      <c r="L26" s="2784"/>
      <c r="M26" s="2784"/>
      <c r="N26" s="2065" t="s">
        <v>2016</v>
      </c>
      <c r="O26" s="1169"/>
      <c r="P26" s="1170">
        <f>SUMPRODUCT((地价!A3:A40=YEAR(G23)&amp;"-"&amp;ROUNDUP(MONTH(G23)/3,0))*(地价!AD2:AH2=N26)*(地价!AD3:AH40))</f>
        <v>0</v>
      </c>
      <c r="Q26" s="1993"/>
      <c r="R26" s="1120"/>
      <c r="S26" s="1120"/>
      <c r="T26" s="1116"/>
      <c r="U26" s="1116"/>
      <c r="V26" s="1116"/>
      <c r="W26" s="1115"/>
      <c r="X26" s="1115"/>
      <c r="Y26" s="1115"/>
      <c r="Z26" s="1121"/>
      <c r="AA26" s="1121"/>
      <c r="AB26" s="1121"/>
      <c r="AC26" s="1121"/>
      <c r="AD26" s="1121"/>
      <c r="AE26" s="1116"/>
      <c r="AF26" s="1116"/>
      <c r="AG26" s="2137"/>
      <c r="AH26" s="2137"/>
      <c r="AI26" s="2137"/>
      <c r="AJ26" s="2137"/>
    </row>
    <row r="27" spans="1:37" ht="15" thickBot="1">
      <c r="A27" s="1951" t="s">
        <v>2017</v>
      </c>
      <c r="B27" s="2067" t="s">
        <v>2018</v>
      </c>
      <c r="C27" s="837">
        <f>ROUND(IF(I3&lt;6,SUMPRODUCT((B106:B110=I3)*(C105:N105=G2)*(C106:N110)),SUMIF(C105:N105,G2,C112:N112)),4)</f>
        <v>0</v>
      </c>
      <c r="D27" s="2042"/>
      <c r="E27" s="2042"/>
      <c r="F27" s="2068"/>
      <c r="G27" s="2069"/>
      <c r="H27" s="2070"/>
      <c r="I27" s="2071"/>
      <c r="J27" s="2072"/>
      <c r="K27" s="1115"/>
      <c r="L27" s="1993"/>
      <c r="M27" s="1993"/>
      <c r="N27" s="2065" t="s">
        <v>2019</v>
      </c>
      <c r="O27" s="1169"/>
      <c r="P27" s="1170">
        <f>SUMPRODUCT((地价!A3:A40=YEAR(G23)&amp;"-"&amp;ROUNDUP(MONTH(G23)/3,0))*(地价!AD2:AH2=N27)*(地价!AD3:AH40))</f>
        <v>0</v>
      </c>
      <c r="Q27" s="1993"/>
      <c r="R27" s="1120"/>
      <c r="S27" s="1120"/>
      <c r="T27" s="1116"/>
      <c r="U27" s="1116"/>
      <c r="V27" s="1116"/>
      <c r="W27" s="1115"/>
      <c r="X27" s="1115"/>
      <c r="Y27" s="1115"/>
      <c r="Z27" s="1121"/>
      <c r="AA27" s="1121"/>
      <c r="AB27" s="1121"/>
      <c r="AC27" s="1121"/>
      <c r="AD27" s="1121"/>
      <c r="AE27" s="1116"/>
      <c r="AF27" s="1116"/>
      <c r="AG27" s="2137"/>
      <c r="AH27" s="2137"/>
      <c r="AI27" s="2137"/>
      <c r="AJ27" s="2137"/>
    </row>
    <row r="28" spans="1:37" ht="15" thickBot="1">
      <c r="A28" s="2054" t="s">
        <v>367</v>
      </c>
      <c r="B28" s="2047" t="s">
        <v>2020</v>
      </c>
      <c r="C28" s="756">
        <f>SUMIF(A47:A101,E2,B47:B101)</f>
        <v>1.0525</v>
      </c>
      <c r="D28" s="2048"/>
      <c r="E28" s="2073"/>
      <c r="F28" s="2073"/>
      <c r="G28" s="2073"/>
      <c r="H28" s="2073"/>
      <c r="I28" s="2073"/>
      <c r="J28" s="2074"/>
      <c r="K28" s="1121"/>
      <c r="L28" s="2784"/>
      <c r="M28" s="2784"/>
      <c r="N28" s="2075"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7"/>
      <c r="AH28" s="2137"/>
      <c r="AI28" s="2137"/>
      <c r="AJ28" s="2137"/>
    </row>
    <row r="29" spans="1:37" ht="15" thickBot="1">
      <c r="A29" s="2054" t="s">
        <v>368</v>
      </c>
      <c r="B29" s="2076" t="s">
        <v>2022</v>
      </c>
      <c r="C29" s="761"/>
      <c r="D29" s="2020"/>
      <c r="E29" s="2020"/>
      <c r="F29" s="2077"/>
      <c r="G29" s="2020"/>
      <c r="H29" s="2020"/>
      <c r="I29" s="2020"/>
      <c r="J29" s="2021"/>
      <c r="K29" s="1115"/>
      <c r="L29" s="1993"/>
      <c r="M29" s="1993"/>
      <c r="N29" s="2781" t="s">
        <v>2023</v>
      </c>
      <c r="O29" s="2782"/>
      <c r="P29" s="2783">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3"/>
      <c r="AH29" s="1993"/>
      <c r="AI29" s="1993"/>
      <c r="AJ29" s="1993"/>
    </row>
    <row r="30" spans="1:37" ht="14.4">
      <c r="A30" s="2078"/>
      <c r="B30" s="2066" t="s">
        <v>2024</v>
      </c>
      <c r="C30" s="2317">
        <f>IF(B25="容积率修正",E33+SUM(E37:E42),SUM(V2:V16)+SUM(E37:E42))</f>
        <v>58218</v>
      </c>
      <c r="D30" s="2079"/>
      <c r="E30" s="2042"/>
      <c r="F30" s="2080"/>
      <c r="G30" s="2042"/>
      <c r="H30" s="2042"/>
      <c r="I30" s="2042"/>
      <c r="J30" s="2081"/>
      <c r="K30" s="1115"/>
      <c r="L30" s="3347" t="s">
        <v>1936</v>
      </c>
      <c r="M30" s="3348" t="s">
        <v>1990</v>
      </c>
      <c r="N30" s="3348" t="s">
        <v>1991</v>
      </c>
      <c r="O30" s="3348" t="s">
        <v>1992</v>
      </c>
      <c r="P30" s="3348" t="s">
        <v>1993</v>
      </c>
      <c r="Q30" s="3351" t="s">
        <v>3269</v>
      </c>
      <c r="R30" s="1120"/>
      <c r="S30" s="1120"/>
      <c r="T30" s="1116"/>
      <c r="U30" s="1116"/>
      <c r="V30" s="1116"/>
      <c r="W30" s="1115"/>
      <c r="X30" s="1115"/>
      <c r="Y30" s="1115"/>
      <c r="Z30" s="1121"/>
      <c r="AA30" s="1121"/>
      <c r="AB30" s="1121"/>
      <c r="AC30" s="1121"/>
      <c r="AD30" s="1121"/>
      <c r="AE30" s="1115"/>
      <c r="AF30" s="1115"/>
      <c r="AG30" s="1993"/>
      <c r="AH30" s="1993"/>
      <c r="AI30" s="1993"/>
      <c r="AJ30" s="1993"/>
    </row>
    <row r="31" spans="1:37" ht="15" thickBot="1">
      <c r="A31" s="2078"/>
      <c r="B31" s="2082" t="s">
        <v>2025</v>
      </c>
      <c r="C31" s="762">
        <f>E34+SUM(I37:I42)</f>
        <v>5340</v>
      </c>
      <c r="D31" s="2083"/>
      <c r="E31" s="2084"/>
      <c r="F31" s="2085"/>
      <c r="G31" s="2084"/>
      <c r="H31" s="2084"/>
      <c r="I31" s="2084"/>
      <c r="J31" s="2086"/>
      <c r="K31" s="1115"/>
      <c r="L31" s="3349" t="s">
        <v>1996</v>
      </c>
      <c r="M31" s="1996">
        <v>0.25</v>
      </c>
      <c r="N31" s="1996">
        <v>0.2</v>
      </c>
      <c r="O31" s="1996">
        <v>0.15</v>
      </c>
      <c r="P31" s="1996">
        <v>0.1</v>
      </c>
      <c r="Q31" s="3344">
        <v>0.15</v>
      </c>
      <c r="R31" s="1120"/>
      <c r="S31" s="1120"/>
      <c r="T31" s="1116"/>
      <c r="U31" s="1116"/>
      <c r="V31" s="1116"/>
      <c r="W31" s="1115"/>
      <c r="X31" s="1115"/>
      <c r="Y31" s="1115"/>
      <c r="Z31" s="1121"/>
      <c r="AA31" s="1121"/>
      <c r="AB31" s="1121"/>
      <c r="AC31" s="1121"/>
      <c r="AD31" s="1121"/>
      <c r="AE31" s="1115"/>
      <c r="AF31" s="1115"/>
      <c r="AG31" s="1993"/>
      <c r="AH31" s="1993"/>
      <c r="AI31" s="1993"/>
      <c r="AJ31" s="1993"/>
    </row>
    <row r="32" spans="1:37" ht="15" thickBot="1">
      <c r="A32" s="2087"/>
      <c r="B32" s="2088" t="s">
        <v>2026</v>
      </c>
      <c r="C32" s="2089" t="s">
        <v>2027</v>
      </c>
      <c r="D32" s="2089" t="s">
        <v>2028</v>
      </c>
      <c r="E32" s="2090" t="s">
        <v>2029</v>
      </c>
      <c r="F32" s="2091"/>
      <c r="G32" s="2033"/>
      <c r="H32" s="2033"/>
      <c r="I32" s="2033"/>
      <c r="J32" s="2034"/>
      <c r="K32" s="1115"/>
      <c r="L32" s="3350" t="s">
        <v>1999</v>
      </c>
      <c r="M32" s="2566">
        <f>ROUND($E$24*(1+M31),3)</f>
        <v>5.3999999999999999E-2</v>
      </c>
      <c r="N32" s="2566">
        <f>ROUND($E$24*(1+N31),3)</f>
        <v>5.1999999999999998E-2</v>
      </c>
      <c r="O32" s="2566">
        <f>ROUND($E$24*(1+O31),3)</f>
        <v>0.05</v>
      </c>
      <c r="P32" s="2566">
        <f>ROUND($E$24*(1+P31),3)</f>
        <v>4.8000000000000001E-2</v>
      </c>
      <c r="Q32" s="3352">
        <f>ROUND($E$24*(1+Q31),3)</f>
        <v>0.05</v>
      </c>
      <c r="R32" s="1120"/>
      <c r="S32" s="1120"/>
      <c r="T32" s="1116"/>
      <c r="U32" s="1116"/>
      <c r="V32" s="1116"/>
      <c r="W32" s="1115"/>
      <c r="X32" s="1115"/>
      <c r="Y32" s="1115"/>
      <c r="Z32" s="1121"/>
      <c r="AA32" s="1121"/>
      <c r="AB32" s="1121"/>
      <c r="AC32" s="1121"/>
      <c r="AD32" s="1121"/>
      <c r="AE32" s="1115"/>
      <c r="AF32" s="1115"/>
      <c r="AG32" s="1993"/>
      <c r="AH32" s="1993"/>
      <c r="AI32" s="1993"/>
      <c r="AJ32" s="1993"/>
    </row>
    <row r="33" spans="1:37" ht="13.8">
      <c r="A33" s="2092"/>
      <c r="B33" s="2093" t="s">
        <v>2030</v>
      </c>
      <c r="C33" s="174">
        <f>ROUND(C5*C22*C23*C24*C25*C28,0)</f>
        <v>0</v>
      </c>
      <c r="D33" s="2094"/>
      <c r="E33" s="769">
        <f>ROUND(C33*D33/10000,0)</f>
        <v>0</v>
      </c>
      <c r="F33" s="3342" t="s">
        <v>3267</v>
      </c>
      <c r="G33" s="2095"/>
      <c r="H33" s="2095"/>
      <c r="I33" s="2095"/>
      <c r="J33" s="2096"/>
      <c r="K33" s="1115"/>
      <c r="L33" s="3345" t="s">
        <v>3270</v>
      </c>
      <c r="M33" s="3346">
        <v>5.5E-2</v>
      </c>
      <c r="N33" s="3346">
        <v>5.5E-2</v>
      </c>
      <c r="O33" s="3346">
        <v>0.05</v>
      </c>
      <c r="P33" s="3346">
        <v>0.05</v>
      </c>
      <c r="Q33" s="3346">
        <v>0.05</v>
      </c>
      <c r="R33" s="1120"/>
      <c r="S33" s="1120"/>
      <c r="T33" s="1116"/>
      <c r="U33" s="1116"/>
      <c r="V33" s="1116"/>
      <c r="W33" s="1115"/>
      <c r="X33" s="1115"/>
      <c r="Y33" s="1115"/>
      <c r="Z33" s="1121"/>
      <c r="AA33" s="1121"/>
      <c r="AB33" s="1121"/>
      <c r="AC33" s="1121"/>
      <c r="AD33" s="1121"/>
      <c r="AE33" s="1116"/>
      <c r="AF33" s="1116"/>
      <c r="AG33" s="2137"/>
      <c r="AH33" s="2137"/>
      <c r="AI33" s="2137"/>
      <c r="AJ33" s="2137"/>
    </row>
    <row r="34" spans="1:37" ht="25.8" thickBot="1">
      <c r="A34" s="2097"/>
      <c r="B34" s="2098" t="s">
        <v>2031</v>
      </c>
      <c r="C34" s="186" t="e">
        <f>ROUND(IF(E2="工业",C33*M42,IF(B25="楼层修正",SUM(V2:V16)*M41*10000/D34,C33*M41)),0)</f>
        <v>#DIV/0!</v>
      </c>
      <c r="D34" s="2099"/>
      <c r="E34" s="769">
        <f>ROUND(IF(B25="楼层修正",SUM(V2:V16)*M40,C34*D34/10000),0)</f>
        <v>0</v>
      </c>
      <c r="F34" s="2100" t="s">
        <v>2032</v>
      </c>
      <c r="G34" s="2101"/>
      <c r="H34" s="2101"/>
      <c r="I34" s="2101"/>
      <c r="J34" s="2102"/>
      <c r="K34" s="1115"/>
      <c r="L34" s="3345" t="s">
        <v>3271</v>
      </c>
      <c r="M34" s="3346">
        <v>6.5000000000000002E-2</v>
      </c>
      <c r="N34" s="3346">
        <v>6.5000000000000002E-2</v>
      </c>
      <c r="O34" s="3346">
        <v>0.06</v>
      </c>
      <c r="P34" s="3346">
        <v>0.06</v>
      </c>
      <c r="Q34" s="3346">
        <v>0.06</v>
      </c>
      <c r="R34" s="1120"/>
      <c r="S34" s="1120"/>
      <c r="T34" s="1116"/>
      <c r="U34" s="1116"/>
      <c r="V34" s="1116"/>
      <c r="W34" s="1115"/>
      <c r="X34" s="1115"/>
      <c r="Y34" s="1115"/>
      <c r="Z34" s="1121"/>
      <c r="AA34" s="1121"/>
      <c r="AB34" s="1121"/>
      <c r="AC34" s="1121"/>
      <c r="AD34" s="1121"/>
      <c r="AE34" s="1116"/>
      <c r="AF34" s="1116"/>
      <c r="AG34" s="2137"/>
      <c r="AH34" s="2137"/>
      <c r="AI34" s="2137"/>
      <c r="AJ34" s="2137"/>
    </row>
    <row r="35" spans="1:37">
      <c r="A35" s="2103"/>
      <c r="B35" s="2104" t="s">
        <v>2033</v>
      </c>
      <c r="C35" s="3343" t="s">
        <v>3268</v>
      </c>
      <c r="D35" s="2033"/>
      <c r="E35" s="2105"/>
      <c r="F35" s="2105"/>
      <c r="G35" s="2031" t="s">
        <v>2034</v>
      </c>
      <c r="H35" s="2033"/>
      <c r="I35" s="2106"/>
      <c r="J35" s="2034"/>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7"/>
      <c r="AH35" s="2137"/>
      <c r="AI35" s="2137"/>
      <c r="AJ35" s="2137"/>
    </row>
    <row r="36" spans="1:37" ht="36.6" thickBot="1">
      <c r="A36" s="2092"/>
      <c r="B36" s="2107"/>
      <c r="C36" s="449" t="s">
        <v>2027</v>
      </c>
      <c r="D36" s="446" t="s">
        <v>2028</v>
      </c>
      <c r="E36" s="446" t="s">
        <v>2029</v>
      </c>
      <c r="F36" s="341" t="s">
        <v>2035</v>
      </c>
      <c r="G36" s="2108" t="s">
        <v>2027</v>
      </c>
      <c r="H36" s="2108" t="s">
        <v>2028</v>
      </c>
      <c r="I36" s="2108" t="s">
        <v>2029</v>
      </c>
      <c r="J36" s="242"/>
      <c r="K36" s="3353" t="s">
        <v>3272</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5"/>
      <c r="S36" s="1115"/>
      <c r="T36" s="1115"/>
      <c r="U36" s="1115"/>
      <c r="V36" s="1115"/>
      <c r="W36" s="1115"/>
      <c r="X36" s="1115"/>
      <c r="Y36" s="1115"/>
      <c r="Z36" s="1116"/>
      <c r="AA36" s="1116"/>
      <c r="AB36" s="1116"/>
      <c r="AC36" s="1116"/>
      <c r="AD36" s="1116"/>
      <c r="AE36" s="1116"/>
      <c r="AF36" s="1116"/>
      <c r="AG36" s="2137"/>
      <c r="AH36" s="2137"/>
      <c r="AI36" s="2137"/>
      <c r="AJ36" s="2137"/>
    </row>
    <row r="37" spans="1:37" ht="24.6" thickBot="1">
      <c r="A37" s="3673"/>
      <c r="B37" s="2109" t="s">
        <v>2036</v>
      </c>
      <c r="C37" s="174">
        <f>ROUND(D5*C22*C23*C24*C28*F37,0)</f>
        <v>8443</v>
      </c>
      <c r="D37" s="2094">
        <f>Sheet1!C10</f>
        <v>2297.4300000000003</v>
      </c>
      <c r="E37" s="170">
        <f>ROUND(C37*D37/10000,0)</f>
        <v>1940</v>
      </c>
      <c r="F37" s="170">
        <f>SUMIF(修正!A57:A68,G2,修正!B57:B68)</f>
        <v>0.6</v>
      </c>
      <c r="G37" s="170">
        <f>ROUND(IF(E2="工业",C37*$M$42,C37*$M$41),0)</f>
        <v>2111</v>
      </c>
      <c r="H37" s="170">
        <f>D37</f>
        <v>2297.4300000000003</v>
      </c>
      <c r="I37" s="170">
        <f>ROUND(G37*H37/10000,0)</f>
        <v>485</v>
      </c>
      <c r="J37" s="3008"/>
      <c r="K37" s="3355" t="s">
        <v>3273</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5"/>
      <c r="S37" s="1115"/>
      <c r="T37" s="1115"/>
      <c r="U37" s="1115"/>
      <c r="V37" s="1115"/>
      <c r="W37" s="1115"/>
      <c r="X37" s="1115"/>
      <c r="Y37" s="1115"/>
      <c r="Z37" s="1116"/>
      <c r="AA37" s="1116"/>
      <c r="AB37" s="1116"/>
      <c r="AC37" s="1116"/>
      <c r="AD37" s="1116"/>
      <c r="AE37" s="1116"/>
      <c r="AF37" s="1116"/>
      <c r="AG37" s="2137"/>
      <c r="AH37" s="2137"/>
      <c r="AI37" s="2137"/>
      <c r="AJ37" s="2137"/>
    </row>
    <row r="38" spans="1:37">
      <c r="A38" s="3674"/>
      <c r="B38" s="2037" t="s">
        <v>2037</v>
      </c>
      <c r="C38" s="174">
        <f>ROUND(D5*C22*C23*C24*C28*F38,0)</f>
        <v>4222</v>
      </c>
      <c r="D38" s="2094">
        <f>Sheet1!E11</f>
        <v>29689.33</v>
      </c>
      <c r="E38" s="170">
        <f t="shared" ref="E38:E42" si="4">ROUND(C38*D38/10000,0)</f>
        <v>12535</v>
      </c>
      <c r="F38" s="170">
        <f>SUMIF(修正!A57:A68,G2,修正!C57:C68)</f>
        <v>0.3</v>
      </c>
      <c r="G38" s="170">
        <f>ROUND(IF(E2="工业",C38*$M$42,C38*$M$41),0)</f>
        <v>1056</v>
      </c>
      <c r="H38" s="170">
        <f t="shared" ref="H38:H42" si="5">D38</f>
        <v>29689.33</v>
      </c>
      <c r="I38" s="170">
        <f t="shared" ref="I38:I42" si="6">ROUND(G38*H38/10000,0)</f>
        <v>3135</v>
      </c>
      <c r="J38" s="3007"/>
      <c r="K38" s="3353">
        <v>5.0000000000000001E-3</v>
      </c>
      <c r="L38" s="3353"/>
      <c r="M38" s="3353"/>
      <c r="N38" s="3353"/>
      <c r="O38" s="3353"/>
      <c r="P38" s="3353"/>
      <c r="Q38" s="3353"/>
      <c r="R38" s="1115"/>
      <c r="S38" s="1115"/>
      <c r="T38" s="1115"/>
      <c r="U38" s="1115"/>
      <c r="V38" s="1115"/>
      <c r="W38" s="1115"/>
      <c r="X38" s="1115"/>
      <c r="Y38" s="1115"/>
      <c r="Z38" s="1116"/>
      <c r="AA38" s="1116"/>
      <c r="AB38" s="1116"/>
      <c r="AC38" s="1116"/>
      <c r="AD38" s="1116"/>
    </row>
    <row r="39" spans="1:37" ht="13.8" thickBot="1">
      <c r="A39" s="3674"/>
      <c r="B39" s="2037" t="s">
        <v>3266</v>
      </c>
      <c r="C39" s="174">
        <f>ROUND(D5*C22*C23*C24*C28*F39,0)</f>
        <v>3518</v>
      </c>
      <c r="D39" s="2094"/>
      <c r="E39" s="170">
        <f t="shared" si="4"/>
        <v>0</v>
      </c>
      <c r="F39" s="170">
        <f>SUMIF(修正!A57:A68,G2,修正!D57:D68)</f>
        <v>0.25</v>
      </c>
      <c r="G39" s="170">
        <f>ROUND(IF(E2="工业",C39*$M$42,C39*$M$41),0)</f>
        <v>880</v>
      </c>
      <c r="H39" s="170">
        <f t="shared" si="5"/>
        <v>0</v>
      </c>
      <c r="I39" s="170">
        <f t="shared" si="6"/>
        <v>0</v>
      </c>
      <c r="J39" s="3007"/>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1"/>
      <c r="B40" s="2037" t="s">
        <v>2038</v>
      </c>
      <c r="C40" s="170">
        <f>ROUND(D5*C22*C23*C24*C28*F40,0)</f>
        <v>3518</v>
      </c>
      <c r="D40" s="2094"/>
      <c r="E40" s="170">
        <f t="shared" si="4"/>
        <v>0</v>
      </c>
      <c r="F40" s="174">
        <f>SUMIF(修正!A57:A68,G2,修正!E57:E68)</f>
        <v>0.25</v>
      </c>
      <c r="G40" s="170">
        <f>ROUND(IF(E2="工业",C40*$M$42,C40*$M$41),0)</f>
        <v>880</v>
      </c>
      <c r="H40" s="170">
        <f t="shared" si="5"/>
        <v>0</v>
      </c>
      <c r="I40" s="170">
        <f t="shared" si="6"/>
        <v>0</v>
      </c>
      <c r="J40" s="2110"/>
      <c r="L40" s="2112" t="s">
        <v>2039</v>
      </c>
      <c r="M40" s="2113"/>
      <c r="Z40" s="1116"/>
      <c r="AA40" s="1116"/>
      <c r="AB40" s="1116"/>
      <c r="AC40" s="1116"/>
      <c r="AD40" s="1116"/>
      <c r="AE40" s="1116"/>
      <c r="AF40" s="1116"/>
      <c r="AG40" s="1116"/>
      <c r="AH40" s="1116"/>
      <c r="AI40" s="1116"/>
      <c r="AJ40" s="1116"/>
    </row>
    <row r="41" spans="1:37" s="1115" customFormat="1">
      <c r="A41" s="2111"/>
      <c r="B41" s="2037" t="s">
        <v>2040</v>
      </c>
      <c r="C41" s="170">
        <f>ROUND(D5*C22*C23*C44*C28*F41,0)</f>
        <v>3736</v>
      </c>
      <c r="D41" s="2094"/>
      <c r="E41" s="170">
        <f t="shared" si="4"/>
        <v>0</v>
      </c>
      <c r="F41" s="174">
        <f>SUMIF(修正!A57:A68,G2,修正!F57:F68)</f>
        <v>0.25</v>
      </c>
      <c r="G41" s="170">
        <f>ROUND(IF(E2="工业",C41*$M$42,C41*$M$41),0)</f>
        <v>934</v>
      </c>
      <c r="H41" s="170">
        <f t="shared" si="5"/>
        <v>0</v>
      </c>
      <c r="I41" s="170">
        <f t="shared" si="6"/>
        <v>0</v>
      </c>
      <c r="J41" s="2110"/>
      <c r="L41" s="3356" t="s">
        <v>3274</v>
      </c>
      <c r="M41" s="2114">
        <v>0.25</v>
      </c>
      <c r="Z41" s="1116"/>
      <c r="AA41" s="1116"/>
      <c r="AB41" s="1116"/>
      <c r="AC41" s="1116"/>
      <c r="AD41" s="1116"/>
      <c r="AE41" s="1116"/>
      <c r="AF41" s="1116"/>
      <c r="AG41" s="1116"/>
      <c r="AH41" s="1116"/>
      <c r="AI41" s="1116"/>
      <c r="AJ41" s="1116"/>
    </row>
    <row r="42" spans="1:37" s="1115" customFormat="1" ht="13.8" thickBot="1">
      <c r="A42" s="2097"/>
      <c r="B42" s="2115" t="s">
        <v>2041</v>
      </c>
      <c r="C42" s="186">
        <f>ROUND(D5*C22*C23*C44*C28*F42,0)</f>
        <v>2242</v>
      </c>
      <c r="D42" s="2099">
        <f>Sheet1!E12</f>
        <v>30659.07</v>
      </c>
      <c r="E42" s="186">
        <f t="shared" si="4"/>
        <v>6874</v>
      </c>
      <c r="F42" s="763">
        <f>SUMIF(修正!A57:A68,G2,修正!G57:G68)</f>
        <v>0.15</v>
      </c>
      <c r="G42" s="186">
        <f>ROUND(IF(E2="工业",C42*$M$42,C42*$M$41),0)</f>
        <v>561</v>
      </c>
      <c r="H42" s="186">
        <f t="shared" si="5"/>
        <v>30659.07</v>
      </c>
      <c r="I42" s="186">
        <f t="shared" si="6"/>
        <v>1720</v>
      </c>
      <c r="J42" s="2116"/>
      <c r="L42" s="2117" t="s">
        <v>1993</v>
      </c>
      <c r="M42" s="2118">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ht="24">
      <c r="A44" s="1116"/>
      <c r="B44" s="2150" t="s">
        <v>2122</v>
      </c>
      <c r="C44" s="341">
        <f>ROUND(POWER(1+E44,H44-G44)*(POWER(1+E44,G44)-1)/(POWER(1+E44,H44)-1),4)</f>
        <v>0.93220000000000003</v>
      </c>
      <c r="D44" s="170" t="s">
        <v>1999</v>
      </c>
      <c r="E44" s="2149">
        <f>G24</f>
        <v>5.5E-2</v>
      </c>
      <c r="F44" s="170" t="s">
        <v>2008</v>
      </c>
      <c r="G44" s="182">
        <f>项目基本情况!F15</f>
        <v>37.840000000000003</v>
      </c>
      <c r="H44" s="170">
        <v>50</v>
      </c>
      <c r="Z44" s="1116"/>
      <c r="AA44" s="1116"/>
      <c r="AB44" s="1116"/>
      <c r="AC44" s="1116"/>
      <c r="AD44" s="1116"/>
      <c r="AE44" s="1116"/>
      <c r="AF44" s="1116"/>
      <c r="AG44" s="1116"/>
      <c r="AH44" s="1116"/>
      <c r="AI44" s="1116"/>
      <c r="AJ44" s="1116"/>
    </row>
    <row r="45" spans="1:37" s="1115" customFormat="1">
      <c r="A45" s="1116"/>
      <c r="B45" s="2119"/>
      <c r="Z45" s="1116"/>
      <c r="AA45" s="1116"/>
      <c r="AB45" s="1116"/>
      <c r="AC45" s="1116"/>
      <c r="AD45" s="1116"/>
      <c r="AE45" s="1116"/>
      <c r="AF45" s="1116"/>
      <c r="AG45" s="1116"/>
      <c r="AH45" s="1116"/>
      <c r="AI45" s="1116"/>
      <c r="AJ45" s="1116"/>
    </row>
    <row r="46" spans="1:37" s="1115" customFormat="1">
      <c r="A46" s="1116"/>
      <c r="B46" s="2119"/>
      <c r="AA46" s="1116"/>
      <c r="AB46" s="1116"/>
      <c r="AC46" s="1116"/>
      <c r="AD46" s="1116"/>
      <c r="AE46" s="1116"/>
      <c r="AF46" s="1116"/>
      <c r="AG46" s="1116"/>
      <c r="AH46" s="1116"/>
      <c r="AI46" s="1116"/>
      <c r="AJ46" s="1116"/>
      <c r="AK46" s="1116"/>
    </row>
    <row r="47" spans="1:37" s="1115" customFormat="1" ht="15" thickBot="1">
      <c r="A47" s="2120" t="s">
        <v>2042</v>
      </c>
      <c r="B47" s="2121"/>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4.4">
      <c r="A48" s="2122" t="s">
        <v>2043</v>
      </c>
      <c r="B48" s="2123">
        <f>1+E50</f>
        <v>1.0525</v>
      </c>
      <c r="C48" s="2124"/>
      <c r="D48" s="737"/>
      <c r="E48" s="738"/>
      <c r="F48" s="2125"/>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5.2">
      <c r="A49" s="2126" t="s">
        <v>2044</v>
      </c>
      <c r="B49" s="1347" t="s">
        <v>2045</v>
      </c>
      <c r="C49" s="1347" t="s">
        <v>2046</v>
      </c>
      <c r="D49" s="1347" t="s">
        <v>2047</v>
      </c>
      <c r="E49" s="739" t="s">
        <v>2048</v>
      </c>
      <c r="F49" s="2127" t="s">
        <v>2049</v>
      </c>
      <c r="G49" s="1347" t="s">
        <v>310</v>
      </c>
      <c r="H49" s="2128" t="s">
        <v>2050</v>
      </c>
      <c r="I49" s="1347" t="s">
        <v>2051</v>
      </c>
      <c r="J49" s="551" t="s">
        <v>1721</v>
      </c>
      <c r="K49" s="551" t="s">
        <v>1722</v>
      </c>
      <c r="L49" s="551" t="s">
        <v>1723</v>
      </c>
      <c r="M49" s="551" t="s">
        <v>1724</v>
      </c>
      <c r="N49" s="551" t="s">
        <v>1725</v>
      </c>
      <c r="AA49" s="1116"/>
      <c r="AB49" s="1116"/>
      <c r="AC49" s="1116"/>
      <c r="AD49" s="1116"/>
      <c r="AE49" s="1116"/>
      <c r="AF49" s="1116"/>
      <c r="AG49" s="1116"/>
      <c r="AH49" s="1116"/>
      <c r="AI49" s="1116"/>
      <c r="AJ49" s="1116"/>
      <c r="AK49" s="1116"/>
    </row>
    <row r="50" spans="1:37" s="1115" customFormat="1" ht="39.6">
      <c r="A50" s="2126" t="s">
        <v>2052</v>
      </c>
      <c r="B50" s="2129" t="str">
        <f>估价对象房地状况!C4</f>
        <v>估价对象位于XX商圈，周边商业氛围成熟，人流量大，商业繁华度好</v>
      </c>
      <c r="C50" s="2040" t="s">
        <v>3419</v>
      </c>
      <c r="D50" s="1061">
        <f t="shared" ref="D50:D58" si="7">SUMIF($J$49:$N$49,C50,J50:N50)</f>
        <v>1.4999999999999999E-2</v>
      </c>
      <c r="E50" s="740">
        <f>ROUND(SUM(D50:D58),4)</f>
        <v>5.2499999999999998E-2</v>
      </c>
      <c r="F50" s="1810">
        <f>IF(E2="商业",SUMIF(L1:L12,G2,N1:N12),"——")</f>
        <v>0.1</v>
      </c>
      <c r="G50" s="1059">
        <f>H50</f>
        <v>1.4999999999999999E-2</v>
      </c>
      <c r="H50" s="1062">
        <f t="shared" ref="H50:H58" si="8">IFERROR(ROUNDDOWN($F$50*I50/2,4),"——")</f>
        <v>1.4999999999999999E-2</v>
      </c>
      <c r="I50" s="3363">
        <v>0.3</v>
      </c>
      <c r="J50" s="1060">
        <f t="shared" ref="J50:J58" si="9">K50+$G50</f>
        <v>0.03</v>
      </c>
      <c r="K50" s="1060">
        <f t="shared" ref="K50:K58" si="10">$L50+$G50</f>
        <v>1.4999999999999999E-2</v>
      </c>
      <c r="L50" s="1060">
        <v>0</v>
      </c>
      <c r="M50" s="1060">
        <f t="shared" ref="M50:N58" si="11">L50-$G50</f>
        <v>-1.4999999999999999E-2</v>
      </c>
      <c r="N50" s="1060">
        <f t="shared" si="11"/>
        <v>-0.03</v>
      </c>
      <c r="AA50" s="1116"/>
      <c r="AB50" s="1116"/>
      <c r="AC50" s="1116"/>
      <c r="AD50" s="1116"/>
      <c r="AE50" s="1116"/>
      <c r="AF50" s="1116"/>
      <c r="AG50" s="1116"/>
      <c r="AH50" s="1116"/>
      <c r="AI50" s="1116"/>
      <c r="AJ50" s="1116"/>
      <c r="AK50" s="1116"/>
    </row>
    <row r="51" spans="1:37" s="1115" customFormat="1" ht="52.8">
      <c r="A51" s="2126" t="s">
        <v>2053</v>
      </c>
      <c r="B51" s="2130" t="str">
        <f>估价对象房地状况!C18</f>
        <v>估价对象周边道路状况、公共交通通达情况、停车便捷程度，综合评价交通便捷度较好</v>
      </c>
      <c r="C51" s="2040" t="s">
        <v>3419</v>
      </c>
      <c r="D51" s="1061">
        <f t="shared" si="7"/>
        <v>1.0999999999999999E-2</v>
      </c>
      <c r="E51" s="741"/>
      <c r="F51" s="1810"/>
      <c r="G51" s="1059">
        <f t="shared" ref="G51:G58" si="12">H51</f>
        <v>1.0999999999999999E-2</v>
      </c>
      <c r="H51" s="1062">
        <f t="shared" si="8"/>
        <v>1.0999999999999999E-2</v>
      </c>
      <c r="I51" s="3363">
        <v>0.22</v>
      </c>
      <c r="J51" s="1060">
        <f t="shared" si="9"/>
        <v>2.1999999999999999E-2</v>
      </c>
      <c r="K51" s="1060">
        <f t="shared" si="10"/>
        <v>1.0999999999999999E-2</v>
      </c>
      <c r="L51" s="1060">
        <v>0</v>
      </c>
      <c r="M51" s="1060">
        <f t="shared" si="11"/>
        <v>-1.0999999999999999E-2</v>
      </c>
      <c r="N51" s="1060">
        <f t="shared" si="11"/>
        <v>-2.1999999999999999E-2</v>
      </c>
      <c r="AA51" s="1116"/>
      <c r="AB51" s="1116"/>
      <c r="AC51" s="1116"/>
      <c r="AD51" s="1116"/>
      <c r="AE51" s="1116"/>
      <c r="AF51" s="1116"/>
      <c r="AG51" s="1116"/>
      <c r="AH51" s="1116"/>
      <c r="AI51" s="1116"/>
      <c r="AJ51" s="1116"/>
      <c r="AK51" s="1116"/>
    </row>
    <row r="52" spans="1:37" s="1115" customFormat="1" ht="48">
      <c r="A52" s="3365" t="s">
        <v>3276</v>
      </c>
      <c r="B52" s="2130">
        <f>估价对象房地状况!C19</f>
        <v>0</v>
      </c>
      <c r="C52" s="2040" t="s">
        <v>3419</v>
      </c>
      <c r="D52" s="1061">
        <f t="shared" si="7"/>
        <v>6.0000000000000001E-3</v>
      </c>
      <c r="E52" s="741"/>
      <c r="F52" s="1810"/>
      <c r="G52" s="1059">
        <f t="shared" si="12"/>
        <v>6.0000000000000001E-3</v>
      </c>
      <c r="H52" s="1062">
        <f t="shared" si="8"/>
        <v>6.0000000000000001E-3</v>
      </c>
      <c r="I52" s="3363">
        <v>0.12</v>
      </c>
      <c r="J52" s="1060">
        <f t="shared" si="9"/>
        <v>1.2E-2</v>
      </c>
      <c r="K52" s="1060">
        <f t="shared" si="10"/>
        <v>6.0000000000000001E-3</v>
      </c>
      <c r="L52" s="1060">
        <v>0</v>
      </c>
      <c r="M52" s="1060">
        <f t="shared" si="11"/>
        <v>-6.0000000000000001E-3</v>
      </c>
      <c r="N52" s="1060">
        <f t="shared" si="11"/>
        <v>-1.2E-2</v>
      </c>
      <c r="AA52" s="1116"/>
      <c r="AB52" s="1116"/>
      <c r="AC52" s="1116"/>
      <c r="AD52" s="1116"/>
      <c r="AE52" s="1116"/>
      <c r="AF52" s="1116"/>
      <c r="AG52" s="1116"/>
      <c r="AH52" s="1116"/>
      <c r="AI52" s="1116"/>
      <c r="AJ52" s="1116"/>
      <c r="AK52" s="1116"/>
    </row>
    <row r="53" spans="1:37" s="1115" customFormat="1" ht="37.200000000000003">
      <c r="A53" s="2126" t="s">
        <v>2054</v>
      </c>
      <c r="B53" s="2131" t="s">
        <v>2055</v>
      </c>
      <c r="C53" s="2040" t="s">
        <v>3419</v>
      </c>
      <c r="D53" s="1061">
        <f t="shared" si="7"/>
        <v>2.5000000000000001E-3</v>
      </c>
      <c r="E53" s="741"/>
      <c r="F53" s="1810"/>
      <c r="G53" s="1059">
        <f t="shared" si="12"/>
        <v>2.5000000000000001E-3</v>
      </c>
      <c r="H53" s="1062">
        <f t="shared" si="8"/>
        <v>2.5000000000000001E-3</v>
      </c>
      <c r="I53" s="3363">
        <v>0.05</v>
      </c>
      <c r="J53" s="1060">
        <f t="shared" si="9"/>
        <v>5.0000000000000001E-3</v>
      </c>
      <c r="K53" s="1060">
        <f t="shared" si="10"/>
        <v>2.5000000000000001E-3</v>
      </c>
      <c r="L53" s="1060">
        <v>0</v>
      </c>
      <c r="M53" s="1060">
        <f t="shared" si="11"/>
        <v>-2.5000000000000001E-3</v>
      </c>
      <c r="N53" s="1060">
        <f t="shared" si="11"/>
        <v>-5.0000000000000001E-3</v>
      </c>
      <c r="AA53" s="1116"/>
      <c r="AB53" s="1116"/>
      <c r="AC53" s="1116"/>
      <c r="AD53" s="1116"/>
      <c r="AE53" s="1116"/>
      <c r="AF53" s="1116"/>
      <c r="AG53" s="1116"/>
      <c r="AH53" s="1116"/>
      <c r="AI53" s="1116"/>
      <c r="AJ53" s="1116"/>
      <c r="AK53" s="1116"/>
    </row>
    <row r="54" spans="1:37" s="1115" customFormat="1" ht="24">
      <c r="A54" s="2126" t="s">
        <v>2056</v>
      </c>
      <c r="B54" s="2130">
        <f>估价对象房地状况!C24</f>
        <v>0</v>
      </c>
      <c r="C54" s="2040" t="s">
        <v>3418</v>
      </c>
      <c r="D54" s="1061">
        <f t="shared" si="7"/>
        <v>0</v>
      </c>
      <c r="E54" s="741"/>
      <c r="F54" s="1810"/>
      <c r="G54" s="1059">
        <f t="shared" si="12"/>
        <v>4.0000000000000001E-3</v>
      </c>
      <c r="H54" s="1062">
        <f t="shared" si="8"/>
        <v>4.0000000000000001E-3</v>
      </c>
      <c r="I54" s="3363">
        <v>0.08</v>
      </c>
      <c r="J54" s="1060">
        <f t="shared" si="9"/>
        <v>8.0000000000000002E-3</v>
      </c>
      <c r="K54" s="1060">
        <f t="shared" si="10"/>
        <v>4.0000000000000001E-3</v>
      </c>
      <c r="L54" s="1060">
        <v>0</v>
      </c>
      <c r="M54" s="1060">
        <f t="shared" si="11"/>
        <v>-4.0000000000000001E-3</v>
      </c>
      <c r="N54" s="1060">
        <f t="shared" si="11"/>
        <v>-8.0000000000000002E-3</v>
      </c>
      <c r="AA54" s="1116"/>
      <c r="AB54" s="1116"/>
      <c r="AC54" s="1116"/>
      <c r="AD54" s="1116"/>
      <c r="AE54" s="1116"/>
      <c r="AF54" s="1116"/>
      <c r="AG54" s="1116"/>
      <c r="AH54" s="1116"/>
      <c r="AI54" s="1116"/>
      <c r="AJ54" s="1116"/>
      <c r="AK54" s="1116"/>
    </row>
    <row r="55" spans="1:37" s="1115" customFormat="1" ht="36">
      <c r="A55" s="2126" t="s">
        <v>2057</v>
      </c>
      <c r="B55" s="2132" t="s">
        <v>2058</v>
      </c>
      <c r="C55" s="2040" t="s">
        <v>3419</v>
      </c>
      <c r="D55" s="1061">
        <f t="shared" si="7"/>
        <v>2.5000000000000001E-3</v>
      </c>
      <c r="E55" s="741"/>
      <c r="F55" s="1810"/>
      <c r="G55" s="1059">
        <f t="shared" si="12"/>
        <v>2.5000000000000001E-3</v>
      </c>
      <c r="H55" s="1062">
        <f t="shared" si="8"/>
        <v>2.5000000000000001E-3</v>
      </c>
      <c r="I55" s="3363">
        <v>0.05</v>
      </c>
      <c r="J55" s="1060">
        <f t="shared" si="9"/>
        <v>5.0000000000000001E-3</v>
      </c>
      <c r="K55" s="1060">
        <f t="shared" si="10"/>
        <v>2.5000000000000001E-3</v>
      </c>
      <c r="L55" s="1060">
        <v>0</v>
      </c>
      <c r="M55" s="1060">
        <f t="shared" si="11"/>
        <v>-2.5000000000000001E-3</v>
      </c>
      <c r="N55" s="1060">
        <f t="shared" si="11"/>
        <v>-5.0000000000000001E-3</v>
      </c>
      <c r="AA55" s="1116"/>
      <c r="AB55" s="1116"/>
      <c r="AC55" s="1116"/>
      <c r="AD55" s="1116"/>
      <c r="AE55" s="1116"/>
      <c r="AF55" s="1116"/>
      <c r="AG55" s="1116"/>
      <c r="AH55" s="1116"/>
      <c r="AI55" s="1116"/>
      <c r="AJ55" s="1116"/>
      <c r="AK55" s="1116"/>
    </row>
    <row r="56" spans="1:37" s="1115" customFormat="1" ht="26.4">
      <c r="A56" s="2133" t="s">
        <v>2059</v>
      </c>
      <c r="B56" s="1322" t="str">
        <f>估价对象房地状况!C21</f>
        <v>估价对象所在区域公共配套设施齐备情况</v>
      </c>
      <c r="C56" s="2040" t="s">
        <v>3420</v>
      </c>
      <c r="D56" s="1061">
        <f t="shared" si="7"/>
        <v>5.0000000000000001E-3</v>
      </c>
      <c r="E56" s="741"/>
      <c r="F56" s="1810"/>
      <c r="G56" s="1059">
        <f t="shared" si="12"/>
        <v>2.5000000000000001E-3</v>
      </c>
      <c r="H56" s="1062">
        <f t="shared" si="8"/>
        <v>2.5000000000000001E-3</v>
      </c>
      <c r="I56" s="3363">
        <v>0.05</v>
      </c>
      <c r="J56" s="1060">
        <f t="shared" si="9"/>
        <v>5.0000000000000001E-3</v>
      </c>
      <c r="K56" s="1060">
        <f t="shared" si="10"/>
        <v>2.5000000000000001E-3</v>
      </c>
      <c r="L56" s="1060">
        <v>0</v>
      </c>
      <c r="M56" s="1060">
        <f t="shared" si="11"/>
        <v>-2.5000000000000001E-3</v>
      </c>
      <c r="N56" s="1060">
        <f t="shared" si="11"/>
        <v>-5.0000000000000001E-3</v>
      </c>
      <c r="AA56" s="1116"/>
      <c r="AB56" s="1116"/>
      <c r="AC56" s="1116"/>
      <c r="AD56" s="1116"/>
      <c r="AE56" s="1116"/>
      <c r="AF56" s="1116"/>
      <c r="AG56" s="1116"/>
      <c r="AH56" s="1116"/>
      <c r="AI56" s="1116"/>
      <c r="AJ56" s="1116"/>
      <c r="AK56" s="1116"/>
    </row>
    <row r="57" spans="1:37" s="1115" customFormat="1" ht="26.4">
      <c r="A57" s="2133" t="s">
        <v>2060</v>
      </c>
      <c r="B57" s="2130" t="str">
        <f>估价对象房地状况!C22</f>
        <v>估价对象所在区域基础设施水平</v>
      </c>
      <c r="C57" s="2040" t="s">
        <v>3420</v>
      </c>
      <c r="D57" s="1061">
        <f t="shared" si="7"/>
        <v>8.0000000000000002E-3</v>
      </c>
      <c r="E57" s="741"/>
      <c r="F57" s="1810"/>
      <c r="G57" s="1059">
        <f t="shared" si="12"/>
        <v>4.0000000000000001E-3</v>
      </c>
      <c r="H57" s="1062">
        <f t="shared" si="8"/>
        <v>4.0000000000000001E-3</v>
      </c>
      <c r="I57" s="3363">
        <v>0.08</v>
      </c>
      <c r="J57" s="1060">
        <f t="shared" si="9"/>
        <v>8.0000000000000002E-3</v>
      </c>
      <c r="K57" s="1060">
        <f t="shared" si="10"/>
        <v>4.0000000000000001E-3</v>
      </c>
      <c r="L57" s="1060">
        <v>0</v>
      </c>
      <c r="M57" s="1060">
        <f t="shared" si="11"/>
        <v>-4.0000000000000001E-3</v>
      </c>
      <c r="N57" s="1060">
        <f t="shared" si="11"/>
        <v>-8.0000000000000002E-3</v>
      </c>
      <c r="AA57" s="1116"/>
      <c r="AB57" s="1116"/>
      <c r="AC57" s="1116"/>
      <c r="AD57" s="1116"/>
      <c r="AE57" s="1116"/>
      <c r="AF57" s="1116"/>
      <c r="AG57" s="1116"/>
      <c r="AH57" s="1116"/>
      <c r="AI57" s="1116"/>
      <c r="AJ57" s="1116"/>
      <c r="AK57" s="1116"/>
    </row>
    <row r="58" spans="1:37" s="1115" customFormat="1" ht="40.200000000000003" thickBot="1">
      <c r="A58" s="2134" t="s">
        <v>2061</v>
      </c>
      <c r="B58" s="2135" t="str">
        <f>估价对象房地状况!C20</f>
        <v>区域自然环境：；人文环境；综合评价环境状况一般</v>
      </c>
      <c r="C58" s="2040" t="s">
        <v>3419</v>
      </c>
      <c r="D58" s="1061">
        <f t="shared" si="7"/>
        <v>2.5000000000000001E-3</v>
      </c>
      <c r="E58" s="742"/>
      <c r="F58" s="1810"/>
      <c r="G58" s="1059">
        <f t="shared" si="12"/>
        <v>2.5000000000000001E-3</v>
      </c>
      <c r="H58" s="1062">
        <f t="shared" si="8"/>
        <v>2.5000000000000001E-3</v>
      </c>
      <c r="I58" s="3364">
        <v>0.05</v>
      </c>
      <c r="J58" s="1060">
        <f t="shared" si="9"/>
        <v>5.0000000000000001E-3</v>
      </c>
      <c r="K58" s="1060">
        <f t="shared" si="10"/>
        <v>2.5000000000000001E-3</v>
      </c>
      <c r="L58" s="1060">
        <v>0</v>
      </c>
      <c r="M58" s="1060">
        <f t="shared" si="11"/>
        <v>-2.5000000000000001E-3</v>
      </c>
      <c r="N58" s="1060">
        <f t="shared" si="11"/>
        <v>-5.0000000000000001E-3</v>
      </c>
      <c r="AA58" s="1116"/>
      <c r="AB58" s="1116"/>
      <c r="AC58" s="1116"/>
      <c r="AD58" s="1116"/>
      <c r="AE58" s="1116"/>
      <c r="AF58" s="1116"/>
      <c r="AG58" s="1116"/>
      <c r="AH58" s="1116"/>
      <c r="AI58" s="1116"/>
      <c r="AJ58" s="1116"/>
      <c r="AK58" s="1116"/>
    </row>
    <row r="59" spans="1:37" s="1115" customFormat="1" ht="14.4">
      <c r="A59" s="2122" t="s">
        <v>2062</v>
      </c>
      <c r="B59" s="2123">
        <f>1+E61</f>
        <v>1</v>
      </c>
      <c r="C59" s="737"/>
      <c r="D59" s="737"/>
      <c r="E59" s="738"/>
      <c r="F59" s="2125"/>
      <c r="G59" s="3"/>
      <c r="H59" s="3"/>
      <c r="I59" s="3"/>
      <c r="J59" s="4"/>
      <c r="K59" s="4"/>
      <c r="L59" s="4"/>
      <c r="M59" s="4"/>
      <c r="N59" s="4"/>
      <c r="AA59" s="1116"/>
      <c r="AB59" s="1116"/>
      <c r="AC59" s="1116"/>
      <c r="AD59" s="1116"/>
      <c r="AE59" s="1116"/>
      <c r="AF59" s="1116"/>
      <c r="AG59" s="1116"/>
      <c r="AH59" s="1116"/>
      <c r="AI59" s="1116"/>
      <c r="AJ59" s="1116"/>
      <c r="AK59" s="1116"/>
    </row>
    <row r="60" spans="1:37" s="1115" customFormat="1" ht="25.2">
      <c r="A60" s="2126" t="s">
        <v>2044</v>
      </c>
      <c r="B60" s="1347"/>
      <c r="C60" s="1347" t="s">
        <v>2046</v>
      </c>
      <c r="D60" s="1347" t="s">
        <v>2047</v>
      </c>
      <c r="E60" s="739" t="s">
        <v>2048</v>
      </c>
      <c r="F60" s="2127" t="s">
        <v>2063</v>
      </c>
      <c r="G60" s="1347" t="s">
        <v>310</v>
      </c>
      <c r="H60" s="2128" t="s">
        <v>2050</v>
      </c>
      <c r="I60" s="1347" t="s">
        <v>2051</v>
      </c>
      <c r="J60" s="551" t="s">
        <v>1721</v>
      </c>
      <c r="K60" s="551" t="s">
        <v>1722</v>
      </c>
      <c r="L60" s="551" t="s">
        <v>1723</v>
      </c>
      <c r="M60" s="551" t="s">
        <v>1724</v>
      </c>
      <c r="N60" s="551" t="s">
        <v>1725</v>
      </c>
      <c r="AA60" s="1116"/>
      <c r="AB60" s="1116"/>
      <c r="AC60" s="1116"/>
      <c r="AD60" s="1116"/>
      <c r="AE60" s="1116"/>
      <c r="AF60" s="1116"/>
      <c r="AG60" s="1116"/>
      <c r="AH60" s="1116"/>
      <c r="AI60" s="1116"/>
      <c r="AJ60" s="1116"/>
      <c r="AK60" s="1116"/>
    </row>
    <row r="61" spans="1:37" s="1115" customFormat="1" ht="39.6">
      <c r="A61" s="2126" t="s">
        <v>2064</v>
      </c>
      <c r="B61" s="2129" t="str">
        <f>估价对象房地状况!C17</f>
        <v>估价对象位于XX商圈，周边办公楼项目较多，入驻率高，办公集聚程度较好</v>
      </c>
      <c r="C61" s="2040"/>
      <c r="D61" s="1061">
        <f t="shared" ref="D61:D69" si="13">SUMIF($J$60:$N$60,C61,J61:N61)</f>
        <v>0</v>
      </c>
      <c r="E61" s="740">
        <f>ROUND(SUM(D61:D69),4)</f>
        <v>0</v>
      </c>
      <c r="F61" s="1810" t="str">
        <f>IF(E2="办公",SUMIF(L1:L12,G2,N1:N12),"——")</f>
        <v>——</v>
      </c>
      <c r="G61" s="1059"/>
      <c r="H61" s="1062" t="str">
        <f t="shared" ref="H61:H69" si="14">IFERROR(ROUNDDOWN($F$61*I61/2,4),"——")</f>
        <v>——</v>
      </c>
      <c r="I61" s="3363">
        <v>0.25</v>
      </c>
      <c r="J61" s="1060">
        <f t="shared" ref="J61:J69" si="15">K61+$G61</f>
        <v>0</v>
      </c>
      <c r="K61" s="1060">
        <f t="shared" ref="K61:K69" si="16">$L61+$G61</f>
        <v>0</v>
      </c>
      <c r="L61" s="1060">
        <v>0</v>
      </c>
      <c r="M61" s="1060">
        <f t="shared" ref="M61:N69" si="17">L61-$G61</f>
        <v>0</v>
      </c>
      <c r="N61" s="1060">
        <f t="shared" si="17"/>
        <v>0</v>
      </c>
      <c r="AA61" s="1116"/>
      <c r="AB61" s="1116"/>
      <c r="AC61" s="1116"/>
      <c r="AD61" s="1116"/>
      <c r="AE61" s="1116"/>
      <c r="AF61" s="1116"/>
      <c r="AG61" s="1116"/>
      <c r="AH61" s="1116"/>
      <c r="AI61" s="1116"/>
      <c r="AJ61" s="1116"/>
      <c r="AK61" s="1116"/>
    </row>
    <row r="62" spans="1:37" s="1115" customFormat="1" ht="52.8">
      <c r="A62" s="2126" t="s">
        <v>2053</v>
      </c>
      <c r="B62" s="2130" t="str">
        <f>估价对象房地状况!C18</f>
        <v>估价对象周边道路状况、公共交通通达情况、停车便捷程度，综合评价交通便捷度较好</v>
      </c>
      <c r="C62" s="2040"/>
      <c r="D62" s="1061">
        <f t="shared" si="13"/>
        <v>0</v>
      </c>
      <c r="E62" s="741"/>
      <c r="F62" s="1810"/>
      <c r="G62" s="1059"/>
      <c r="H62" s="1062" t="str">
        <f t="shared" si="14"/>
        <v>——</v>
      </c>
      <c r="I62" s="3363">
        <v>0.26</v>
      </c>
      <c r="J62" s="1060">
        <f t="shared" si="15"/>
        <v>0</v>
      </c>
      <c r="K62" s="1060">
        <f t="shared" si="16"/>
        <v>0</v>
      </c>
      <c r="L62" s="1060">
        <v>0</v>
      </c>
      <c r="M62" s="1060">
        <f t="shared" si="17"/>
        <v>0</v>
      </c>
      <c r="N62" s="1060">
        <f t="shared" si="17"/>
        <v>0</v>
      </c>
      <c r="AA62" s="1116"/>
      <c r="AB62" s="1116"/>
      <c r="AC62" s="1116"/>
      <c r="AD62" s="1116"/>
      <c r="AE62" s="1116"/>
      <c r="AF62" s="1116"/>
      <c r="AG62" s="1116"/>
      <c r="AH62" s="1116"/>
      <c r="AI62" s="1116"/>
      <c r="AJ62" s="1116"/>
      <c r="AK62" s="1116"/>
    </row>
    <row r="63" spans="1:37" s="1115" customFormat="1" ht="48">
      <c r="A63" s="3365" t="s">
        <v>3276</v>
      </c>
      <c r="B63" s="2130">
        <f>估价对象房地状况!C19</f>
        <v>0</v>
      </c>
      <c r="C63" s="2040"/>
      <c r="D63" s="1061">
        <f t="shared" si="13"/>
        <v>0</v>
      </c>
      <c r="E63" s="741"/>
      <c r="F63" s="1810"/>
      <c r="G63" s="1059"/>
      <c r="H63" s="1062" t="str">
        <f t="shared" si="14"/>
        <v>——</v>
      </c>
      <c r="I63" s="3363">
        <v>0.11</v>
      </c>
      <c r="J63" s="1060">
        <f t="shared" si="15"/>
        <v>0</v>
      </c>
      <c r="K63" s="1060">
        <f t="shared" si="16"/>
        <v>0</v>
      </c>
      <c r="L63" s="1060">
        <v>0</v>
      </c>
      <c r="M63" s="1060">
        <f t="shared" si="17"/>
        <v>0</v>
      </c>
      <c r="N63" s="1060">
        <f t="shared" si="17"/>
        <v>0</v>
      </c>
      <c r="AA63" s="1116"/>
      <c r="AB63" s="1116"/>
      <c r="AC63" s="1116"/>
      <c r="AD63" s="1116"/>
      <c r="AE63" s="1116"/>
      <c r="AF63" s="1116"/>
      <c r="AG63" s="1116"/>
      <c r="AH63" s="1116"/>
      <c r="AI63" s="1116"/>
      <c r="AJ63" s="1116"/>
      <c r="AK63" s="1116"/>
    </row>
    <row r="64" spans="1:37" s="1115" customFormat="1" ht="37.200000000000003">
      <c r="A64" s="2126" t="s">
        <v>2054</v>
      </c>
      <c r="B64" s="2131" t="s">
        <v>2055</v>
      </c>
      <c r="C64" s="2040"/>
      <c r="D64" s="1061">
        <f t="shared" si="13"/>
        <v>0</v>
      </c>
      <c r="E64" s="741"/>
      <c r="F64" s="1810"/>
      <c r="G64" s="1059"/>
      <c r="H64" s="1062" t="str">
        <f t="shared" si="14"/>
        <v>——</v>
      </c>
      <c r="I64" s="3363">
        <v>0.05</v>
      </c>
      <c r="J64" s="1060">
        <f t="shared" si="15"/>
        <v>0</v>
      </c>
      <c r="K64" s="1060">
        <f t="shared" si="16"/>
        <v>0</v>
      </c>
      <c r="L64" s="1060">
        <v>0</v>
      </c>
      <c r="M64" s="1060">
        <f t="shared" si="17"/>
        <v>0</v>
      </c>
      <c r="N64" s="1060">
        <f t="shared" si="17"/>
        <v>0</v>
      </c>
      <c r="AA64" s="1116"/>
      <c r="AB64" s="1116"/>
      <c r="AC64" s="1116"/>
      <c r="AD64" s="1116"/>
      <c r="AE64" s="1116"/>
      <c r="AF64" s="1116"/>
      <c r="AG64" s="1116"/>
      <c r="AH64" s="1116"/>
      <c r="AI64" s="1116"/>
      <c r="AJ64" s="1116"/>
      <c r="AK64" s="1116"/>
    </row>
    <row r="65" spans="1:37" s="1115" customFormat="1" ht="24">
      <c r="A65" s="2126" t="s">
        <v>2056</v>
      </c>
      <c r="B65" s="2130">
        <f>估价对象房地状况!C24</f>
        <v>0</v>
      </c>
      <c r="C65" s="2040"/>
      <c r="D65" s="1061">
        <f t="shared" si="13"/>
        <v>0</v>
      </c>
      <c r="E65" s="741"/>
      <c r="F65" s="1810"/>
      <c r="G65" s="1059"/>
      <c r="H65" s="1062" t="str">
        <f t="shared" si="14"/>
        <v>——</v>
      </c>
      <c r="I65" s="3363">
        <v>0.05</v>
      </c>
      <c r="J65" s="1060">
        <f t="shared" si="15"/>
        <v>0</v>
      </c>
      <c r="K65" s="1060">
        <f t="shared" si="16"/>
        <v>0</v>
      </c>
      <c r="L65" s="1060">
        <v>0</v>
      </c>
      <c r="M65" s="1060">
        <f t="shared" si="17"/>
        <v>0</v>
      </c>
      <c r="N65" s="1060">
        <f t="shared" si="17"/>
        <v>0</v>
      </c>
      <c r="AA65" s="1116"/>
      <c r="AB65" s="1116"/>
      <c r="AC65" s="1116"/>
      <c r="AD65" s="1116"/>
      <c r="AE65" s="1116"/>
      <c r="AF65" s="1116"/>
      <c r="AG65" s="1116"/>
      <c r="AH65" s="1116"/>
      <c r="AI65" s="1116"/>
      <c r="AJ65" s="1116"/>
      <c r="AK65" s="1116"/>
    </row>
    <row r="66" spans="1:37" s="1115" customFormat="1" ht="36">
      <c r="A66" s="2126" t="s">
        <v>2057</v>
      </c>
      <c r="B66" s="2132" t="s">
        <v>2058</v>
      </c>
      <c r="C66" s="2040"/>
      <c r="D66" s="1061">
        <f t="shared" si="13"/>
        <v>0</v>
      </c>
      <c r="E66" s="741"/>
      <c r="F66" s="1810"/>
      <c r="G66" s="1059"/>
      <c r="H66" s="1062" t="str">
        <f t="shared" si="14"/>
        <v>——</v>
      </c>
      <c r="I66" s="3363">
        <v>0.06</v>
      </c>
      <c r="J66" s="1060">
        <f t="shared" si="15"/>
        <v>0</v>
      </c>
      <c r="K66" s="1060">
        <f t="shared" si="16"/>
        <v>0</v>
      </c>
      <c r="L66" s="1060">
        <v>0</v>
      </c>
      <c r="M66" s="1060">
        <f t="shared" si="17"/>
        <v>0</v>
      </c>
      <c r="N66" s="1060">
        <f t="shared" si="17"/>
        <v>0</v>
      </c>
      <c r="AA66" s="1116"/>
      <c r="AB66" s="1116"/>
      <c r="AC66" s="1116"/>
      <c r="AD66" s="1116"/>
      <c r="AE66" s="1116"/>
      <c r="AF66" s="1116"/>
      <c r="AG66" s="1116"/>
      <c r="AH66" s="1116"/>
      <c r="AI66" s="1116"/>
      <c r="AJ66" s="1116"/>
      <c r="AK66" s="1116"/>
    </row>
    <row r="67" spans="1:37" s="1115" customFormat="1" ht="26.4">
      <c r="A67" s="2126" t="s">
        <v>2059</v>
      </c>
      <c r="B67" s="1322" t="str">
        <f>估价对象房地状况!C21</f>
        <v>估价对象所在区域公共配套设施齐备情况</v>
      </c>
      <c r="C67" s="2040"/>
      <c r="D67" s="1061">
        <f t="shared" si="13"/>
        <v>0</v>
      </c>
      <c r="E67" s="741"/>
      <c r="F67" s="1810"/>
      <c r="G67" s="1059"/>
      <c r="H67" s="1062" t="str">
        <f t="shared" si="14"/>
        <v>——</v>
      </c>
      <c r="I67" s="3363">
        <v>0.06</v>
      </c>
      <c r="J67" s="1060">
        <f t="shared" si="15"/>
        <v>0</v>
      </c>
      <c r="K67" s="1060">
        <f t="shared" si="16"/>
        <v>0</v>
      </c>
      <c r="L67" s="1060">
        <v>0</v>
      </c>
      <c r="M67" s="1060">
        <f t="shared" si="17"/>
        <v>0</v>
      </c>
      <c r="N67" s="1060">
        <f t="shared" si="17"/>
        <v>0</v>
      </c>
      <c r="AA67" s="1116"/>
      <c r="AB67" s="1116"/>
      <c r="AC67" s="1116"/>
      <c r="AD67" s="1116"/>
      <c r="AE67" s="1116"/>
      <c r="AF67" s="1116"/>
      <c r="AG67" s="1116"/>
      <c r="AH67" s="1116"/>
      <c r="AI67" s="1116"/>
      <c r="AJ67" s="1116"/>
      <c r="AK67" s="1116"/>
    </row>
    <row r="68" spans="1:37" s="1115" customFormat="1" ht="26.4">
      <c r="A68" s="2126" t="s">
        <v>2060</v>
      </c>
      <c r="B68" s="1322" t="str">
        <f>估价对象房地状况!C22</f>
        <v>估价对象所在区域基础设施水平</v>
      </c>
      <c r="C68" s="2040"/>
      <c r="D68" s="1061">
        <f t="shared" si="13"/>
        <v>0</v>
      </c>
      <c r="E68" s="741"/>
      <c r="F68" s="1810"/>
      <c r="G68" s="1059"/>
      <c r="H68" s="1062" t="str">
        <f t="shared" si="14"/>
        <v>——</v>
      </c>
      <c r="I68" s="3363">
        <v>0.09</v>
      </c>
      <c r="J68" s="1060">
        <f t="shared" si="15"/>
        <v>0</v>
      </c>
      <c r="K68" s="1060">
        <f t="shared" si="16"/>
        <v>0</v>
      </c>
      <c r="L68" s="1060">
        <v>0</v>
      </c>
      <c r="M68" s="1060">
        <f t="shared" si="17"/>
        <v>0</v>
      </c>
      <c r="N68" s="1060">
        <f t="shared" si="17"/>
        <v>0</v>
      </c>
      <c r="AA68" s="1116"/>
      <c r="AB68" s="1116"/>
      <c r="AC68" s="1116"/>
      <c r="AD68" s="1116"/>
      <c r="AE68" s="1116"/>
      <c r="AF68" s="1116"/>
      <c r="AG68" s="1116"/>
      <c r="AH68" s="1116"/>
      <c r="AI68" s="1116"/>
      <c r="AJ68" s="1116"/>
      <c r="AK68" s="1116"/>
    </row>
    <row r="69" spans="1:37" s="1115" customFormat="1" ht="40.200000000000003" thickBot="1">
      <c r="A69" s="2134" t="s">
        <v>2061</v>
      </c>
      <c r="B69" s="2136" t="str">
        <f>估价对象房地状况!C20</f>
        <v>区域自然环境：；人文环境；综合评价环境状况一般</v>
      </c>
      <c r="C69" s="2040"/>
      <c r="D69" s="1061">
        <f t="shared" si="13"/>
        <v>0</v>
      </c>
      <c r="E69" s="742"/>
      <c r="F69" s="1810"/>
      <c r="G69" s="1059"/>
      <c r="H69" s="1062" t="str">
        <f t="shared" si="14"/>
        <v>——</v>
      </c>
      <c r="I69" s="3364">
        <v>7.0000000000000007E-2</v>
      </c>
      <c r="J69" s="1060">
        <f t="shared" si="15"/>
        <v>0</v>
      </c>
      <c r="K69" s="1060">
        <f t="shared" si="16"/>
        <v>0</v>
      </c>
      <c r="L69" s="1060">
        <v>0</v>
      </c>
      <c r="M69" s="1060">
        <f t="shared" si="17"/>
        <v>0</v>
      </c>
      <c r="N69" s="1060">
        <f t="shared" si="17"/>
        <v>0</v>
      </c>
      <c r="AA69" s="1116"/>
      <c r="AB69" s="1116"/>
      <c r="AC69" s="1116"/>
      <c r="AD69" s="1116"/>
      <c r="AE69" s="1116"/>
      <c r="AF69" s="1116"/>
      <c r="AG69" s="1116"/>
      <c r="AH69" s="1116"/>
      <c r="AI69" s="1116"/>
      <c r="AJ69" s="1116"/>
      <c r="AK69" s="1116"/>
    </row>
    <row r="70" spans="1:37" s="1115" customFormat="1" ht="14.4">
      <c r="A70" s="2122" t="s">
        <v>2065</v>
      </c>
      <c r="B70" s="2123">
        <f>1+E72</f>
        <v>1</v>
      </c>
      <c r="C70" s="737"/>
      <c r="D70" s="737"/>
      <c r="E70" s="738"/>
      <c r="F70" s="2125"/>
      <c r="G70" s="3"/>
      <c r="H70" s="3"/>
      <c r="I70" s="3"/>
      <c r="J70" s="4"/>
      <c r="K70" s="4"/>
      <c r="L70" s="4"/>
      <c r="M70" s="4"/>
      <c r="N70" s="4"/>
      <c r="AA70" s="1116"/>
      <c r="AB70" s="1116"/>
      <c r="AC70" s="1116"/>
      <c r="AD70" s="1116"/>
      <c r="AE70" s="1116"/>
      <c r="AF70" s="1116"/>
      <c r="AG70" s="1116"/>
      <c r="AH70" s="1116"/>
      <c r="AI70" s="1116"/>
      <c r="AJ70" s="1116"/>
      <c r="AK70" s="1116"/>
    </row>
    <row r="71" spans="1:37" s="1115" customFormat="1" ht="25.2">
      <c r="A71" s="2126" t="s">
        <v>2044</v>
      </c>
      <c r="B71" s="1347"/>
      <c r="C71" s="1347" t="s">
        <v>2046</v>
      </c>
      <c r="D71" s="1347" t="s">
        <v>2047</v>
      </c>
      <c r="E71" s="739" t="s">
        <v>2048</v>
      </c>
      <c r="F71" s="2127" t="s">
        <v>2063</v>
      </c>
      <c r="G71" s="1347" t="s">
        <v>310</v>
      </c>
      <c r="H71" s="2128" t="s">
        <v>2050</v>
      </c>
      <c r="I71" s="1347" t="s">
        <v>2051</v>
      </c>
      <c r="J71" s="551" t="s">
        <v>1721</v>
      </c>
      <c r="K71" s="551" t="s">
        <v>1722</v>
      </c>
      <c r="L71" s="551" t="s">
        <v>1723</v>
      </c>
      <c r="M71" s="551" t="s">
        <v>1724</v>
      </c>
      <c r="N71" s="551" t="s">
        <v>1725</v>
      </c>
      <c r="AA71" s="1116"/>
      <c r="AB71" s="1116"/>
      <c r="AC71" s="1116"/>
      <c r="AD71" s="1116"/>
      <c r="AE71" s="1116"/>
      <c r="AF71" s="1116"/>
      <c r="AG71" s="1116"/>
      <c r="AH71" s="1116"/>
      <c r="AI71" s="1116"/>
      <c r="AJ71" s="1116"/>
      <c r="AK71" s="1116"/>
    </row>
    <row r="72" spans="1:37" s="1115" customFormat="1" ht="52.8">
      <c r="A72" s="2126" t="s">
        <v>2066</v>
      </c>
      <c r="B72" s="2129" t="str">
        <f>估价对象房地状况!C15</f>
        <v>估价对象周边居住用地比例、居住小区规模和社区发展完善程度，综合评价居住社区成熟度一般</v>
      </c>
      <c r="C72" s="2040"/>
      <c r="D72" s="1061">
        <f t="shared" ref="D72:D80" si="18">SUMIF($J$71:$N$71,C72,J72:N72)</f>
        <v>0</v>
      </c>
      <c r="E72" s="740">
        <f>ROUND(SUM(D72:D80),4)</f>
        <v>0</v>
      </c>
      <c r="F72" s="1810" t="str">
        <f>IF(E2="住宅",SUMIF(L1:L12,G2,N1:N12),"——")</f>
        <v>——</v>
      </c>
      <c r="G72" s="1059"/>
      <c r="H72" s="1062" t="str">
        <f t="shared" ref="H72:H80" si="19">IFERROR(ROUNDDOWN($F$72*I72/2,4),"——")</f>
        <v>——</v>
      </c>
      <c r="I72" s="3363">
        <v>0.2</v>
      </c>
      <c r="J72" s="1060">
        <f t="shared" ref="J72:J80" si="20">K72+$G72</f>
        <v>0</v>
      </c>
      <c r="K72" s="1060">
        <f t="shared" ref="K72:K80" si="21">$L72+$G72</f>
        <v>0</v>
      </c>
      <c r="L72" s="1060">
        <v>0</v>
      </c>
      <c r="M72" s="1060">
        <f t="shared" ref="M72:N80" si="22">L72-$G72</f>
        <v>0</v>
      </c>
      <c r="N72" s="1060">
        <f t="shared" si="22"/>
        <v>0</v>
      </c>
      <c r="AA72" s="1116"/>
      <c r="AB72" s="1116"/>
      <c r="AC72" s="1116"/>
      <c r="AD72" s="1116"/>
      <c r="AE72" s="1116"/>
      <c r="AF72" s="1116"/>
      <c r="AG72" s="1116"/>
      <c r="AH72" s="1116"/>
      <c r="AI72" s="1116"/>
      <c r="AJ72" s="1116"/>
      <c r="AK72" s="1116"/>
    </row>
    <row r="73" spans="1:37" s="1115" customFormat="1" ht="52.8">
      <c r="A73" s="2126" t="s">
        <v>2053</v>
      </c>
      <c r="B73" s="2130" t="str">
        <f>估价对象房地状况!C18</f>
        <v>估价对象周边道路状况、公共交通通达情况、停车便捷程度，综合评价交通便捷度较好</v>
      </c>
      <c r="C73" s="2040"/>
      <c r="D73" s="1061">
        <f t="shared" si="18"/>
        <v>0</v>
      </c>
      <c r="E73" s="743"/>
      <c r="F73" s="1810"/>
      <c r="G73" s="1059"/>
      <c r="H73" s="1062" t="str">
        <f t="shared" si="19"/>
        <v>——</v>
      </c>
      <c r="I73" s="3363">
        <v>0.26</v>
      </c>
      <c r="J73" s="1060">
        <f t="shared" si="20"/>
        <v>0</v>
      </c>
      <c r="K73" s="1060">
        <f t="shared" si="21"/>
        <v>0</v>
      </c>
      <c r="L73" s="1060">
        <v>0</v>
      </c>
      <c r="M73" s="1060">
        <f t="shared" si="22"/>
        <v>0</v>
      </c>
      <c r="N73" s="1060">
        <f t="shared" si="22"/>
        <v>0</v>
      </c>
      <c r="AA73" s="1116"/>
      <c r="AB73" s="1116"/>
      <c r="AC73" s="1116"/>
      <c r="AD73" s="1116"/>
      <c r="AE73" s="1116"/>
      <c r="AF73" s="1116"/>
      <c r="AG73" s="1116"/>
      <c r="AH73" s="1116"/>
      <c r="AI73" s="1116"/>
      <c r="AJ73" s="1116"/>
      <c r="AK73" s="1116"/>
    </row>
    <row r="74" spans="1:37" s="1993" customFormat="1" ht="48">
      <c r="A74" s="3365" t="s">
        <v>3276</v>
      </c>
      <c r="B74" s="2130">
        <f>估价对象房地状况!C19</f>
        <v>0</v>
      </c>
      <c r="C74" s="2040"/>
      <c r="D74" s="1061">
        <f t="shared" si="18"/>
        <v>0</v>
      </c>
      <c r="E74" s="743"/>
      <c r="F74" s="1810"/>
      <c r="G74" s="1059"/>
      <c r="H74" s="1062" t="str">
        <f t="shared" si="19"/>
        <v>——</v>
      </c>
      <c r="I74" s="3363">
        <v>0.1</v>
      </c>
      <c r="J74" s="1060">
        <f t="shared" si="20"/>
        <v>0</v>
      </c>
      <c r="K74" s="1060">
        <f t="shared" si="21"/>
        <v>0</v>
      </c>
      <c r="L74" s="1060">
        <v>0</v>
      </c>
      <c r="M74" s="1060">
        <f t="shared" si="22"/>
        <v>0</v>
      </c>
      <c r="N74" s="1060">
        <f t="shared" si="22"/>
        <v>0</v>
      </c>
      <c r="O74" s="1115"/>
      <c r="P74" s="1115"/>
      <c r="Q74" s="1115"/>
      <c r="AA74" s="2137"/>
      <c r="AB74" s="1116"/>
      <c r="AC74" s="1116"/>
      <c r="AD74" s="1116"/>
      <c r="AE74" s="1116"/>
      <c r="AF74" s="1116"/>
      <c r="AG74" s="1116"/>
      <c r="AH74" s="2137"/>
      <c r="AI74" s="2137"/>
      <c r="AJ74" s="2137"/>
      <c r="AK74" s="2137"/>
    </row>
    <row r="75" spans="1:37" ht="13.8">
      <c r="A75" s="2126" t="s">
        <v>2067</v>
      </c>
      <c r="B75" s="2130">
        <f>估价对象房地状况!C24</f>
        <v>0</v>
      </c>
      <c r="C75" s="2040"/>
      <c r="D75" s="1061">
        <f t="shared" si="18"/>
        <v>0</v>
      </c>
      <c r="E75" s="743"/>
      <c r="F75" s="1810"/>
      <c r="G75" s="1059"/>
      <c r="H75" s="1062" t="str">
        <f t="shared" si="19"/>
        <v>——</v>
      </c>
      <c r="I75" s="3363">
        <v>0.05</v>
      </c>
      <c r="J75" s="1060">
        <f t="shared" si="20"/>
        <v>0</v>
      </c>
      <c r="K75" s="1060">
        <f t="shared" si="21"/>
        <v>0</v>
      </c>
      <c r="L75" s="1060">
        <v>0</v>
      </c>
      <c r="M75" s="1060">
        <f t="shared" si="22"/>
        <v>0</v>
      </c>
      <c r="N75" s="1060">
        <f t="shared" si="22"/>
        <v>0</v>
      </c>
      <c r="O75" s="1115"/>
      <c r="P75" s="1115"/>
      <c r="Q75" s="1993"/>
      <c r="Z75" s="1994"/>
      <c r="AA75" s="2049"/>
      <c r="AG75" s="1117"/>
      <c r="AK75" s="2049"/>
    </row>
    <row r="76" spans="1:37" ht="26.4">
      <c r="A76" s="2126" t="s">
        <v>2059</v>
      </c>
      <c r="B76" s="1322" t="str">
        <f>估价对象房地状况!C21</f>
        <v>估价对象所在区域公共配套设施齐备情况</v>
      </c>
      <c r="C76" s="2040"/>
      <c r="D76" s="1061">
        <f t="shared" si="18"/>
        <v>0</v>
      </c>
      <c r="E76" s="743"/>
      <c r="F76" s="1810"/>
      <c r="G76" s="1059"/>
      <c r="H76" s="1062" t="str">
        <f t="shared" si="19"/>
        <v>——</v>
      </c>
      <c r="I76" s="3363">
        <v>0.08</v>
      </c>
      <c r="J76" s="1060">
        <f t="shared" si="20"/>
        <v>0</v>
      </c>
      <c r="K76" s="1060">
        <f t="shared" si="21"/>
        <v>0</v>
      </c>
      <c r="L76" s="1060">
        <v>0</v>
      </c>
      <c r="M76" s="1060">
        <f t="shared" si="22"/>
        <v>0</v>
      </c>
      <c r="N76" s="1060">
        <f t="shared" si="22"/>
        <v>0</v>
      </c>
      <c r="O76" s="1115"/>
      <c r="P76" s="1115"/>
      <c r="Z76" s="1994"/>
      <c r="AA76" s="2049"/>
      <c r="AG76" s="1117"/>
      <c r="AK76" s="2049"/>
    </row>
    <row r="77" spans="1:37" ht="26.4">
      <c r="A77" s="2126" t="s">
        <v>2060</v>
      </c>
      <c r="B77" s="1322" t="str">
        <f>估价对象房地状况!C22</f>
        <v>估价对象所在区域基础设施水平</v>
      </c>
      <c r="C77" s="2040"/>
      <c r="D77" s="1061">
        <f t="shared" si="18"/>
        <v>0</v>
      </c>
      <c r="E77" s="743"/>
      <c r="F77" s="1810"/>
      <c r="G77" s="1059"/>
      <c r="H77" s="1062" t="str">
        <f t="shared" si="19"/>
        <v>——</v>
      </c>
      <c r="I77" s="3363">
        <v>0.09</v>
      </c>
      <c r="J77" s="1060">
        <f t="shared" si="20"/>
        <v>0</v>
      </c>
      <c r="K77" s="1060">
        <f t="shared" si="21"/>
        <v>0</v>
      </c>
      <c r="L77" s="1060">
        <v>0</v>
      </c>
      <c r="M77" s="1060">
        <f t="shared" si="22"/>
        <v>0</v>
      </c>
      <c r="N77" s="1060">
        <f t="shared" si="22"/>
        <v>0</v>
      </c>
      <c r="O77" s="1115"/>
      <c r="P77" s="1115"/>
      <c r="Z77" s="1994"/>
      <c r="AA77" s="2049"/>
      <c r="AG77" s="1117"/>
      <c r="AK77" s="2049"/>
    </row>
    <row r="78" spans="1:37" ht="36">
      <c r="A78" s="2126" t="s">
        <v>2057</v>
      </c>
      <c r="B78" s="2132" t="s">
        <v>2058</v>
      </c>
      <c r="C78" s="2040"/>
      <c r="D78" s="1061">
        <f t="shared" si="18"/>
        <v>0</v>
      </c>
      <c r="E78" s="743"/>
      <c r="F78" s="1810"/>
      <c r="G78" s="1059"/>
      <c r="H78" s="1062" t="str">
        <f t="shared" si="19"/>
        <v>——</v>
      </c>
      <c r="I78" s="3363">
        <v>0.05</v>
      </c>
      <c r="J78" s="1060">
        <f t="shared" si="20"/>
        <v>0</v>
      </c>
      <c r="K78" s="1060">
        <f t="shared" si="21"/>
        <v>0</v>
      </c>
      <c r="L78" s="1060">
        <v>0</v>
      </c>
      <c r="M78" s="1060">
        <f t="shared" si="22"/>
        <v>0</v>
      </c>
      <c r="N78" s="1060">
        <f t="shared" si="22"/>
        <v>0</v>
      </c>
      <c r="O78" s="1993"/>
      <c r="P78" s="1993"/>
      <c r="Z78" s="1994"/>
      <c r="AA78" s="2049"/>
      <c r="AG78" s="1117"/>
      <c r="AK78" s="2049"/>
    </row>
    <row r="79" spans="1:37" ht="39.6">
      <c r="A79" s="2126" t="s">
        <v>2061</v>
      </c>
      <c r="B79" s="2129" t="str">
        <f>估价对象房地状况!C20</f>
        <v>区域自然环境：；人文环境；综合评价环境状况一般</v>
      </c>
      <c r="C79" s="2040"/>
      <c r="D79" s="1061">
        <f t="shared" si="18"/>
        <v>0</v>
      </c>
      <c r="E79" s="743"/>
      <c r="F79" s="1810"/>
      <c r="G79" s="1059"/>
      <c r="H79" s="1062" t="str">
        <f t="shared" si="19"/>
        <v>——</v>
      </c>
      <c r="I79" s="3363">
        <v>0.12</v>
      </c>
      <c r="J79" s="1060">
        <f t="shared" si="20"/>
        <v>0</v>
      </c>
      <c r="K79" s="1060">
        <f t="shared" si="21"/>
        <v>0</v>
      </c>
      <c r="L79" s="1060">
        <v>0</v>
      </c>
      <c r="M79" s="1060">
        <f t="shared" si="22"/>
        <v>0</v>
      </c>
      <c r="N79" s="1060">
        <f t="shared" si="22"/>
        <v>0</v>
      </c>
      <c r="Z79" s="1994"/>
      <c r="AA79" s="2049"/>
      <c r="AG79" s="1117"/>
      <c r="AK79" s="2049"/>
    </row>
    <row r="80" spans="1:37" ht="36.6" thickBot="1">
      <c r="A80" s="2134" t="s">
        <v>2068</v>
      </c>
      <c r="B80" s="2138"/>
      <c r="C80" s="2040"/>
      <c r="D80" s="1061">
        <f t="shared" si="18"/>
        <v>0</v>
      </c>
      <c r="E80" s="744"/>
      <c r="F80" s="1810"/>
      <c r="G80" s="1059"/>
      <c r="H80" s="1062" t="str">
        <f t="shared" si="19"/>
        <v>——</v>
      </c>
      <c r="I80" s="3364">
        <v>0.05</v>
      </c>
      <c r="J80" s="1060">
        <f t="shared" si="20"/>
        <v>0</v>
      </c>
      <c r="K80" s="1060">
        <f t="shared" si="21"/>
        <v>0</v>
      </c>
      <c r="L80" s="1060">
        <v>0</v>
      </c>
      <c r="M80" s="1060">
        <f t="shared" si="22"/>
        <v>0</v>
      </c>
      <c r="N80" s="1060">
        <f t="shared" si="22"/>
        <v>0</v>
      </c>
      <c r="Z80" s="1994"/>
      <c r="AA80" s="2049"/>
      <c r="AG80" s="1117"/>
      <c r="AK80" s="2049"/>
    </row>
    <row r="81" spans="1:37" ht="14.4">
      <c r="A81" s="2122" t="s">
        <v>2069</v>
      </c>
      <c r="B81" s="2123">
        <f>1+E83</f>
        <v>1</v>
      </c>
      <c r="C81" s="737"/>
      <c r="D81" s="737"/>
      <c r="E81" s="738"/>
      <c r="F81" s="2125"/>
      <c r="G81" s="3"/>
      <c r="H81" s="3"/>
      <c r="I81" s="3"/>
      <c r="J81" s="4"/>
      <c r="K81" s="4"/>
      <c r="L81" s="4"/>
      <c r="M81" s="4"/>
      <c r="N81" s="4"/>
      <c r="Z81" s="1994"/>
      <c r="AA81" s="2049"/>
      <c r="AG81" s="1117"/>
      <c r="AK81" s="2049"/>
    </row>
    <row r="82" spans="1:37" ht="25.2">
      <c r="A82" s="2126" t="s">
        <v>2044</v>
      </c>
      <c r="B82" s="1347"/>
      <c r="C82" s="1347" t="s">
        <v>2046</v>
      </c>
      <c r="D82" s="1347" t="s">
        <v>2047</v>
      </c>
      <c r="E82" s="739" t="s">
        <v>2048</v>
      </c>
      <c r="F82" s="2127" t="s">
        <v>2063</v>
      </c>
      <c r="G82" s="1347" t="s">
        <v>310</v>
      </c>
      <c r="H82" s="2128" t="s">
        <v>2050</v>
      </c>
      <c r="I82" s="1347" t="s">
        <v>2051</v>
      </c>
      <c r="J82" s="551" t="s">
        <v>1721</v>
      </c>
      <c r="K82" s="551" t="s">
        <v>1722</v>
      </c>
      <c r="L82" s="551" t="s">
        <v>1723</v>
      </c>
      <c r="M82" s="551" t="s">
        <v>1724</v>
      </c>
      <c r="N82" s="551" t="s">
        <v>1725</v>
      </c>
      <c r="Z82" s="1994"/>
      <c r="AA82" s="2049"/>
      <c r="AG82" s="1117"/>
      <c r="AK82" s="2049"/>
    </row>
    <row r="83" spans="1:37" ht="39.6">
      <c r="A83" s="2126" t="s">
        <v>2070</v>
      </c>
      <c r="B83" s="2130" t="str">
        <f>估价对象房地状况!G15</f>
        <v>估价对象位于XX开发区，园区建设成熟度XX，产业集聚程度XX</v>
      </c>
      <c r="C83" s="2040"/>
      <c r="D83" s="1061">
        <f t="shared" ref="D83:D90" si="23">SUMIF($J$82:$N$82,C83,J83:N83)</f>
        <v>0</v>
      </c>
      <c r="E83" s="740">
        <f>ROUND(SUM(D83:D90),4)</f>
        <v>0</v>
      </c>
      <c r="F83" s="1810" t="str">
        <f>IF(E2="工业",SUMIF(L1:L12,G2,N1:N12),"——")</f>
        <v>——</v>
      </c>
      <c r="G83" s="1059"/>
      <c r="H83" s="1062" t="str">
        <f t="shared" ref="H83:H90" si="24">IFERROR(ROUNDDOWN($F$83*I83/2,4),"——")</f>
        <v>——</v>
      </c>
      <c r="I83" s="3363">
        <v>0.26</v>
      </c>
      <c r="J83" s="1060">
        <f t="shared" ref="J83:J90" si="25">K83+$G83</f>
        <v>0</v>
      </c>
      <c r="K83" s="1060">
        <f t="shared" ref="K83:K90" si="26">$L83+$G83</f>
        <v>0</v>
      </c>
      <c r="L83" s="1060">
        <v>0</v>
      </c>
      <c r="M83" s="1060">
        <f t="shared" ref="M83:N90" si="27">L83-$G83</f>
        <v>0</v>
      </c>
      <c r="N83" s="1060">
        <f t="shared" si="27"/>
        <v>0</v>
      </c>
      <c r="Z83" s="1994"/>
      <c r="AA83" s="2049"/>
      <c r="AG83" s="1117"/>
      <c r="AK83" s="2049"/>
    </row>
    <row r="84" spans="1:37" ht="52.8">
      <c r="A84" s="2126" t="s">
        <v>2053</v>
      </c>
      <c r="B84" s="2130" t="str">
        <f>估价对象房地状况!G16</f>
        <v>估价对象周边道路状况、公共交通通达情况、停车便捷程度，综合评价交通便捷度较好</v>
      </c>
      <c r="C84" s="2040"/>
      <c r="D84" s="1061">
        <f t="shared" si="23"/>
        <v>0</v>
      </c>
      <c r="E84" s="743"/>
      <c r="F84" s="1810"/>
      <c r="G84" s="1059"/>
      <c r="H84" s="1062" t="str">
        <f t="shared" si="24"/>
        <v>——</v>
      </c>
      <c r="I84" s="3363">
        <v>0.3</v>
      </c>
      <c r="J84" s="1060">
        <f t="shared" si="25"/>
        <v>0</v>
      </c>
      <c r="K84" s="1060">
        <f t="shared" si="26"/>
        <v>0</v>
      </c>
      <c r="L84" s="1060">
        <v>0</v>
      </c>
      <c r="M84" s="1060">
        <f t="shared" si="27"/>
        <v>0</v>
      </c>
      <c r="N84" s="1060">
        <f t="shared" si="27"/>
        <v>0</v>
      </c>
      <c r="Z84" s="1994"/>
      <c r="AA84" s="2049"/>
      <c r="AG84" s="1117"/>
      <c r="AK84" s="2049"/>
    </row>
    <row r="85" spans="1:37" ht="48">
      <c r="A85" s="3365" t="s">
        <v>3277</v>
      </c>
      <c r="B85" s="2130">
        <f>估价对象房地状况!G17</f>
        <v>0</v>
      </c>
      <c r="C85" s="2040"/>
      <c r="D85" s="1061">
        <f t="shared" si="23"/>
        <v>0</v>
      </c>
      <c r="E85" s="743"/>
      <c r="F85" s="1810"/>
      <c r="G85" s="1059"/>
      <c r="H85" s="1062" t="str">
        <f t="shared" si="24"/>
        <v>——</v>
      </c>
      <c r="I85" s="3363">
        <v>0.1</v>
      </c>
      <c r="J85" s="1060">
        <f t="shared" si="25"/>
        <v>0</v>
      </c>
      <c r="K85" s="1060">
        <f t="shared" si="26"/>
        <v>0</v>
      </c>
      <c r="L85" s="1060">
        <v>0</v>
      </c>
      <c r="M85" s="1060">
        <f t="shared" si="27"/>
        <v>0</v>
      </c>
      <c r="N85" s="1060">
        <f t="shared" si="27"/>
        <v>0</v>
      </c>
      <c r="Z85" s="1994"/>
      <c r="AA85" s="2049"/>
      <c r="AG85" s="1117"/>
      <c r="AK85" s="2049"/>
    </row>
    <row r="86" spans="1:37" ht="13.8">
      <c r="A86" s="2126" t="s">
        <v>2067</v>
      </c>
      <c r="B86" s="2130">
        <f>估价对象房地状况!G22</f>
        <v>0</v>
      </c>
      <c r="C86" s="2040"/>
      <c r="D86" s="1061">
        <f t="shared" si="23"/>
        <v>0</v>
      </c>
      <c r="E86" s="743"/>
      <c r="F86" s="1810"/>
      <c r="G86" s="1059"/>
      <c r="H86" s="1062" t="str">
        <f t="shared" si="24"/>
        <v>——</v>
      </c>
      <c r="I86" s="3363">
        <v>0.05</v>
      </c>
      <c r="J86" s="1060">
        <f t="shared" si="25"/>
        <v>0</v>
      </c>
      <c r="K86" s="1060">
        <f t="shared" si="26"/>
        <v>0</v>
      </c>
      <c r="L86" s="1060">
        <v>0</v>
      </c>
      <c r="M86" s="1060">
        <f t="shared" si="27"/>
        <v>0</v>
      </c>
      <c r="N86" s="1060">
        <f t="shared" si="27"/>
        <v>0</v>
      </c>
      <c r="Z86" s="1994"/>
      <c r="AA86" s="2049"/>
      <c r="AG86" s="1117"/>
      <c r="AK86" s="2049"/>
    </row>
    <row r="87" spans="1:37" ht="26.4">
      <c r="A87" s="2126" t="s">
        <v>2059</v>
      </c>
      <c r="B87" s="1322" t="str">
        <f>估价对象房地状况!G19</f>
        <v>估价对象所在区域公共配套设施齐备情况</v>
      </c>
      <c r="C87" s="2040"/>
      <c r="D87" s="1061">
        <f t="shared" si="23"/>
        <v>0</v>
      </c>
      <c r="E87" s="743"/>
      <c r="F87" s="1810"/>
      <c r="G87" s="1059"/>
      <c r="H87" s="1062" t="str">
        <f t="shared" si="24"/>
        <v>——</v>
      </c>
      <c r="I87" s="3363">
        <v>0.06</v>
      </c>
      <c r="J87" s="1060">
        <f t="shared" si="25"/>
        <v>0</v>
      </c>
      <c r="K87" s="1060">
        <f t="shared" si="26"/>
        <v>0</v>
      </c>
      <c r="L87" s="1060">
        <v>0</v>
      </c>
      <c r="M87" s="1060">
        <f t="shared" si="27"/>
        <v>0</v>
      </c>
      <c r="N87" s="1060">
        <f t="shared" si="27"/>
        <v>0</v>
      </c>
    </row>
    <row r="88" spans="1:37" ht="26.4">
      <c r="A88" s="2126" t="s">
        <v>2060</v>
      </c>
      <c r="B88" s="1322" t="str">
        <f>估价对象房地状况!G20</f>
        <v>估价对象所在区域基础设施水平</v>
      </c>
      <c r="C88" s="2040"/>
      <c r="D88" s="1061">
        <f t="shared" si="23"/>
        <v>0</v>
      </c>
      <c r="E88" s="743"/>
      <c r="F88" s="1810"/>
      <c r="G88" s="1059"/>
      <c r="H88" s="1062" t="str">
        <f t="shared" si="24"/>
        <v>——</v>
      </c>
      <c r="I88" s="3363">
        <v>0.12</v>
      </c>
      <c r="J88" s="1060">
        <f t="shared" si="25"/>
        <v>0</v>
      </c>
      <c r="K88" s="1060">
        <f t="shared" si="26"/>
        <v>0</v>
      </c>
      <c r="L88" s="1060">
        <v>0</v>
      </c>
      <c r="M88" s="1060">
        <f t="shared" si="27"/>
        <v>0</v>
      </c>
      <c r="N88" s="1060">
        <f t="shared" si="27"/>
        <v>0</v>
      </c>
    </row>
    <row r="89" spans="1:37" ht="36">
      <c r="A89" s="2126" t="s">
        <v>2057</v>
      </c>
      <c r="B89" s="2132" t="s">
        <v>2071</v>
      </c>
      <c r="C89" s="2040"/>
      <c r="D89" s="1061">
        <f t="shared" si="23"/>
        <v>0</v>
      </c>
      <c r="E89" s="743"/>
      <c r="F89" s="1810"/>
      <c r="G89" s="1059"/>
      <c r="H89" s="1062" t="str">
        <f t="shared" si="24"/>
        <v>——</v>
      </c>
      <c r="I89" s="3363">
        <v>0.06</v>
      </c>
      <c r="J89" s="1060">
        <f t="shared" si="25"/>
        <v>0</v>
      </c>
      <c r="K89" s="1060">
        <f t="shared" si="26"/>
        <v>0</v>
      </c>
      <c r="L89" s="1060">
        <v>0</v>
      </c>
      <c r="M89" s="1060">
        <f t="shared" si="27"/>
        <v>0</v>
      </c>
      <c r="N89" s="1060">
        <f t="shared" si="27"/>
        <v>0</v>
      </c>
    </row>
    <row r="90" spans="1:37" ht="40.200000000000003" thickBot="1">
      <c r="A90" s="2134" t="s">
        <v>2072</v>
      </c>
      <c r="B90" s="2139" t="str">
        <f>估价对象房地状况!G18</f>
        <v>该园区内是否有污染型企业，绿化情况，卫生条件，整体环境状况判断</v>
      </c>
      <c r="C90" s="2040"/>
      <c r="D90" s="1061">
        <f t="shared" si="23"/>
        <v>0</v>
      </c>
      <c r="E90" s="744"/>
      <c r="F90" s="1810"/>
      <c r="G90" s="1059"/>
      <c r="H90" s="1062" t="str">
        <f t="shared" si="24"/>
        <v>——</v>
      </c>
      <c r="I90" s="3364">
        <v>0.05</v>
      </c>
      <c r="J90" s="1060">
        <f t="shared" si="25"/>
        <v>0</v>
      </c>
      <c r="K90" s="1060">
        <f t="shared" si="26"/>
        <v>0</v>
      </c>
      <c r="L90" s="1060">
        <v>0</v>
      </c>
      <c r="M90" s="1060">
        <f t="shared" si="27"/>
        <v>0</v>
      </c>
      <c r="N90" s="1060">
        <f t="shared" si="27"/>
        <v>0</v>
      </c>
    </row>
    <row r="91" spans="1:37" ht="13.8">
      <c r="A91" s="3373" t="s">
        <v>2615</v>
      </c>
      <c r="B91" s="3374">
        <f>1+E93</f>
        <v>1</v>
      </c>
      <c r="C91" s="3367"/>
      <c r="D91" s="3368"/>
      <c r="E91" s="1810"/>
      <c r="F91" s="1810"/>
      <c r="G91" s="3369"/>
      <c r="H91" s="3370"/>
      <c r="I91" s="3371"/>
      <c r="J91" s="3372"/>
      <c r="K91" s="3372"/>
      <c r="L91" s="3372"/>
      <c r="M91" s="3372"/>
      <c r="N91" s="3372"/>
    </row>
    <row r="92" spans="1:37" ht="25.2">
      <c r="A92" s="3375" t="s">
        <v>3278</v>
      </c>
      <c r="B92" s="3362"/>
      <c r="C92" s="3362" t="s">
        <v>3287</v>
      </c>
      <c r="D92" s="3362" t="s">
        <v>3288</v>
      </c>
      <c r="E92" s="3344" t="s">
        <v>3289</v>
      </c>
      <c r="F92" s="3377" t="s">
        <v>3290</v>
      </c>
      <c r="G92" s="3362" t="s">
        <v>3291</v>
      </c>
      <c r="H92" s="3384" t="s">
        <v>3294</v>
      </c>
      <c r="I92" s="3362" t="s">
        <v>3295</v>
      </c>
      <c r="J92" s="3385" t="s">
        <v>3296</v>
      </c>
      <c r="K92" s="3385" t="s">
        <v>3297</v>
      </c>
      <c r="L92" s="3385" t="s">
        <v>3298</v>
      </c>
      <c r="M92" s="3385" t="s">
        <v>3299</v>
      </c>
      <c r="N92" s="3385" t="s">
        <v>3300</v>
      </c>
    </row>
    <row r="93" spans="1:37" ht="24">
      <c r="A93" s="3365" t="s">
        <v>3279</v>
      </c>
      <c r="B93" s="1302"/>
      <c r="C93" s="2040"/>
      <c r="D93" s="3362">
        <f>SUMIF($J$92:$N$92,C93,J93:N93)</f>
        <v>0</v>
      </c>
      <c r="E93" s="3378">
        <f>ROUND(SUM(D93:D101),4)</f>
        <v>0</v>
      </c>
      <c r="F93" s="1810" t="str">
        <f>IF(E2="公共服务",SUMIF(L1:L12,G2,N1:N12),"——")</f>
        <v>——</v>
      </c>
      <c r="G93" s="3369"/>
      <c r="H93" s="3417" t="str">
        <f>IFERROR(ROUNDDOWN($F$93*I93/2,4),"——")</f>
        <v>——</v>
      </c>
      <c r="I93" s="3363">
        <v>0.25</v>
      </c>
      <c r="J93" s="3341">
        <f t="shared" ref="J93:J101" si="28">K93+$G93</f>
        <v>0</v>
      </c>
      <c r="K93" s="3341">
        <f t="shared" ref="K93:K101" si="29">$L93+$G93</f>
        <v>0</v>
      </c>
      <c r="L93" s="3341">
        <v>0</v>
      </c>
      <c r="M93" s="3341">
        <f t="shared" ref="M93:N101" si="30">L93-$G93</f>
        <v>0</v>
      </c>
      <c r="N93" s="3341">
        <f t="shared" si="30"/>
        <v>0</v>
      </c>
    </row>
    <row r="94" spans="1:37" ht="52.8">
      <c r="A94" s="3375" t="s">
        <v>3280</v>
      </c>
      <c r="B94" s="3366" t="str">
        <f>估价对象房地状况!C18</f>
        <v>估价对象周边道路状况、公共交通通达情况、停车便捷程度，综合评价交通便捷度较好</v>
      </c>
      <c r="C94" s="2040"/>
      <c r="D94" s="3362">
        <f t="shared" ref="D94:D101" si="31">SUMIF($J$60:$N$60,C94,J94:N94)</f>
        <v>0</v>
      </c>
      <c r="E94" s="3379"/>
      <c r="F94" s="1810"/>
      <c r="G94" s="3369"/>
      <c r="H94" s="3417" t="str">
        <f>IFERROR(ROUNDDOWN($F$93*I94/2,4),"——")</f>
        <v>——</v>
      </c>
      <c r="I94" s="3363">
        <v>0.26</v>
      </c>
      <c r="J94" s="3341">
        <f t="shared" si="28"/>
        <v>0</v>
      </c>
      <c r="K94" s="3341">
        <f t="shared" si="29"/>
        <v>0</v>
      </c>
      <c r="L94" s="3341">
        <v>0</v>
      </c>
      <c r="M94" s="3341">
        <f t="shared" si="30"/>
        <v>0</v>
      </c>
      <c r="N94" s="3341">
        <f t="shared" si="30"/>
        <v>0</v>
      </c>
    </row>
    <row r="95" spans="1:37" ht="48">
      <c r="A95" s="3365" t="s">
        <v>3276</v>
      </c>
      <c r="B95" s="3366">
        <f>估价对象房地状况!C19</f>
        <v>0</v>
      </c>
      <c r="C95" s="2040"/>
      <c r="D95" s="3362">
        <f t="shared" si="31"/>
        <v>0</v>
      </c>
      <c r="E95" s="3379"/>
      <c r="F95" s="1810"/>
      <c r="G95" s="3369"/>
      <c r="H95" s="3417" t="str">
        <f t="shared" ref="H95:H101" si="32">IFERROR(ROUNDDOWN($F$93*I95/2,4),"——")</f>
        <v>——</v>
      </c>
      <c r="I95" s="3363">
        <v>0.11</v>
      </c>
      <c r="J95" s="3341">
        <f t="shared" si="28"/>
        <v>0</v>
      </c>
      <c r="K95" s="3341">
        <f t="shared" si="29"/>
        <v>0</v>
      </c>
      <c r="L95" s="3341">
        <v>0</v>
      </c>
      <c r="M95" s="3341">
        <f t="shared" si="30"/>
        <v>0</v>
      </c>
      <c r="N95" s="3341">
        <f t="shared" si="30"/>
        <v>0</v>
      </c>
    </row>
    <row r="96" spans="1:37" ht="37.200000000000003">
      <c r="A96" s="3375" t="s">
        <v>3281</v>
      </c>
      <c r="B96" s="3381" t="s">
        <v>3292</v>
      </c>
      <c r="C96" s="2040"/>
      <c r="D96" s="3362">
        <f t="shared" si="31"/>
        <v>0</v>
      </c>
      <c r="E96" s="3379"/>
      <c r="F96" s="1810"/>
      <c r="G96" s="3369"/>
      <c r="H96" s="3417" t="str">
        <f t="shared" si="32"/>
        <v>——</v>
      </c>
      <c r="I96" s="3363">
        <v>0.05</v>
      </c>
      <c r="J96" s="3341">
        <f t="shared" si="28"/>
        <v>0</v>
      </c>
      <c r="K96" s="3341">
        <f t="shared" si="29"/>
        <v>0</v>
      </c>
      <c r="L96" s="3341">
        <v>0</v>
      </c>
      <c r="M96" s="3341">
        <f t="shared" si="30"/>
        <v>0</v>
      </c>
      <c r="N96" s="3341">
        <f t="shared" si="30"/>
        <v>0</v>
      </c>
    </row>
    <row r="97" spans="1:14" ht="24">
      <c r="A97" s="3375" t="s">
        <v>3282</v>
      </c>
      <c r="B97" s="3366">
        <f>估价对象房地状况!C24</f>
        <v>0</v>
      </c>
      <c r="C97" s="2040"/>
      <c r="D97" s="3362">
        <f t="shared" si="31"/>
        <v>0</v>
      </c>
      <c r="E97" s="3379"/>
      <c r="F97" s="1810"/>
      <c r="G97" s="3369"/>
      <c r="H97" s="3417" t="str">
        <f t="shared" si="32"/>
        <v>——</v>
      </c>
      <c r="I97" s="3363">
        <v>0.05</v>
      </c>
      <c r="J97" s="3341">
        <f t="shared" si="28"/>
        <v>0</v>
      </c>
      <c r="K97" s="3341">
        <f t="shared" si="29"/>
        <v>0</v>
      </c>
      <c r="L97" s="3341">
        <v>0</v>
      </c>
      <c r="M97" s="3341">
        <f t="shared" si="30"/>
        <v>0</v>
      </c>
      <c r="N97" s="3341">
        <f t="shared" si="30"/>
        <v>0</v>
      </c>
    </row>
    <row r="98" spans="1:14" ht="36">
      <c r="A98" s="3375" t="s">
        <v>3283</v>
      </c>
      <c r="B98" s="3382" t="s">
        <v>3293</v>
      </c>
      <c r="C98" s="2040"/>
      <c r="D98" s="3362">
        <f t="shared" si="31"/>
        <v>0</v>
      </c>
      <c r="E98" s="3379"/>
      <c r="F98" s="1810"/>
      <c r="G98" s="3369"/>
      <c r="H98" s="3417" t="str">
        <f t="shared" si="32"/>
        <v>——</v>
      </c>
      <c r="I98" s="3363">
        <v>0.06</v>
      </c>
      <c r="J98" s="3341">
        <f t="shared" si="28"/>
        <v>0</v>
      </c>
      <c r="K98" s="3341">
        <f t="shared" si="29"/>
        <v>0</v>
      </c>
      <c r="L98" s="3341">
        <v>0</v>
      </c>
      <c r="M98" s="3341">
        <f t="shared" si="30"/>
        <v>0</v>
      </c>
      <c r="N98" s="3341">
        <f t="shared" si="30"/>
        <v>0</v>
      </c>
    </row>
    <row r="99" spans="1:14" ht="26.4">
      <c r="A99" s="3375" t="s">
        <v>3284</v>
      </c>
      <c r="B99" s="3366" t="str">
        <f>估价对象房地状况!C21</f>
        <v>估价对象所在区域公共配套设施齐备情况</v>
      </c>
      <c r="C99" s="2040"/>
      <c r="D99" s="3362">
        <f t="shared" si="31"/>
        <v>0</v>
      </c>
      <c r="E99" s="3379"/>
      <c r="F99" s="1810"/>
      <c r="G99" s="3369"/>
      <c r="H99" s="3417" t="str">
        <f t="shared" si="32"/>
        <v>——</v>
      </c>
      <c r="I99" s="3363">
        <v>0.06</v>
      </c>
      <c r="J99" s="3341">
        <f t="shared" si="28"/>
        <v>0</v>
      </c>
      <c r="K99" s="3341">
        <f t="shared" si="29"/>
        <v>0</v>
      </c>
      <c r="L99" s="3341">
        <v>0</v>
      </c>
      <c r="M99" s="3341">
        <f t="shared" si="30"/>
        <v>0</v>
      </c>
      <c r="N99" s="3341">
        <f t="shared" si="30"/>
        <v>0</v>
      </c>
    </row>
    <row r="100" spans="1:14" ht="26.4">
      <c r="A100" s="3375" t="s">
        <v>3285</v>
      </c>
      <c r="B100" s="3366" t="str">
        <f>估价对象房地状况!C22</f>
        <v>估价对象所在区域基础设施水平</v>
      </c>
      <c r="C100" s="2040"/>
      <c r="D100" s="3362">
        <f t="shared" si="31"/>
        <v>0</v>
      </c>
      <c r="E100" s="3379"/>
      <c r="F100" s="1810"/>
      <c r="G100" s="3369"/>
      <c r="H100" s="3417" t="str">
        <f t="shared" si="32"/>
        <v>——</v>
      </c>
      <c r="I100" s="3363">
        <v>0.09</v>
      </c>
      <c r="J100" s="3341">
        <f t="shared" si="28"/>
        <v>0</v>
      </c>
      <c r="K100" s="3341">
        <f t="shared" si="29"/>
        <v>0</v>
      </c>
      <c r="L100" s="3341">
        <v>0</v>
      </c>
      <c r="M100" s="3341">
        <f t="shared" si="30"/>
        <v>0</v>
      </c>
      <c r="N100" s="3341">
        <f t="shared" si="30"/>
        <v>0</v>
      </c>
    </row>
    <row r="101" spans="1:14" ht="40.200000000000003" thickBot="1">
      <c r="A101" s="3376" t="s">
        <v>3286</v>
      </c>
      <c r="B101" s="3383" t="str">
        <f>估价对象房地状况!C20</f>
        <v>区域自然环境：；人文环境；综合评价环境状况一般</v>
      </c>
      <c r="C101" s="2040"/>
      <c r="D101" s="3362">
        <f t="shared" si="31"/>
        <v>0</v>
      </c>
      <c r="E101" s="3380"/>
      <c r="F101" s="1810"/>
      <c r="G101" s="3369"/>
      <c r="H101" s="3417" t="str">
        <f t="shared" si="32"/>
        <v>——</v>
      </c>
      <c r="I101" s="3364">
        <v>7.0000000000000007E-2</v>
      </c>
      <c r="J101" s="3341">
        <f t="shared" si="28"/>
        <v>0</v>
      </c>
      <c r="K101" s="3341">
        <f t="shared" si="29"/>
        <v>0</v>
      </c>
      <c r="L101" s="3341">
        <v>0</v>
      </c>
      <c r="M101" s="3341">
        <f t="shared" si="30"/>
        <v>0</v>
      </c>
      <c r="N101" s="3341">
        <f t="shared" si="30"/>
        <v>0</v>
      </c>
    </row>
    <row r="103" spans="1:14">
      <c r="A103" s="3671" t="s">
        <v>3301</v>
      </c>
      <c r="B103" s="3671"/>
      <c r="C103" s="3671"/>
      <c r="D103" s="3671"/>
      <c r="E103" s="3671"/>
      <c r="F103" s="3671"/>
      <c r="G103" s="3671"/>
      <c r="H103" s="3671"/>
      <c r="I103" s="3671"/>
      <c r="J103" s="3671"/>
      <c r="K103" s="3386"/>
      <c r="L103" s="3386"/>
      <c r="M103" s="3386"/>
      <c r="N103" s="3386"/>
    </row>
    <row r="104" spans="1:14">
      <c r="A104" s="3672" t="s">
        <v>3302</v>
      </c>
      <c r="B104" s="3672" t="s">
        <v>3303</v>
      </c>
      <c r="C104" s="3387" t="s">
        <v>3304</v>
      </c>
      <c r="D104" s="3388"/>
      <c r="E104" s="3388"/>
      <c r="F104" s="3388"/>
      <c r="G104" s="3388"/>
      <c r="H104" s="3388"/>
      <c r="I104" s="3388"/>
      <c r="J104" s="3389"/>
      <c r="K104" s="3390"/>
      <c r="L104" s="3390"/>
      <c r="M104" s="3390"/>
      <c r="N104" s="3390"/>
    </row>
    <row r="105" spans="1:14">
      <c r="A105" s="3672"/>
      <c r="B105" s="3672"/>
      <c r="C105" s="3391" t="s">
        <v>3305</v>
      </c>
      <c r="D105" s="3391" t="s">
        <v>3306</v>
      </c>
      <c r="E105" s="3391" t="s">
        <v>3307</v>
      </c>
      <c r="F105" s="3391" t="s">
        <v>3308</v>
      </c>
      <c r="G105" s="3391" t="s">
        <v>3309</v>
      </c>
      <c r="H105" s="3391" t="s">
        <v>3310</v>
      </c>
      <c r="I105" s="3391" t="s">
        <v>3311</v>
      </c>
      <c r="J105" s="3391" t="s">
        <v>3312</v>
      </c>
      <c r="K105" s="3391" t="s">
        <v>3313</v>
      </c>
      <c r="L105" s="3391" t="s">
        <v>3314</v>
      </c>
      <c r="M105" s="3391" t="s">
        <v>3315</v>
      </c>
      <c r="N105" s="3391" t="s">
        <v>3316</v>
      </c>
    </row>
    <row r="106" spans="1:14">
      <c r="A106" s="3658" t="s">
        <v>3317</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59"/>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59"/>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59"/>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59"/>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59"/>
      <c r="B111" s="3391" t="s">
        <v>3275</v>
      </c>
      <c r="C111" s="3392">
        <f>$I$3</f>
        <v>0</v>
      </c>
      <c r="D111" s="3392">
        <f t="shared" ref="D111:M111" si="33">$I$3</f>
        <v>0</v>
      </c>
      <c r="E111" s="3392">
        <f t="shared" si="33"/>
        <v>0</v>
      </c>
      <c r="F111" s="3392">
        <f t="shared" si="33"/>
        <v>0</v>
      </c>
      <c r="G111" s="3392">
        <f t="shared" si="33"/>
        <v>0</v>
      </c>
      <c r="H111" s="3392">
        <f t="shared" si="33"/>
        <v>0</v>
      </c>
      <c r="I111" s="3392">
        <f t="shared" si="33"/>
        <v>0</v>
      </c>
      <c r="J111" s="3392">
        <f t="shared" si="33"/>
        <v>0</v>
      </c>
      <c r="K111" s="3392">
        <f t="shared" si="33"/>
        <v>0</v>
      </c>
      <c r="L111" s="3392">
        <f t="shared" si="33"/>
        <v>0</v>
      </c>
      <c r="M111" s="3392">
        <f t="shared" si="33"/>
        <v>0</v>
      </c>
      <c r="N111" s="3392">
        <f>$I$3</f>
        <v>0</v>
      </c>
    </row>
    <row r="112" spans="1:14">
      <c r="A112" s="3660"/>
      <c r="B112" s="3391">
        <v>6</v>
      </c>
      <c r="C112" s="3384">
        <f>(-0.5556*(C111^2)-0.2719*C111+8944)*(10^(-4))</f>
        <v>0.89440000000000008</v>
      </c>
      <c r="D112" s="3384">
        <f>(-0.5556*(D111^2)-0.2719*D111+8944)*(10^(-4))</f>
        <v>0.89440000000000008</v>
      </c>
      <c r="E112" s="3384">
        <f>(-0.7912*(E111^2)-11.3794*E111+8482)*(10^(-4))</f>
        <v>0.84820000000000007</v>
      </c>
      <c r="F112" s="3384">
        <f t="shared" ref="F112:I112" si="34">(-0.7912*(F111^2)-11.3794*F111+8482)*(10^(-4))</f>
        <v>0.84820000000000007</v>
      </c>
      <c r="G112" s="3384">
        <f t="shared" si="34"/>
        <v>0.84820000000000007</v>
      </c>
      <c r="H112" s="3384">
        <f t="shared" si="34"/>
        <v>0.84820000000000007</v>
      </c>
      <c r="I112" s="3384">
        <f t="shared" si="34"/>
        <v>0.84820000000000007</v>
      </c>
      <c r="J112" s="3384">
        <f>(-0.989*(J111^2)-63.78*J111+7771)*(10^(-4))</f>
        <v>0.77710000000000001</v>
      </c>
      <c r="K112" s="3384">
        <f t="shared" ref="K112:N112" si="35">(-0.989*(K111^2)-63.78*K111+7771)*(10^(-4))</f>
        <v>0.77710000000000001</v>
      </c>
      <c r="L112" s="3384">
        <f t="shared" si="35"/>
        <v>0.77710000000000001</v>
      </c>
      <c r="M112" s="3384">
        <f t="shared" si="35"/>
        <v>0.77710000000000001</v>
      </c>
      <c r="N112" s="3384">
        <f t="shared" si="35"/>
        <v>0.77710000000000001</v>
      </c>
    </row>
    <row r="113" spans="1:14">
      <c r="A113" s="3661" t="s">
        <v>3318</v>
      </c>
      <c r="B113" s="3661"/>
      <c r="C113" s="3661"/>
      <c r="D113" s="3661"/>
      <c r="E113" s="3661"/>
      <c r="F113" s="3661"/>
      <c r="G113" s="3661"/>
      <c r="H113" s="3661"/>
      <c r="I113" s="3661"/>
      <c r="J113" s="3661"/>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8" thickBot="1">
      <c r="A115" s="3394"/>
      <c r="B115" s="3394"/>
      <c r="C115" s="3394"/>
      <c r="D115" s="3394"/>
      <c r="E115" s="3394"/>
      <c r="F115" s="3394"/>
      <c r="G115" s="3394"/>
      <c r="H115" s="3394"/>
      <c r="I115" s="3394"/>
      <c r="J115" s="3394"/>
      <c r="K115" s="3353"/>
      <c r="L115" s="3394"/>
      <c r="M115" s="3394"/>
      <c r="N115" s="3394"/>
    </row>
    <row r="116" spans="1:14" ht="25.8" thickBot="1">
      <c r="A116" s="3395" t="s">
        <v>3319</v>
      </c>
      <c r="B116" s="3412">
        <f>G3</f>
        <v>5.07</v>
      </c>
      <c r="C116" s="3396" t="s">
        <v>3320</v>
      </c>
      <c r="D116" s="3397">
        <f>SUMPRODUCT((A118:A122=F116)*(B117:M117=H116)*B118:M122)</f>
        <v>0.878</v>
      </c>
      <c r="E116" s="1996" t="s">
        <v>3321</v>
      </c>
      <c r="F116" s="3398" t="str">
        <f>E2</f>
        <v>商业</v>
      </c>
      <c r="G116" s="1996" t="s">
        <v>3322</v>
      </c>
      <c r="H116" s="3398" t="str">
        <f>G2</f>
        <v>五级</v>
      </c>
      <c r="I116" s="1996"/>
      <c r="J116" s="3399"/>
      <c r="K116" s="3399"/>
      <c r="L116" s="3399"/>
      <c r="M116" s="3399"/>
      <c r="N116" s="3394"/>
    </row>
    <row r="117" spans="1:14">
      <c r="A117" s="3400"/>
      <c r="B117" s="3401" t="s">
        <v>3323</v>
      </c>
      <c r="C117" s="3401" t="s">
        <v>3324</v>
      </c>
      <c r="D117" s="3401" t="s">
        <v>3325</v>
      </c>
      <c r="E117" s="3402" t="s">
        <v>3326</v>
      </c>
      <c r="F117" s="3402" t="s">
        <v>3327</v>
      </c>
      <c r="G117" s="3402" t="s">
        <v>3328</v>
      </c>
      <c r="H117" s="3403" t="s">
        <v>3329</v>
      </c>
      <c r="I117" s="3403" t="s">
        <v>3330</v>
      </c>
      <c r="J117" s="3404" t="s">
        <v>3331</v>
      </c>
      <c r="K117" s="3404" t="s">
        <v>3332</v>
      </c>
      <c r="L117" s="3404" t="s">
        <v>3333</v>
      </c>
      <c r="M117" s="3405" t="s">
        <v>3334</v>
      </c>
      <c r="N117" s="3394"/>
    </row>
    <row r="118" spans="1:14">
      <c r="A118" s="3406" t="s">
        <v>3335</v>
      </c>
      <c r="B118" s="3384">
        <f>ROUND(0.9968-0.011*B116,4)</f>
        <v>0.94099999999999995</v>
      </c>
      <c r="C118" s="3384">
        <f>B118</f>
        <v>0.94099999999999995</v>
      </c>
      <c r="D118" s="3384">
        <f>ROUND(0.949-0.014*B116,4)</f>
        <v>0.878</v>
      </c>
      <c r="E118" s="3384">
        <f>D118</f>
        <v>0.878</v>
      </c>
      <c r="F118" s="3384">
        <f>E118</f>
        <v>0.878</v>
      </c>
      <c r="G118" s="3384">
        <f>F118</f>
        <v>0.878</v>
      </c>
      <c r="H118" s="3384">
        <f>G118</f>
        <v>0.878</v>
      </c>
      <c r="I118" s="3384">
        <f>ROUND(0.8486-0.018*B116,4)</f>
        <v>0.75729999999999997</v>
      </c>
      <c r="J118" s="3384">
        <f t="shared" ref="J118:M122" si="36">I118</f>
        <v>0.75729999999999997</v>
      </c>
      <c r="K118" s="3384">
        <f t="shared" si="36"/>
        <v>0.75729999999999997</v>
      </c>
      <c r="L118" s="3384">
        <f t="shared" si="36"/>
        <v>0.75729999999999997</v>
      </c>
      <c r="M118" s="3407">
        <f t="shared" si="36"/>
        <v>0.75729999999999997</v>
      </c>
      <c r="N118" s="3394"/>
    </row>
    <row r="119" spans="1:14">
      <c r="A119" s="3406" t="s">
        <v>3336</v>
      </c>
      <c r="B119" s="3384">
        <f>ROUND(0.993-0.0112*B116,4)</f>
        <v>0.93620000000000003</v>
      </c>
      <c r="C119" s="3384">
        <f>B119</f>
        <v>0.93620000000000003</v>
      </c>
      <c r="D119" s="3384">
        <f>ROUND(0.9415-0.0142*B116,4)</f>
        <v>0.86950000000000005</v>
      </c>
      <c r="E119" s="3384">
        <f t="shared" ref="E119:H120" si="37">D119</f>
        <v>0.86950000000000005</v>
      </c>
      <c r="F119" s="3384">
        <f t="shared" si="37"/>
        <v>0.86950000000000005</v>
      </c>
      <c r="G119" s="3384">
        <f t="shared" si="37"/>
        <v>0.86950000000000005</v>
      </c>
      <c r="H119" s="3384">
        <f t="shared" si="37"/>
        <v>0.86950000000000005</v>
      </c>
      <c r="I119" s="3384">
        <f>ROUND(0.838-0.0182*B116,4)</f>
        <v>0.74570000000000003</v>
      </c>
      <c r="J119" s="3384">
        <f t="shared" si="36"/>
        <v>0.74570000000000003</v>
      </c>
      <c r="K119" s="3384">
        <f t="shared" si="36"/>
        <v>0.74570000000000003</v>
      </c>
      <c r="L119" s="3384">
        <f t="shared" si="36"/>
        <v>0.74570000000000003</v>
      </c>
      <c r="M119" s="3407">
        <f t="shared" si="36"/>
        <v>0.74570000000000003</v>
      </c>
      <c r="N119" s="3394"/>
    </row>
    <row r="120" spans="1:14">
      <c r="A120" s="3406" t="s">
        <v>3337</v>
      </c>
      <c r="B120" s="3384">
        <f>ROUND(0.9448-0.0115*B116,4)</f>
        <v>0.88649999999999995</v>
      </c>
      <c r="C120" s="3384">
        <f>B120</f>
        <v>0.88649999999999995</v>
      </c>
      <c r="D120" s="3384">
        <f>ROUND(0.937-0.0145*B116,4)</f>
        <v>0.86350000000000005</v>
      </c>
      <c r="E120" s="3384">
        <f t="shared" si="37"/>
        <v>0.86350000000000005</v>
      </c>
      <c r="F120" s="3384">
        <f t="shared" si="37"/>
        <v>0.86350000000000005</v>
      </c>
      <c r="G120" s="3384">
        <f t="shared" si="37"/>
        <v>0.86350000000000005</v>
      </c>
      <c r="H120" s="3384">
        <f t="shared" si="37"/>
        <v>0.86350000000000005</v>
      </c>
      <c r="I120" s="3384">
        <f>ROUND(0.7965-0.0185*B116,4)</f>
        <v>0.70269999999999999</v>
      </c>
      <c r="J120" s="3384">
        <f t="shared" si="36"/>
        <v>0.70269999999999999</v>
      </c>
      <c r="K120" s="3384">
        <f t="shared" si="36"/>
        <v>0.70269999999999999</v>
      </c>
      <c r="L120" s="3384">
        <f t="shared" si="36"/>
        <v>0.70269999999999999</v>
      </c>
      <c r="M120" s="3407">
        <f t="shared" si="36"/>
        <v>0.70269999999999999</v>
      </c>
      <c r="N120" s="3394"/>
    </row>
    <row r="121" spans="1:14" ht="13.8" thickBot="1">
      <c r="A121" s="3408" t="s">
        <v>3338</v>
      </c>
      <c r="B121" s="3409">
        <f>ROUND(0.7836-0.012*B116,4)</f>
        <v>0.7228</v>
      </c>
      <c r="C121" s="3409">
        <f>B121</f>
        <v>0.7228</v>
      </c>
      <c r="D121" s="3409">
        <f>ROUND(0.753-0.015*B116,4)</f>
        <v>0.67700000000000005</v>
      </c>
      <c r="E121" s="3409">
        <f>D121</f>
        <v>0.67700000000000005</v>
      </c>
      <c r="F121" s="3409">
        <f>E121</f>
        <v>0.67700000000000005</v>
      </c>
      <c r="G121" s="3409">
        <f>ROUND(0.6612-0.018*B116,4)</f>
        <v>0.56989999999999996</v>
      </c>
      <c r="H121" s="3409">
        <f>G121</f>
        <v>0.56989999999999996</v>
      </c>
      <c r="I121" s="3409">
        <f>ROUND(0.5905-0.019*B116,4)</f>
        <v>0.49419999999999997</v>
      </c>
      <c r="J121" s="3409">
        <f t="shared" si="36"/>
        <v>0.49419999999999997</v>
      </c>
      <c r="K121" s="3409">
        <f t="shared" si="36"/>
        <v>0.49419999999999997</v>
      </c>
      <c r="L121" s="3409">
        <f t="shared" si="36"/>
        <v>0.49419999999999997</v>
      </c>
      <c r="M121" s="3410">
        <f t="shared" si="36"/>
        <v>0.49419999999999997</v>
      </c>
      <c r="N121" s="3394"/>
    </row>
    <row r="122" spans="1:14">
      <c r="A122" s="3411" t="s">
        <v>2615</v>
      </c>
      <c r="B122" s="3384">
        <f>ROUND(0.9404-0.0106*B116,4)</f>
        <v>0.88670000000000004</v>
      </c>
      <c r="C122" s="3384">
        <f>B122</f>
        <v>0.88670000000000004</v>
      </c>
      <c r="D122" s="3384">
        <f>ROUND(0.8955-0.0135*B116,4)</f>
        <v>0.82709999999999995</v>
      </c>
      <c r="E122" s="3384">
        <f t="shared" ref="E122:H122" si="38">D122</f>
        <v>0.82709999999999995</v>
      </c>
      <c r="F122" s="3384">
        <f t="shared" si="38"/>
        <v>0.82709999999999995</v>
      </c>
      <c r="G122" s="3384">
        <f t="shared" si="38"/>
        <v>0.82709999999999995</v>
      </c>
      <c r="H122" s="3384">
        <f t="shared" si="38"/>
        <v>0.82709999999999995</v>
      </c>
      <c r="I122" s="3384">
        <f>ROUND(0.7632-0.0166*B116,4)</f>
        <v>0.67900000000000005</v>
      </c>
      <c r="J122" s="3384">
        <f t="shared" si="36"/>
        <v>0.67900000000000005</v>
      </c>
      <c r="K122" s="3384">
        <f t="shared" si="36"/>
        <v>0.67900000000000005</v>
      </c>
      <c r="L122" s="3384">
        <f t="shared" si="36"/>
        <v>0.67900000000000005</v>
      </c>
      <c r="M122" s="3407">
        <f t="shared" si="36"/>
        <v>0.67900000000000005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11" priority="6" stopIfTrue="1" operator="notEqual">
      <formula>"——"</formula>
    </cfRule>
  </conditionalFormatting>
  <conditionalFormatting sqref="F61">
    <cfRule type="cellIs" dxfId="210" priority="5" stopIfTrue="1" operator="notEqual">
      <formula>"——"</formula>
    </cfRule>
  </conditionalFormatting>
  <conditionalFormatting sqref="F72">
    <cfRule type="cellIs" dxfId="209" priority="4" stopIfTrue="1" operator="notEqual">
      <formula>"——"</formula>
    </cfRule>
  </conditionalFormatting>
  <conditionalFormatting sqref="F83">
    <cfRule type="cellIs" dxfId="208" priority="3" stopIfTrue="1" operator="notEqual">
      <formula>"——"</formula>
    </cfRule>
  </conditionalFormatting>
  <conditionalFormatting sqref="H50:H58 H61:H69 H72:H80 H83:H91">
    <cfRule type="cellIs" dxfId="207" priority="2" operator="notEqual">
      <formula>"——"</formula>
    </cfRule>
  </conditionalFormatting>
  <conditionalFormatting sqref="H93:H101">
    <cfRule type="cellIs" dxfId="20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M32" sqref="M32"/>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6" t="s">
        <v>3402</v>
      </c>
      <c r="C1" s="197"/>
      <c r="D1" s="197"/>
      <c r="E1" s="197"/>
      <c r="F1" s="197"/>
      <c r="G1" s="1122">
        <f>MATCH(B1,'数据-取费表'!A6:A16,0)+5</f>
        <v>6</v>
      </c>
    </row>
    <row r="2" spans="1:9" s="199" customFormat="1" ht="18" customHeight="1">
      <c r="A2" s="200" t="s">
        <v>1462</v>
      </c>
      <c r="B2" s="201">
        <f ca="1">IF(D2="——",C52,C52-E2)</f>
        <v>73765</v>
      </c>
      <c r="C2" s="198" t="s">
        <v>1463</v>
      </c>
      <c r="D2" s="1849" t="s">
        <v>43</v>
      </c>
      <c r="E2" s="1165" t="e">
        <f ca="1">SUMIF(INDIRECT("'"&amp;G2&amp;"'"&amp;"!A:A"),"承租人权益价值",INDIRECT("'"&amp;G2&amp;"'"&amp;"!c:c"))</f>
        <v>#REF!</v>
      </c>
      <c r="F2" s="1850" t="s">
        <v>1463</v>
      </c>
      <c r="G2" s="1851"/>
    </row>
    <row r="3" spans="1:9" s="199" customFormat="1" ht="18" customHeight="1" thickBot="1">
      <c r="A3" s="202" t="s">
        <v>1464</v>
      </c>
      <c r="B3" s="203">
        <f ca="1">ROUND(B2*10000/(IF(B1="",'数据-汇总表'!E3,INDIRECT("'数据-取费表'!k"&amp;$G$1))),0)</f>
        <v>37198</v>
      </c>
      <c r="C3" s="198" t="s">
        <v>1465</v>
      </c>
      <c r="D3" s="198"/>
      <c r="E3" s="198"/>
      <c r="F3" s="198"/>
      <c r="G3" s="198"/>
    </row>
    <row r="4" spans="1:9" s="207" customFormat="1" ht="16.2">
      <c r="A4" s="204" t="s">
        <v>1466</v>
      </c>
      <c r="B4" s="205"/>
      <c r="C4" s="205"/>
      <c r="D4" s="205"/>
      <c r="E4" s="205"/>
      <c r="F4" s="205"/>
      <c r="G4" s="206"/>
    </row>
    <row r="5" spans="1:9" s="213" customFormat="1" ht="13.5" customHeight="1">
      <c r="A5" s="254" t="s">
        <v>1467</v>
      </c>
      <c r="B5" s="209" t="s">
        <v>1468</v>
      </c>
      <c r="C5" s="210">
        <f ca="1">C6+C7+C8</f>
        <v>38391</v>
      </c>
      <c r="D5" s="210" t="s">
        <v>1469</v>
      </c>
      <c r="E5" s="211" t="s">
        <v>1470</v>
      </c>
      <c r="F5" s="211" t="s">
        <v>1471</v>
      </c>
      <c r="G5" s="212"/>
    </row>
    <row r="6" spans="1:9" s="213" customFormat="1" ht="13.5" customHeight="1">
      <c r="A6" s="774" t="s">
        <v>1472</v>
      </c>
      <c r="B6" s="214" t="s">
        <v>1473</v>
      </c>
      <c r="C6" s="215">
        <f>基准地价修正!V2+基准地价修正!V3</f>
        <v>36869</v>
      </c>
      <c r="D6" s="216"/>
      <c r="E6" s="217"/>
      <c r="F6" s="217"/>
      <c r="G6" s="218"/>
    </row>
    <row r="7" spans="1:9" s="213" customFormat="1" ht="13.5" customHeight="1">
      <c r="A7" s="774" t="s">
        <v>1474</v>
      </c>
      <c r="B7" s="214" t="s">
        <v>1475</v>
      </c>
      <c r="C7" s="219">
        <f>ROUND(C6*F7,0)</f>
        <v>1125</v>
      </c>
      <c r="D7" s="219"/>
      <c r="E7" s="217"/>
      <c r="F7" s="220">
        <f>IF(项目基本情况!B8="出让",0,'数据-取费表'!B48+'数据-取费表'!B49)</f>
        <v>3.0499999999999999E-2</v>
      </c>
      <c r="G7" s="218"/>
    </row>
    <row r="8" spans="1:9" s="222" customFormat="1">
      <c r="A8" s="774" t="s">
        <v>1476</v>
      </c>
      <c r="B8" s="214" t="s">
        <v>1477</v>
      </c>
      <c r="C8" s="219">
        <f ca="1">IF(G8="已包含在土地购买价格中","0",IF(B1="",'数据-取费表'!B29,IF(G9="全部缴纳",C9+C10,H9)))</f>
        <v>397</v>
      </c>
      <c r="D8" s="221"/>
      <c r="E8" s="219"/>
      <c r="F8" s="220"/>
      <c r="G8" s="1852" t="s">
        <v>3438</v>
      </c>
    </row>
    <row r="9" spans="1:9" s="213" customFormat="1" ht="13.5" customHeight="1">
      <c r="A9" s="775" t="s">
        <v>355</v>
      </c>
      <c r="B9" s="223" t="s">
        <v>1478</v>
      </c>
      <c r="C9" s="224">
        <f ca="1">ROUND(D9*E9/10000,0)</f>
        <v>0</v>
      </c>
      <c r="D9" s="841">
        <f ca="1">IF(B1="",'数据-汇总表'!E5,IF(INDIRECT("'数据-取费表'!c"&amp;$G$1)="住宅",INDIRECT("'数据-取费表'!k"&amp;$G$1),0))</f>
        <v>0</v>
      </c>
      <c r="E9" s="224">
        <f>'数据-取费表'!B27</f>
        <v>160</v>
      </c>
      <c r="F9" s="220"/>
      <c r="G9" s="1853" t="s">
        <v>3439</v>
      </c>
      <c r="H9" s="1133"/>
      <c r="I9" s="1854" t="s">
        <v>1479</v>
      </c>
    </row>
    <row r="10" spans="1:9" s="213" customFormat="1" ht="13.5" customHeight="1">
      <c r="A10" s="775" t="s">
        <v>356</v>
      </c>
      <c r="B10" s="223" t="s">
        <v>1480</v>
      </c>
      <c r="C10" s="224">
        <f ca="1">ROUND(D10*E10/10000,0)</f>
        <v>397</v>
      </c>
      <c r="D10" s="841">
        <f ca="1">IF(B1="",'数据-汇总表'!E6,IF(INDIRECT("'数据-取费表'!c"&amp;$G$1)="住宅",INDIRECT("'数据-取费表'!s"&amp;$G$1),INDIRECT("'数据-取费表'!k"&amp;$G$1)+INDIRECT("'数据-取费表'!s"&amp;$G$1)))</f>
        <v>19830.27</v>
      </c>
      <c r="E10" s="224">
        <f>'数据-取费表'!B28</f>
        <v>200</v>
      </c>
      <c r="F10" s="220"/>
      <c r="G10" s="225"/>
    </row>
    <row r="11" spans="1:9" s="213" customFormat="1" ht="13.5" hidden="1" customHeight="1">
      <c r="A11" s="226" t="s">
        <v>4</v>
      </c>
      <c r="B11" s="214" t="s">
        <v>1481</v>
      </c>
      <c r="C11" s="210"/>
      <c r="D11" s="843"/>
      <c r="E11" s="217"/>
      <c r="F11" s="217"/>
      <c r="G11" s="218"/>
    </row>
    <row r="12" spans="1:9" s="213" customFormat="1" ht="13.5" hidden="1" customHeight="1">
      <c r="A12" s="226" t="s">
        <v>5</v>
      </c>
      <c r="B12" s="214" t="s">
        <v>1482</v>
      </c>
      <c r="C12" s="210">
        <v>0</v>
      </c>
      <c r="D12" s="843"/>
      <c r="E12" s="227"/>
      <c r="F12" s="220">
        <v>3.0499999999999999E-2</v>
      </c>
      <c r="G12" s="218"/>
    </row>
    <row r="13" spans="1:9" s="213" customFormat="1" ht="13.5" hidden="1" customHeight="1">
      <c r="A13" s="226" t="s">
        <v>6</v>
      </c>
      <c r="B13" s="214" t="s">
        <v>1483</v>
      </c>
      <c r="C13" s="210"/>
      <c r="D13" s="843"/>
      <c r="E13" s="217"/>
      <c r="F13" s="217"/>
      <c r="G13" s="218"/>
    </row>
    <row r="14" spans="1:9" s="213" customFormat="1" ht="13.5" hidden="1" customHeight="1">
      <c r="A14" s="226" t="s">
        <v>7</v>
      </c>
      <c r="B14" s="214" t="s">
        <v>1484</v>
      </c>
      <c r="C14" s="210"/>
      <c r="D14" s="843"/>
      <c r="E14" s="217"/>
      <c r="F14" s="217"/>
      <c r="G14" s="218" t="s">
        <v>1485</v>
      </c>
    </row>
    <row r="15" spans="1:9" s="213" customFormat="1" ht="13.5" hidden="1" customHeight="1">
      <c r="A15" s="226" t="s">
        <v>8</v>
      </c>
      <c r="B15" s="214" t="s">
        <v>1486</v>
      </c>
      <c r="C15" s="219"/>
      <c r="D15" s="843"/>
      <c r="E15" s="217"/>
      <c r="F15" s="217"/>
      <c r="G15" s="218" t="s">
        <v>1487</v>
      </c>
    </row>
    <row r="16" spans="1:9" s="213" customFormat="1" ht="13.5" hidden="1" customHeight="1">
      <c r="A16" s="226" t="s">
        <v>9</v>
      </c>
      <c r="B16" s="214" t="s">
        <v>1484</v>
      </c>
      <c r="C16" s="219"/>
      <c r="D16" s="843"/>
      <c r="E16" s="217"/>
      <c r="F16" s="217"/>
      <c r="G16" s="218"/>
    </row>
    <row r="17" spans="1:7" s="213" customFormat="1" ht="13.5" hidden="1" customHeight="1">
      <c r="A17" s="226" t="s">
        <v>10</v>
      </c>
      <c r="B17" s="214" t="s">
        <v>1488</v>
      </c>
      <c r="C17" s="228"/>
      <c r="D17" s="844"/>
      <c r="E17" s="228"/>
      <c r="F17" s="228"/>
      <c r="G17" s="218" t="s">
        <v>1487</v>
      </c>
    </row>
    <row r="18" spans="1:7" s="213" customFormat="1" ht="13.5" hidden="1" customHeight="1">
      <c r="A18" s="226" t="s">
        <v>11</v>
      </c>
      <c r="B18" s="214" t="s">
        <v>1489</v>
      </c>
      <c r="C18" s="219">
        <v>0</v>
      </c>
      <c r="D18" s="843"/>
      <c r="E18" s="217"/>
      <c r="F18" s="220">
        <v>3.0499999999999999E-2</v>
      </c>
      <c r="G18" s="218" t="s">
        <v>1490</v>
      </c>
    </row>
    <row r="19" spans="1:7" s="222" customFormat="1" ht="13.5" customHeight="1">
      <c r="A19" s="254" t="s">
        <v>1491</v>
      </c>
      <c r="B19" s="209" t="s">
        <v>1492</v>
      </c>
      <c r="C19" s="210" t="str">
        <f>IF(G19="已包含在土地取得成本中","0",ROUND(D19*E19/10000,0))</f>
        <v>0</v>
      </c>
      <c r="D19" s="845">
        <f ca="1">D9+D10</f>
        <v>19830.27</v>
      </c>
      <c r="E19" s="210">
        <f>'数据-取费表'!B31</f>
        <v>200</v>
      </c>
      <c r="F19" s="230"/>
      <c r="G19" s="1852" t="s">
        <v>3440</v>
      </c>
    </row>
    <row r="20" spans="1:7" s="213" customFormat="1" ht="13.5" customHeight="1">
      <c r="A20" s="254" t="s">
        <v>1493</v>
      </c>
      <c r="B20" s="209" t="s">
        <v>1494</v>
      </c>
      <c r="C20" s="231">
        <f ca="1">ROUND((C5+C19)*F20,0)</f>
        <v>1152</v>
      </c>
      <c r="D20" s="231"/>
      <c r="E20" s="231"/>
      <c r="F20" s="232">
        <f>'数据-取费表'!B37</f>
        <v>0.03</v>
      </c>
      <c r="G20" s="233" t="s">
        <v>1495</v>
      </c>
    </row>
    <row r="21" spans="1:7" s="213" customFormat="1" ht="13.5" customHeight="1">
      <c r="A21" s="254" t="s">
        <v>1496</v>
      </c>
      <c r="B21" s="209" t="s">
        <v>1497</v>
      </c>
      <c r="C21" s="234">
        <f>F21</f>
        <v>0.03</v>
      </c>
      <c r="D21" s="235" t="s">
        <v>1498</v>
      </c>
      <c r="E21" s="231"/>
      <c r="F21" s="232">
        <f>'数据-取费表'!B38</f>
        <v>0.03</v>
      </c>
      <c r="G21" s="233" t="s">
        <v>1499</v>
      </c>
    </row>
    <row r="22" spans="1:7" s="213" customFormat="1" ht="13.5" customHeight="1">
      <c r="A22" s="254" t="s">
        <v>1500</v>
      </c>
      <c r="B22" s="209" t="s">
        <v>1501</v>
      </c>
      <c r="C22" s="1100">
        <f ca="1">ROUND(SUM(C23:C25),0)</f>
        <v>5053</v>
      </c>
      <c r="D22" s="234">
        <f ca="1">C26</f>
        <v>1.9E-3</v>
      </c>
      <c r="E22" s="235" t="s">
        <v>1498</v>
      </c>
      <c r="F22" s="236">
        <f ca="1">'数据-取费表'!B40</f>
        <v>4.1499999999999995E-2</v>
      </c>
      <c r="G22" s="233" t="str">
        <f>IF('数据-取费表'!B22&lt;=1,"单利计息","复利计息")</f>
        <v>复利计息</v>
      </c>
    </row>
    <row r="23" spans="1:7" s="213" customFormat="1" ht="13.5" customHeight="1">
      <c r="A23" s="776" t="s">
        <v>1502</v>
      </c>
      <c r="B23" s="214" t="s">
        <v>1503</v>
      </c>
      <c r="C23" s="1101">
        <f ca="1">ROUND(IF('数据-取费表'!B22&lt;=1,C5*F22*'数据-取费表'!B23,C5*(POWER((1+F22),'数据-取费表'!B23)-1)),0)</f>
        <v>4981</v>
      </c>
      <c r="D23" s="237"/>
      <c r="E23" s="237"/>
      <c r="F23" s="238"/>
      <c r="G23" s="239" t="s">
        <v>1504</v>
      </c>
    </row>
    <row r="24" spans="1:7" s="213" customFormat="1" ht="13.5" customHeight="1">
      <c r="A24" s="776" t="s">
        <v>1505</v>
      </c>
      <c r="B24" s="214" t="s">
        <v>1506</v>
      </c>
      <c r="C24" s="1101">
        <f ca="1">ROUND(IF('数据-取费表'!B22&lt;=1,C19*F22*('数据-取费表'!B19/2+'数据-取费表'!B21),C19*(POWER((1+F22),('数据-取费表'!B19/2+'数据-取费表'!B21))-1)),0)</f>
        <v>0</v>
      </c>
      <c r="D24" s="237"/>
      <c r="E24" s="237"/>
      <c r="F24" s="238"/>
      <c r="G24" s="239" t="s">
        <v>1507</v>
      </c>
    </row>
    <row r="25" spans="1:7" s="213" customFormat="1" ht="24">
      <c r="A25" s="776" t="s">
        <v>1508</v>
      </c>
      <c r="B25" s="214" t="s">
        <v>1509</v>
      </c>
      <c r="C25" s="1101">
        <f ca="1">ROUND(IF('数据-取费表'!B22&lt;=1,C20*F22*'数据-取费表'!B23/2,C20*(POWER((1+F22),'数据-取费表'!B23/2)-1)),0)</f>
        <v>72</v>
      </c>
      <c r="D25" s="237"/>
      <c r="E25" s="240"/>
      <c r="F25" s="238"/>
      <c r="G25" s="241" t="s">
        <v>1510</v>
      </c>
    </row>
    <row r="26" spans="1:7" s="213" customFormat="1">
      <c r="A26" s="776" t="s">
        <v>350</v>
      </c>
      <c r="B26" s="214" t="s">
        <v>1511</v>
      </c>
      <c r="C26" s="237">
        <f ca="1">ROUND(IF('数据-取费表'!B22&lt;=1,F21*F22*'数据-取费表'!B23/2,F21*(POWER((1+F22),'数据-取费表'!B23/2)-1)),4)</f>
        <v>1.9E-3</v>
      </c>
      <c r="D26" s="237"/>
      <c r="E26" s="240"/>
      <c r="F26" s="238"/>
      <c r="G26" s="242"/>
    </row>
    <row r="27" spans="1:7" s="213" customFormat="1" ht="26.4">
      <c r="A27" s="254" t="s">
        <v>1512</v>
      </c>
      <c r="B27" s="243" t="s">
        <v>1513</v>
      </c>
      <c r="C27" s="244">
        <f ca="1">C28</f>
        <v>7909</v>
      </c>
      <c r="D27" s="234">
        <f ca="1">C29</f>
        <v>6.0000000000000001E-3</v>
      </c>
      <c r="E27" s="235" t="s">
        <v>1514</v>
      </c>
      <c r="F27" s="245">
        <f ca="1">IF(B1="",'数据-取费表'!Q16,INDIRECT("'数据-取费表'!q"&amp;$G$1))</f>
        <v>0.2</v>
      </c>
      <c r="G27" s="246" t="s">
        <v>1515</v>
      </c>
    </row>
    <row r="28" spans="1:7" s="213" customFormat="1" ht="13.5" customHeight="1">
      <c r="A28" s="776" t="s">
        <v>346</v>
      </c>
      <c r="B28" s="247" t="s">
        <v>1516</v>
      </c>
      <c r="C28" s="248">
        <f ca="1">ROUND((C5+C19+C20)*F27*'数据-取费表'!B21/'数据-取费表'!B20,0)</f>
        <v>7909</v>
      </c>
      <c r="D28" s="234"/>
      <c r="E28" s="235"/>
      <c r="F28" s="245"/>
      <c r="G28" s="246"/>
    </row>
    <row r="29" spans="1:7" s="213" customFormat="1" ht="13.5" customHeight="1">
      <c r="A29" s="776" t="s">
        <v>347</v>
      </c>
      <c r="B29" s="247" t="s">
        <v>1517</v>
      </c>
      <c r="C29" s="237">
        <f ca="1">ROUND(C21*F27*'数据-取费表'!B21/'数据-取费表'!B20,4)</f>
        <v>6.0000000000000001E-3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57774</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12013</v>
      </c>
      <c r="D33" s="231"/>
      <c r="E33" s="211"/>
      <c r="F33" s="240"/>
      <c r="G33" s="233"/>
    </row>
    <row r="34" spans="1:7" s="257" customFormat="1" ht="13.5" customHeight="1">
      <c r="A34" s="776" t="s">
        <v>346</v>
      </c>
      <c r="B34" s="214" t="s">
        <v>1525</v>
      </c>
      <c r="C34" s="219">
        <f ca="1">IF(B1="",IF(F34=100%,'数据-取费表'!M16,'数据-取费表'!O16),IF(F34=100%,INDIRECT("'数据-取费表'!m"&amp;$G$1)+INDIRECT("'数据-取费表'!t"&amp;$G$1),INDIRECT("'数据-取费表'!o"&amp;$G$1)+INDIRECT("'数据-取费表'!aq"&amp;$G$1)))</f>
        <v>10907</v>
      </c>
      <c r="D34" s="216"/>
      <c r="E34" s="219"/>
      <c r="F34" s="256">
        <f ca="1">IF('数据-取费表'!B24=0,1,IF(B1="",'数据-取费表'!N16,INDIRECT("'数据-取费表'!n"&amp;$G$1)))</f>
        <v>1</v>
      </c>
      <c r="G34" s="218" t="s">
        <v>1526</v>
      </c>
    </row>
    <row r="35" spans="1:7" ht="13.5" customHeight="1">
      <c r="A35" s="776" t="s">
        <v>351</v>
      </c>
      <c r="B35" s="214" t="s">
        <v>1527</v>
      </c>
      <c r="C35" s="219">
        <f ca="1">ROUND(C34*F35,0)</f>
        <v>545</v>
      </c>
      <c r="D35" s="219"/>
      <c r="E35" s="219"/>
      <c r="F35" s="258">
        <f>'数据-取费表'!B33</f>
        <v>0.05</v>
      </c>
      <c r="G35" s="218" t="s">
        <v>1528</v>
      </c>
    </row>
    <row r="36" spans="1:7" ht="24">
      <c r="A36" s="776"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6" t="s">
        <v>353</v>
      </c>
      <c r="B37" s="214" t="s">
        <v>1531</v>
      </c>
      <c r="C37" s="248">
        <f ca="1">ROUND(E37*D37*F34/10000,0)</f>
        <v>397</v>
      </c>
      <c r="D37" s="216">
        <f ca="1">D19</f>
        <v>19830.27</v>
      </c>
      <c r="E37" s="248">
        <f>'数据-取费表'!B35</f>
        <v>200</v>
      </c>
      <c r="F37" s="258"/>
      <c r="G37" s="260" t="s">
        <v>1532</v>
      </c>
    </row>
    <row r="38" spans="1:7" ht="13.5" customHeight="1">
      <c r="A38" s="776" t="s">
        <v>354</v>
      </c>
      <c r="B38" s="214" t="s">
        <v>1533</v>
      </c>
      <c r="C38" s="219">
        <f ca="1">ROUND(C34*F38,0)</f>
        <v>164</v>
      </c>
      <c r="D38" s="219"/>
      <c r="E38" s="219"/>
      <c r="F38" s="258">
        <f>'数据-取费表'!B36</f>
        <v>1.4999999999999999E-2</v>
      </c>
      <c r="G38" s="218" t="s">
        <v>1528</v>
      </c>
    </row>
    <row r="39" spans="1:7" s="213" customFormat="1" ht="13.5" customHeight="1">
      <c r="A39" s="254" t="s">
        <v>1534</v>
      </c>
      <c r="B39" s="209" t="s">
        <v>1535</v>
      </c>
      <c r="C39" s="231">
        <f ca="1">ROUND(C33*F20,0)</f>
        <v>360</v>
      </c>
      <c r="D39" s="231"/>
      <c r="E39" s="231"/>
      <c r="F39" s="232">
        <f>F20</f>
        <v>0.03</v>
      </c>
      <c r="G39" s="233" t="s">
        <v>1536</v>
      </c>
    </row>
    <row r="40" spans="1:7" s="213" customFormat="1" ht="13.5" customHeight="1">
      <c r="A40" s="254" t="s">
        <v>1537</v>
      </c>
      <c r="B40" s="209" t="s">
        <v>1538</v>
      </c>
      <c r="C40" s="1323">
        <f>F21</f>
        <v>0.03</v>
      </c>
      <c r="D40" s="235" t="s">
        <v>1539</v>
      </c>
      <c r="E40" s="231"/>
      <c r="F40" s="232">
        <f>F21</f>
        <v>0.03</v>
      </c>
      <c r="G40" s="233" t="s">
        <v>1540</v>
      </c>
    </row>
    <row r="41" spans="1:7" s="213" customFormat="1" ht="13.5" customHeight="1">
      <c r="A41" s="254" t="s">
        <v>1541</v>
      </c>
      <c r="B41" s="209" t="s">
        <v>1542</v>
      </c>
      <c r="C41" s="231">
        <f ca="1">ROUND(SUM(C42:C43),0)</f>
        <v>779</v>
      </c>
      <c r="D41" s="234">
        <f ca="1">C44</f>
        <v>1.9E-3</v>
      </c>
      <c r="E41" s="235" t="s">
        <v>1539</v>
      </c>
      <c r="F41" s="236">
        <f ca="1">F22</f>
        <v>4.1499999999999995E-2</v>
      </c>
      <c r="G41" s="233" t="str">
        <f>IF('数据-取费表'!B22&lt;=1,"单利计息","复利计息")</f>
        <v>复利计息</v>
      </c>
    </row>
    <row r="42" spans="1:7" ht="13.5" customHeight="1">
      <c r="A42" s="776" t="s">
        <v>346</v>
      </c>
      <c r="B42" s="214" t="s">
        <v>1543</v>
      </c>
      <c r="C42" s="237">
        <f ca="1">ROUND(IF('数据-取费表'!B22&lt;=1,C33*F22*'数据-取费表'!B21/2,C33*(POWER((1+F22),'数据-取费表'!B21/2)-1)),0)</f>
        <v>756</v>
      </c>
      <c r="D42" s="237"/>
      <c r="E42" s="237"/>
      <c r="F42" s="238"/>
      <c r="G42" s="3677" t="s">
        <v>1544</v>
      </c>
    </row>
    <row r="43" spans="1:7" ht="13.5" customHeight="1">
      <c r="A43" s="776" t="s">
        <v>347</v>
      </c>
      <c r="B43" s="214" t="s">
        <v>1545</v>
      </c>
      <c r="C43" s="237">
        <f ca="1">ROUND(IF('数据-取费表'!B22&lt;=1,C39*F22*'数据-取费表'!B21/2,C39*(POWER((1+F22),'数据-取费表'!B21/2)-1)),0)</f>
        <v>23</v>
      </c>
      <c r="D43" s="237"/>
      <c r="E43" s="237"/>
      <c r="F43" s="238"/>
      <c r="G43" s="3678"/>
    </row>
    <row r="44" spans="1:7" ht="13.5" customHeight="1">
      <c r="A44" s="776" t="s">
        <v>348</v>
      </c>
      <c r="B44" s="214" t="s">
        <v>1546</v>
      </c>
      <c r="C44" s="237">
        <f ca="1">ROUND(IF('数据-取费表'!B22&lt;=1,C40*F22*'数据-取费表'!B21/2,C40*(POWER((1+F22),'数据-取费表'!B21/2)-1)),4)</f>
        <v>1.9E-3</v>
      </c>
      <c r="D44" s="237"/>
      <c r="E44" s="237"/>
      <c r="F44" s="238"/>
      <c r="G44" s="3679"/>
    </row>
    <row r="45" spans="1:7" s="213" customFormat="1" ht="13.5" customHeight="1">
      <c r="A45" s="254" t="s">
        <v>1547</v>
      </c>
      <c r="B45" s="243" t="s">
        <v>1513</v>
      </c>
      <c r="C45" s="244">
        <f ca="1">C46</f>
        <v>2475</v>
      </c>
      <c r="D45" s="234">
        <f ca="1">C47</f>
        <v>6.0000000000000001E-3</v>
      </c>
      <c r="E45" s="235" t="s">
        <v>1539</v>
      </c>
      <c r="F45" s="245">
        <f ca="1">F27</f>
        <v>0.2</v>
      </c>
      <c r="G45" s="246" t="s">
        <v>1548</v>
      </c>
    </row>
    <row r="46" spans="1:7" s="213" customFormat="1" ht="13.5" customHeight="1">
      <c r="A46" s="776" t="s">
        <v>346</v>
      </c>
      <c r="B46" s="247" t="s">
        <v>1549</v>
      </c>
      <c r="C46" s="248">
        <f ca="1">ROUND((C33+C39)*F27,0)</f>
        <v>2475</v>
      </c>
      <c r="D46" s="262"/>
      <c r="E46" s="235"/>
      <c r="F46" s="245"/>
      <c r="G46" s="246"/>
    </row>
    <row r="47" spans="1:7" s="213" customFormat="1" ht="13.5" customHeight="1">
      <c r="A47" s="776" t="s">
        <v>347</v>
      </c>
      <c r="B47" s="247" t="s">
        <v>1550</v>
      </c>
      <c r="C47" s="237">
        <f ca="1">ROUND(C40*F27,4)</f>
        <v>6.0000000000000001E-3</v>
      </c>
      <c r="D47" s="262"/>
      <c r="E47" s="235"/>
      <c r="F47" s="245"/>
      <c r="G47" s="246"/>
    </row>
    <row r="48" spans="1:7" s="213" customFormat="1" ht="13.5" customHeight="1">
      <c r="A48" s="254" t="s">
        <v>1512</v>
      </c>
      <c r="B48" s="209" t="s">
        <v>1551</v>
      </c>
      <c r="C48" s="1323">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17195</v>
      </c>
      <c r="D49" s="231"/>
      <c r="E49" s="231"/>
      <c r="F49" s="263"/>
      <c r="G49" s="233" t="s">
        <v>1554</v>
      </c>
    </row>
    <row r="50" spans="1:7" s="257" customFormat="1" ht="24">
      <c r="A50" s="254" t="s">
        <v>1555</v>
      </c>
      <c r="B50" s="209" t="s">
        <v>1556</v>
      </c>
      <c r="C50" s="231"/>
      <c r="D50" s="231"/>
      <c r="E50" s="231"/>
      <c r="F50" s="263">
        <f>IF('数据-取费表'!B24=0,'数据-取费表'!N16,1)</f>
        <v>0.93</v>
      </c>
      <c r="G50" s="246" t="s">
        <v>1557</v>
      </c>
    </row>
    <row r="51" spans="1:7" ht="16.5" customHeight="1">
      <c r="A51" s="254" t="s">
        <v>1558</v>
      </c>
      <c r="B51" s="209" t="s">
        <v>1559</v>
      </c>
      <c r="C51" s="231">
        <f ca="1">ROUND(C49*F50,0)</f>
        <v>15991</v>
      </c>
      <c r="D51" s="231"/>
      <c r="E51" s="231"/>
      <c r="F51" s="263"/>
      <c r="G51" s="233" t="s">
        <v>1560</v>
      </c>
    </row>
    <row r="52" spans="1:7" s="207" customFormat="1" ht="16.8" thickBot="1">
      <c r="A52" s="264" t="s">
        <v>1561</v>
      </c>
      <c r="B52" s="265"/>
      <c r="C52" s="266">
        <f ca="1">C31+C51</f>
        <v>73765</v>
      </c>
      <c r="D52" s="265"/>
      <c r="E52" s="265"/>
      <c r="F52" s="265"/>
      <c r="G52" s="267"/>
    </row>
    <row r="55" spans="1:7" ht="15">
      <c r="B55" s="269" t="s">
        <v>1562</v>
      </c>
      <c r="C55" s="270"/>
    </row>
    <row r="56" spans="1:7">
      <c r="B56" s="272" t="s">
        <v>802</v>
      </c>
      <c r="C56" s="274">
        <f ca="1">1-C57</f>
        <v>0.78300000000000003</v>
      </c>
    </row>
    <row r="57" spans="1:7">
      <c r="B57" s="272" t="s">
        <v>803</v>
      </c>
      <c r="C57" s="273">
        <f ca="1">ROUND(C51/C52,3)</f>
        <v>0.217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I34" sqref="I34"/>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8" width="10.77734375" style="250" customWidth="1"/>
    <col min="9" max="254" width="9" style="250" customWidth="1"/>
    <col min="255" max="16384" width="8.33203125" style="250"/>
  </cols>
  <sheetData>
    <row r="1" spans="1:8" s="199" customFormat="1" ht="21">
      <c r="A1" s="195" t="s">
        <v>1461</v>
      </c>
      <c r="B1" s="1466"/>
      <c r="C1" s="1855" t="s">
        <v>1563</v>
      </c>
      <c r="D1" s="197"/>
      <c r="E1" s="197"/>
      <c r="F1" s="197"/>
      <c r="G1" s="1122">
        <f>MATCH(B1,'数据-取费表'!A6:A16,0)+5</f>
        <v>10</v>
      </c>
      <c r="H1" s="1057" t="str">
        <f>IF(ISERROR(FIND("住宅",B1)),"非住宅","住宅")</f>
        <v>非住宅</v>
      </c>
    </row>
    <row r="2" spans="1:8" s="199" customFormat="1" ht="18" customHeight="1">
      <c r="A2" s="200" t="s">
        <v>1462</v>
      </c>
      <c r="B2" s="3420">
        <f ca="1">ROUND(IF(D2="——",C52/10000,C52/10000-E2),4)</f>
        <v>72890.122799999997</v>
      </c>
      <c r="C2" s="198" t="s">
        <v>1463</v>
      </c>
      <c r="D2" s="1849" t="s">
        <v>43</v>
      </c>
      <c r="E2" s="1165" t="e">
        <f ca="1">SUMIF(INDIRECT("'"&amp;G2&amp;"'"&amp;"!A:A"),"承租人权益价值",INDIRECT("'"&amp;G2&amp;"'"&amp;"!c:c"))</f>
        <v>#REF!</v>
      </c>
      <c r="F2" s="1850" t="s">
        <v>1463</v>
      </c>
      <c r="G2" s="1851"/>
    </row>
    <row r="3" spans="1:8" s="199" customFormat="1" ht="18" customHeight="1" thickBot="1">
      <c r="A3" s="202" t="s">
        <v>1464</v>
      </c>
      <c r="B3" s="203">
        <f ca="1">ROUND(B2*10000/(IF(B1="",'数据-汇总表'!E3,INDIRECT("'数据-取费表'!k"&amp;$G$1))),0)</f>
        <v>7345</v>
      </c>
      <c r="C3" s="198" t="s">
        <v>1465</v>
      </c>
      <c r="D3" s="198"/>
      <c r="E3" s="198"/>
      <c r="F3" s="198"/>
      <c r="G3" s="198"/>
    </row>
    <row r="4" spans="1:8" s="207" customFormat="1" ht="16.2">
      <c r="A4" s="204" t="s">
        <v>1466</v>
      </c>
      <c r="B4" s="205"/>
      <c r="C4" s="205"/>
      <c r="D4" s="205"/>
      <c r="E4" s="205"/>
      <c r="F4" s="205"/>
      <c r="G4" s="206"/>
    </row>
    <row r="5" spans="1:8" s="213" customFormat="1" ht="13.5" customHeight="1">
      <c r="A5" s="254" t="s">
        <v>1467</v>
      </c>
      <c r="B5" s="209" t="s">
        <v>1468</v>
      </c>
      <c r="C5" s="210">
        <f ca="1">C6+C7+C8</f>
        <v>19846466</v>
      </c>
      <c r="D5" s="210" t="s">
        <v>1469</v>
      </c>
      <c r="E5" s="211" t="s">
        <v>1470</v>
      </c>
      <c r="F5" s="211" t="s">
        <v>1471</v>
      </c>
      <c r="G5" s="212"/>
    </row>
    <row r="6" spans="1:8" s="213" customFormat="1" ht="13.5" customHeight="1">
      <c r="A6" s="774" t="s">
        <v>1472</v>
      </c>
      <c r="B6" s="214" t="s">
        <v>1473</v>
      </c>
      <c r="C6" s="215"/>
      <c r="D6" s="216"/>
      <c r="E6" s="217"/>
      <c r="F6" s="217"/>
      <c r="G6" s="218"/>
    </row>
    <row r="7" spans="1:8" s="213" customFormat="1" ht="13.5" customHeight="1">
      <c r="A7" s="774" t="s">
        <v>1474</v>
      </c>
      <c r="B7" s="214" t="s">
        <v>1475</v>
      </c>
      <c r="C7" s="219">
        <f>ROUND(C6*F7,0)</f>
        <v>0</v>
      </c>
      <c r="D7" s="219"/>
      <c r="E7" s="217"/>
      <c r="F7" s="220">
        <f>IF(项目基本情况!B8="出让",0,'数据-取费表'!B48+'数据-取费表'!B49)</f>
        <v>3.0499999999999999E-2</v>
      </c>
      <c r="G7" s="218"/>
    </row>
    <row r="8" spans="1:8" s="222" customFormat="1">
      <c r="A8" s="774" t="s">
        <v>1476</v>
      </c>
      <c r="B8" s="214" t="s">
        <v>1477</v>
      </c>
      <c r="C8" s="219">
        <f ca="1">IF(G8="已包含在土地购买价格中",0,C9+C10)</f>
        <v>19846466</v>
      </c>
      <c r="D8" s="221"/>
      <c r="E8" s="219"/>
      <c r="F8" s="220"/>
      <c r="G8" s="1852"/>
    </row>
    <row r="9" spans="1:8" s="213" customFormat="1" ht="13.5" customHeight="1">
      <c r="A9" s="775" t="s">
        <v>355</v>
      </c>
      <c r="B9" s="223" t="s">
        <v>1478</v>
      </c>
      <c r="C9" s="224">
        <f ca="1">ROUND(D9*E9,0)</f>
        <v>0</v>
      </c>
      <c r="D9" s="841">
        <f ca="1">IF(B1="",'数据-汇总表'!E5,IF(INDIRECT("'数据-取费表'!c"&amp;$G$1)="住宅",INDIRECT("'数据-取费表'!k"&amp;$G$1),0))</f>
        <v>0</v>
      </c>
      <c r="E9" s="224">
        <f>'数据-取费表'!B27</f>
        <v>160</v>
      </c>
      <c r="F9" s="220"/>
      <c r="G9" s="225"/>
    </row>
    <row r="10" spans="1:8" s="213" customFormat="1" ht="13.5" customHeight="1">
      <c r="A10" s="775" t="s">
        <v>356</v>
      </c>
      <c r="B10" s="223" t="s">
        <v>1480</v>
      </c>
      <c r="C10" s="224">
        <f ca="1">ROUND(D10*E10,0)</f>
        <v>19846466</v>
      </c>
      <c r="D10" s="841">
        <f ca="1">IF(B1="",'数据-汇总表'!E6,IF(INDIRECT("'数据-取费表'!c"&amp;$G$1)="住宅",INDIRECT("'数据-取费表'!s"&amp;$G$1),INDIRECT("'数据-取费表'!k"&amp;$G$1)+INDIRECT("'数据-取费表'!s"&amp;$G$1)))</f>
        <v>99232.329999999987</v>
      </c>
      <c r="E10" s="224">
        <f>'数据-取费表'!B28</f>
        <v>200</v>
      </c>
      <c r="F10" s="220"/>
      <c r="G10" s="225"/>
    </row>
    <row r="11" spans="1:8" s="213" customFormat="1" ht="13.5" hidden="1" customHeight="1">
      <c r="A11" s="226" t="s">
        <v>4</v>
      </c>
      <c r="B11" s="214" t="s">
        <v>1481</v>
      </c>
      <c r="C11" s="210"/>
      <c r="D11" s="843"/>
      <c r="E11" s="217"/>
      <c r="F11" s="217"/>
      <c r="G11" s="218"/>
    </row>
    <row r="12" spans="1:8" s="213" customFormat="1" ht="13.5" hidden="1" customHeight="1">
      <c r="A12" s="226" t="s">
        <v>5</v>
      </c>
      <c r="B12" s="214" t="s">
        <v>1564</v>
      </c>
      <c r="C12" s="210">
        <v>0</v>
      </c>
      <c r="D12" s="843"/>
      <c r="E12" s="227"/>
      <c r="F12" s="220">
        <v>3.0499999999999999E-2</v>
      </c>
      <c r="G12" s="218"/>
    </row>
    <row r="13" spans="1:8" s="213" customFormat="1" ht="13.5" hidden="1" customHeight="1">
      <c r="A13" s="226" t="s">
        <v>6</v>
      </c>
      <c r="B13" s="214" t="s">
        <v>1565</v>
      </c>
      <c r="C13" s="210"/>
      <c r="D13" s="843"/>
      <c r="E13" s="217"/>
      <c r="F13" s="217"/>
      <c r="G13" s="218"/>
    </row>
    <row r="14" spans="1:8" s="213" customFormat="1" ht="13.5" hidden="1" customHeight="1">
      <c r="A14" s="226" t="s">
        <v>7</v>
      </c>
      <c r="B14" s="214" t="s">
        <v>1477</v>
      </c>
      <c r="C14" s="210"/>
      <c r="D14" s="843"/>
      <c r="E14" s="217"/>
      <c r="F14" s="217"/>
      <c r="G14" s="218" t="s">
        <v>1566</v>
      </c>
    </row>
    <row r="15" spans="1:8" s="213" customFormat="1" ht="13.5" hidden="1" customHeight="1">
      <c r="A15" s="226" t="s">
        <v>8</v>
      </c>
      <c r="B15" s="214" t="s">
        <v>1567</v>
      </c>
      <c r="C15" s="219"/>
      <c r="D15" s="843"/>
      <c r="E15" s="217"/>
      <c r="F15" s="217"/>
      <c r="G15" s="218" t="s">
        <v>1568</v>
      </c>
    </row>
    <row r="16" spans="1:8" s="213" customFormat="1" ht="13.5" hidden="1" customHeight="1">
      <c r="A16" s="226" t="s">
        <v>9</v>
      </c>
      <c r="B16" s="214" t="s">
        <v>1477</v>
      </c>
      <c r="C16" s="219"/>
      <c r="D16" s="843"/>
      <c r="E16" s="217"/>
      <c r="F16" s="217"/>
      <c r="G16" s="218"/>
    </row>
    <row r="17" spans="1:7" s="213" customFormat="1" ht="13.5" hidden="1" customHeight="1">
      <c r="A17" s="226" t="s">
        <v>10</v>
      </c>
      <c r="B17" s="214" t="s">
        <v>1569</v>
      </c>
      <c r="C17" s="228"/>
      <c r="D17" s="844"/>
      <c r="E17" s="228"/>
      <c r="F17" s="228"/>
      <c r="G17" s="218" t="s">
        <v>1568</v>
      </c>
    </row>
    <row r="18" spans="1:7" s="213" customFormat="1" ht="13.5" hidden="1" customHeight="1">
      <c r="A18" s="226" t="s">
        <v>11</v>
      </c>
      <c r="B18" s="214" t="s">
        <v>1570</v>
      </c>
      <c r="C18" s="219">
        <v>0</v>
      </c>
      <c r="D18" s="843"/>
      <c r="E18" s="217"/>
      <c r="F18" s="220">
        <v>3.0499999999999999E-2</v>
      </c>
      <c r="G18" s="218" t="s">
        <v>1571</v>
      </c>
    </row>
    <row r="19" spans="1:7" s="222" customFormat="1" ht="13.5" customHeight="1">
      <c r="A19" s="254" t="s">
        <v>1572</v>
      </c>
      <c r="B19" s="209" t="s">
        <v>1573</v>
      </c>
      <c r="C19" s="210">
        <f ca="1">IF(G19="已包含在土地取得成本中","0",ROUND(D19*E19,0))</f>
        <v>19846466</v>
      </c>
      <c r="D19" s="845">
        <f ca="1">D9+D10</f>
        <v>99232.329999999987</v>
      </c>
      <c r="E19" s="210">
        <f>'数据-取费表'!B31</f>
        <v>200</v>
      </c>
      <c r="F19" s="230"/>
      <c r="G19" s="1852"/>
    </row>
    <row r="20" spans="1:7" s="213" customFormat="1" ht="13.5" customHeight="1">
      <c r="A20" s="254" t="s">
        <v>1574</v>
      </c>
      <c r="B20" s="209" t="s">
        <v>1575</v>
      </c>
      <c r="C20" s="231">
        <f ca="1">ROUND((C5+C19)*F20,0)</f>
        <v>1190788</v>
      </c>
      <c r="D20" s="231"/>
      <c r="E20" s="231"/>
      <c r="F20" s="232">
        <f>'数据-取费表'!B37</f>
        <v>0.03</v>
      </c>
      <c r="G20" s="233" t="s">
        <v>1576</v>
      </c>
    </row>
    <row r="21" spans="1:7" s="213" customFormat="1" ht="13.5" customHeight="1">
      <c r="A21" s="254" t="s">
        <v>1577</v>
      </c>
      <c r="B21" s="209" t="s">
        <v>1578</v>
      </c>
      <c r="C21" s="234">
        <f>F21</f>
        <v>0.03</v>
      </c>
      <c r="D21" s="235" t="s">
        <v>1579</v>
      </c>
      <c r="E21" s="231"/>
      <c r="F21" s="232">
        <f>'数据-取费表'!B38</f>
        <v>0.03</v>
      </c>
      <c r="G21" s="233" t="s">
        <v>1580</v>
      </c>
    </row>
    <row r="22" spans="1:7" s="213" customFormat="1" ht="13.5" customHeight="1">
      <c r="A22" s="254" t="s">
        <v>1581</v>
      </c>
      <c r="B22" s="209" t="s">
        <v>1582</v>
      </c>
      <c r="C22" s="1123">
        <f ca="1">ROUND(SUM(C23:C25),0)</f>
        <v>5224580</v>
      </c>
      <c r="D22" s="234">
        <f ca="1">C26</f>
        <v>1.9E-3</v>
      </c>
      <c r="E22" s="235" t="s">
        <v>1579</v>
      </c>
      <c r="F22" s="236">
        <f ca="1">'数据-取费表'!B40</f>
        <v>4.1499999999999995E-2</v>
      </c>
      <c r="G22" s="233" t="str">
        <f>IF('数据-取费表'!B22&lt;=1,"单利计息","复利计息")</f>
        <v>复利计息</v>
      </c>
    </row>
    <row r="23" spans="1:7" s="213" customFormat="1" ht="13.5" customHeight="1">
      <c r="A23" s="776" t="s">
        <v>1472</v>
      </c>
      <c r="B23" s="214" t="s">
        <v>1583</v>
      </c>
      <c r="C23" s="1124">
        <f ca="1">ROUND(IF('数据-取费表'!B22&lt;=1,C5*F22*'数据-取费表'!B22,C5*(POWER((1+F22),'数据-取费表'!B22)-1)),0)</f>
        <v>2574845</v>
      </c>
      <c r="D23" s="237"/>
      <c r="E23" s="237"/>
      <c r="F23" s="238"/>
      <c r="G23" s="239" t="s">
        <v>1584</v>
      </c>
    </row>
    <row r="24" spans="1:7" s="213" customFormat="1" ht="13.5" customHeight="1">
      <c r="A24" s="776" t="s">
        <v>1474</v>
      </c>
      <c r="B24" s="214" t="s">
        <v>1585</v>
      </c>
      <c r="C24" s="1124">
        <f ca="1">ROUND(IF('数据-取费表'!B22&lt;=1,C19*F22*('数据-取费表'!B19/2+'数据-取费表'!B20),C19*(POWER((1+F22),('数据-取费表'!B19/2+'数据-取费表'!B20))-1)),0)</f>
        <v>2574845</v>
      </c>
      <c r="D24" s="237"/>
      <c r="E24" s="237"/>
      <c r="F24" s="238"/>
      <c r="G24" s="239" t="s">
        <v>1586</v>
      </c>
    </row>
    <row r="25" spans="1:7" s="213" customFormat="1" ht="24">
      <c r="A25" s="776" t="s">
        <v>1476</v>
      </c>
      <c r="B25" s="214" t="s">
        <v>1587</v>
      </c>
      <c r="C25" s="1124">
        <f ca="1">ROUND(IF('数据-取费表'!B22&lt;=1,C20*F22*'数据-取费表'!B22/2,C20*(POWER((1+F22),'数据-取费表'!B22/2)-1)),0)</f>
        <v>74890</v>
      </c>
      <c r="D25" s="237"/>
      <c r="E25" s="240"/>
      <c r="F25" s="238"/>
      <c r="G25" s="241" t="s">
        <v>1588</v>
      </c>
    </row>
    <row r="26" spans="1:7" s="213" customFormat="1">
      <c r="A26" s="776" t="s">
        <v>350</v>
      </c>
      <c r="B26" s="214" t="s">
        <v>1511</v>
      </c>
      <c r="C26" s="237">
        <f ca="1">ROUND(IF('数据-取费表'!B22&lt;=1,F21*F22*'数据-取费表'!B22/2,F21*(POWER((1+F22),'数据-取费表'!B22/2)-1)),4)</f>
        <v>1.9E-3</v>
      </c>
      <c r="D26" s="237"/>
      <c r="E26" s="240"/>
      <c r="F26" s="238"/>
      <c r="G26" s="242"/>
    </row>
    <row r="27" spans="1:7" s="213" customFormat="1" ht="26.4">
      <c r="A27" s="254" t="s">
        <v>1512</v>
      </c>
      <c r="B27" s="243" t="s">
        <v>1513</v>
      </c>
      <c r="C27" s="244">
        <f ca="1">C28</f>
        <v>6950232</v>
      </c>
      <c r="D27" s="234">
        <f ca="1">C29</f>
        <v>5.1000000000000004E-3</v>
      </c>
      <c r="E27" s="235" t="s">
        <v>1514</v>
      </c>
      <c r="F27" s="245">
        <f ca="1">IF(B1="",'数据-取费表'!Q16,INDIRECT("'数据-取费表'!q"&amp;$G$1))</f>
        <v>0.17</v>
      </c>
      <c r="G27" s="246" t="s">
        <v>1515</v>
      </c>
    </row>
    <row r="28" spans="1:7" s="213" customFormat="1" ht="13.5" customHeight="1">
      <c r="A28" s="776" t="s">
        <v>346</v>
      </c>
      <c r="B28" s="247" t="s">
        <v>1516</v>
      </c>
      <c r="C28" s="248">
        <f ca="1">ROUND((C5+C19+C20)*F27,0)</f>
        <v>6950232</v>
      </c>
      <c r="D28" s="234"/>
      <c r="E28" s="235"/>
      <c r="F28" s="245"/>
      <c r="G28" s="246"/>
    </row>
    <row r="29" spans="1:7" s="213" customFormat="1" ht="13.5" customHeight="1">
      <c r="A29" s="776" t="s">
        <v>347</v>
      </c>
      <c r="B29" s="247" t="s">
        <v>1517</v>
      </c>
      <c r="C29" s="237">
        <f ca="1">ROUND(C21*F27,4)</f>
        <v>5.1000000000000004E-3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58325307</v>
      </c>
      <c r="D31" s="229"/>
      <c r="E31" s="210"/>
      <c r="F31" s="249"/>
      <c r="G31" s="233" t="s">
        <v>1522</v>
      </c>
    </row>
    <row r="32" spans="1:7" s="207" customFormat="1" ht="16.2">
      <c r="A32" s="251" t="s">
        <v>1589</v>
      </c>
      <c r="B32" s="252"/>
      <c r="C32" s="252"/>
      <c r="D32" s="252"/>
      <c r="E32" s="252"/>
      <c r="F32" s="252"/>
      <c r="G32" s="253"/>
    </row>
    <row r="33" spans="1:7" s="213" customFormat="1" ht="13.5" customHeight="1">
      <c r="A33" s="254" t="s">
        <v>337</v>
      </c>
      <c r="B33" s="209" t="s">
        <v>1590</v>
      </c>
      <c r="C33" s="255">
        <f ca="1">SUM(C34:C38)</f>
        <v>516536645</v>
      </c>
      <c r="D33" s="231"/>
      <c r="E33" s="211"/>
      <c r="F33" s="240"/>
      <c r="G33" s="233"/>
    </row>
    <row r="34" spans="1:7" s="257" customFormat="1" ht="13.5" customHeight="1">
      <c r="A34" s="776" t="s">
        <v>346</v>
      </c>
      <c r="B34" s="214" t="s">
        <v>1525</v>
      </c>
      <c r="C34" s="219">
        <f ca="1">ROUND(IF(B1="",SUMPRODUCT('数据-取费表'!K6:K14,'数据-取费表'!L6:L14),INDIRECT("'数据-取费表'!l"&amp;$G$1)*INDIRECT("'数据-取费表'!k"&amp;$G$1)+'数据-取费表'!L14*INDIRECT("'数据-取费表'!S"&amp;$G$1)),0)</f>
        <v>466375755</v>
      </c>
      <c r="D34" s="216"/>
      <c r="E34" s="219"/>
      <c r="F34" s="256"/>
      <c r="G34" s="218"/>
    </row>
    <row r="35" spans="1:7" ht="13.5" customHeight="1">
      <c r="A35" s="776" t="s">
        <v>351</v>
      </c>
      <c r="B35" s="214" t="s">
        <v>1527</v>
      </c>
      <c r="C35" s="219">
        <f ca="1">ROUND(C34*F35,0)</f>
        <v>23318788</v>
      </c>
      <c r="D35" s="219"/>
      <c r="E35" s="219"/>
      <c r="F35" s="258">
        <f>'数据-取费表'!B33</f>
        <v>0.05</v>
      </c>
      <c r="G35" s="218" t="s">
        <v>1528</v>
      </c>
    </row>
    <row r="36" spans="1:7" ht="24">
      <c r="A36" s="776"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6" t="s">
        <v>353</v>
      </c>
      <c r="B37" s="214" t="s">
        <v>1531</v>
      </c>
      <c r="C37" s="248">
        <f ca="1">ROUND(E37*D37,0)</f>
        <v>19846466</v>
      </c>
      <c r="D37" s="216">
        <f ca="1">D19</f>
        <v>99232.329999999987</v>
      </c>
      <c r="E37" s="248">
        <f>'数据-取费表'!B35</f>
        <v>200</v>
      </c>
      <c r="F37" s="258"/>
      <c r="G37" s="260"/>
    </row>
    <row r="38" spans="1:7" ht="13.5" customHeight="1">
      <c r="A38" s="776" t="s">
        <v>354</v>
      </c>
      <c r="B38" s="214" t="s">
        <v>1533</v>
      </c>
      <c r="C38" s="219">
        <f ca="1">ROUND(C34*F38,0)</f>
        <v>6995636</v>
      </c>
      <c r="D38" s="219"/>
      <c r="E38" s="219"/>
      <c r="F38" s="258">
        <f>'数据-取费表'!B36</f>
        <v>1.4999999999999999E-2</v>
      </c>
      <c r="G38" s="218" t="s">
        <v>1528</v>
      </c>
    </row>
    <row r="39" spans="1:7" s="213" customFormat="1" ht="13.5" customHeight="1">
      <c r="A39" s="254" t="s">
        <v>1534</v>
      </c>
      <c r="B39" s="209" t="s">
        <v>1535</v>
      </c>
      <c r="C39" s="231">
        <f ca="1">ROUND(C33*F20,0)</f>
        <v>15496099</v>
      </c>
      <c r="D39" s="231"/>
      <c r="E39" s="231"/>
      <c r="F39" s="232">
        <f>F20</f>
        <v>0.03</v>
      </c>
      <c r="G39" s="233" t="s">
        <v>1536</v>
      </c>
    </row>
    <row r="40" spans="1:7" s="213" customFormat="1" ht="13.5" customHeight="1">
      <c r="A40" s="254" t="s">
        <v>1537</v>
      </c>
      <c r="B40" s="209" t="s">
        <v>1538</v>
      </c>
      <c r="C40" s="1323">
        <f>F21</f>
        <v>0.03</v>
      </c>
      <c r="D40" s="235" t="s">
        <v>1539</v>
      </c>
      <c r="E40" s="231"/>
      <c r="F40" s="232">
        <f>F21</f>
        <v>0.03</v>
      </c>
      <c r="G40" s="233" t="s">
        <v>1540</v>
      </c>
    </row>
    <row r="41" spans="1:7" s="213" customFormat="1" ht="13.5" customHeight="1">
      <c r="A41" s="254" t="s">
        <v>1541</v>
      </c>
      <c r="B41" s="209" t="s">
        <v>1542</v>
      </c>
      <c r="C41" s="231">
        <f ca="1">ROUND(SUM(C42:C43),0)</f>
        <v>33460308</v>
      </c>
      <c r="D41" s="234">
        <f ca="1">C44</f>
        <v>1.9E-3</v>
      </c>
      <c r="E41" s="235" t="s">
        <v>1539</v>
      </c>
      <c r="F41" s="236">
        <f ca="1">F22</f>
        <v>4.1499999999999995E-2</v>
      </c>
      <c r="G41" s="233" t="str">
        <f>IF('数据-取费表'!B22&lt;=1,"单利计息","复利计息")</f>
        <v>复利计息</v>
      </c>
    </row>
    <row r="42" spans="1:7" ht="13.5" customHeight="1">
      <c r="A42" s="776" t="s">
        <v>346</v>
      </c>
      <c r="B42" s="214" t="s">
        <v>1543</v>
      </c>
      <c r="C42" s="237">
        <f ca="1">ROUND(IF('数据-取费表'!B22&lt;=1,C33*F22*'数据-取费表'!B20/2,C33*(POWER((1+F22),'数据-取费表'!B20/2)-1)),0)</f>
        <v>32485736</v>
      </c>
      <c r="D42" s="237"/>
      <c r="E42" s="237"/>
      <c r="F42" s="238"/>
      <c r="G42" s="3677" t="s">
        <v>1591</v>
      </c>
    </row>
    <row r="43" spans="1:7" ht="13.5" customHeight="1">
      <c r="A43" s="776" t="s">
        <v>347</v>
      </c>
      <c r="B43" s="214" t="s">
        <v>1545</v>
      </c>
      <c r="C43" s="237">
        <f ca="1">ROUND(IF('数据-取费表'!B22&lt;=1,C39*F22*'数据-取费表'!B20/2,C39*(POWER((1+F22),'数据-取费表'!B20/2)-1)),0)</f>
        <v>974572</v>
      </c>
      <c r="D43" s="237"/>
      <c r="E43" s="237"/>
      <c r="F43" s="238"/>
      <c r="G43" s="3678"/>
    </row>
    <row r="44" spans="1:7" ht="13.5" customHeight="1">
      <c r="A44" s="776" t="s">
        <v>348</v>
      </c>
      <c r="B44" s="214" t="s">
        <v>1546</v>
      </c>
      <c r="C44" s="237">
        <f ca="1">ROUND(IF('数据-取费表'!B22&lt;=1,C40*F22*'数据-取费表'!B20/2,C40*(POWER((1+F22),'数据-取费表'!B20/2)-1)),4)</f>
        <v>1.9E-3</v>
      </c>
      <c r="D44" s="237"/>
      <c r="E44" s="237"/>
      <c r="F44" s="238"/>
      <c r="G44" s="3679"/>
    </row>
    <row r="45" spans="1:7" s="213" customFormat="1" ht="13.5" customHeight="1">
      <c r="A45" s="254" t="s">
        <v>1547</v>
      </c>
      <c r="B45" s="243" t="s">
        <v>1513</v>
      </c>
      <c r="C45" s="244">
        <f ca="1">C46</f>
        <v>90445566</v>
      </c>
      <c r="D45" s="234">
        <f ca="1">C47</f>
        <v>5.1000000000000004E-3</v>
      </c>
      <c r="E45" s="235" t="s">
        <v>1539</v>
      </c>
      <c r="F45" s="245">
        <f ca="1">F27</f>
        <v>0.17</v>
      </c>
      <c r="G45" s="246" t="s">
        <v>1548</v>
      </c>
    </row>
    <row r="46" spans="1:7" s="213" customFormat="1" ht="13.5" customHeight="1">
      <c r="A46" s="776" t="s">
        <v>346</v>
      </c>
      <c r="B46" s="247" t="s">
        <v>1549</v>
      </c>
      <c r="C46" s="248">
        <f ca="1">ROUND((C33+C39)*F27,0)</f>
        <v>90445566</v>
      </c>
      <c r="D46" s="262"/>
      <c r="E46" s="235"/>
      <c r="F46" s="245"/>
      <c r="G46" s="246"/>
    </row>
    <row r="47" spans="1:7" s="213" customFormat="1" ht="13.5" customHeight="1">
      <c r="A47" s="776" t="s">
        <v>347</v>
      </c>
      <c r="B47" s="247" t="s">
        <v>1550</v>
      </c>
      <c r="C47" s="237">
        <f ca="1">ROUND(C40*F27,4)</f>
        <v>5.1000000000000004E-3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721049377</v>
      </c>
      <c r="D49" s="231"/>
      <c r="E49" s="231"/>
      <c r="F49" s="263"/>
      <c r="G49" s="233" t="s">
        <v>1554</v>
      </c>
    </row>
    <row r="50" spans="1:7" s="257" customFormat="1">
      <c r="A50" s="254" t="s">
        <v>1555</v>
      </c>
      <c r="B50" s="209" t="s">
        <v>1556</v>
      </c>
      <c r="C50" s="231"/>
      <c r="D50" s="231"/>
      <c r="E50" s="231"/>
      <c r="F50" s="263">
        <f>IF('数据-取费表'!B24=0,'数据-取费表'!N16,1)</f>
        <v>0.93</v>
      </c>
      <c r="G50" s="246"/>
    </row>
    <row r="51" spans="1:7" ht="16.5" customHeight="1">
      <c r="A51" s="254" t="s">
        <v>1558</v>
      </c>
      <c r="B51" s="209" t="s">
        <v>1593</v>
      </c>
      <c r="C51" s="231">
        <f ca="1">ROUND(C49*F50,0)</f>
        <v>670575921</v>
      </c>
      <c r="D51" s="231"/>
      <c r="E51" s="231"/>
      <c r="F51" s="263"/>
      <c r="G51" s="233" t="s">
        <v>1560</v>
      </c>
    </row>
    <row r="52" spans="1:7" s="207" customFormat="1" ht="16.8" thickBot="1">
      <c r="A52" s="264" t="s">
        <v>1561</v>
      </c>
      <c r="B52" s="265"/>
      <c r="C52" s="266">
        <f ca="1">C31+C51</f>
        <v>728901228</v>
      </c>
      <c r="D52" s="265"/>
      <c r="E52" s="265"/>
      <c r="F52" s="265"/>
      <c r="G52" s="267"/>
    </row>
    <row r="55" spans="1:7" ht="15">
      <c r="B55" s="269" t="s">
        <v>1562</v>
      </c>
      <c r="C55" s="270"/>
    </row>
    <row r="56" spans="1:7">
      <c r="B56" s="272" t="s">
        <v>802</v>
      </c>
      <c r="C56" s="274">
        <f ca="1">1-C57</f>
        <v>7.999999999999996E-2</v>
      </c>
    </row>
    <row r="57" spans="1:7">
      <c r="B57" s="272" t="s">
        <v>803</v>
      </c>
      <c r="C57" s="273">
        <f ca="1">ROUND(C51/C52,3)</f>
        <v>0.92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6" customWidth="1"/>
    <col min="2" max="2" width="25.77734375" style="777" customWidth="1"/>
    <col min="3" max="3" width="10.33203125" style="819" customWidth="1"/>
    <col min="4" max="4" width="9.88671875" style="777" customWidth="1"/>
    <col min="5" max="5" width="9.44140625" style="726" customWidth="1"/>
    <col min="6" max="6" width="10.109375" style="777" customWidth="1"/>
    <col min="7" max="7" width="10.77734375" style="777" customWidth="1"/>
    <col min="8" max="8" width="10" style="777" customWidth="1"/>
    <col min="9" max="11" width="9.44140625" style="777" customWidth="1"/>
    <col min="12" max="12" width="9" style="777" customWidth="1"/>
    <col min="13" max="13" width="10.44140625" style="777" bestFit="1" customWidth="1"/>
    <col min="14" max="254" width="9" style="777" customWidth="1"/>
    <col min="255" max="16384" width="6.6640625" style="777"/>
  </cols>
  <sheetData>
    <row r="1" spans="1:33" ht="21">
      <c r="A1" s="195" t="s">
        <v>1594</v>
      </c>
      <c r="B1" s="1187"/>
      <c r="C1" s="1188"/>
      <c r="D1" s="1186"/>
      <c r="E1" s="2802"/>
      <c r="F1" s="2802"/>
      <c r="G1" s="2667"/>
      <c r="H1" s="2802"/>
      <c r="I1" s="2802"/>
      <c r="J1" s="2802"/>
      <c r="K1" s="2803">
        <f>MATCH(C1,'数据-取费表'!A6:A16,0)+5</f>
        <v>10</v>
      </c>
    </row>
    <row r="2" spans="1:33" ht="18" customHeight="1">
      <c r="A2" s="200" t="s">
        <v>1462</v>
      </c>
      <c r="B2" s="203">
        <f ca="1">C32</f>
        <v>-2326</v>
      </c>
      <c r="C2" s="275" t="s">
        <v>1595</v>
      </c>
      <c r="D2" s="275"/>
      <c r="E2" s="2802"/>
      <c r="F2" s="2802"/>
      <c r="G2" s="2802"/>
      <c r="H2" s="2802"/>
      <c r="I2" s="2802"/>
      <c r="J2" s="2802"/>
      <c r="K2" s="2802"/>
    </row>
    <row r="3" spans="1:33" ht="18" customHeight="1" thickBot="1">
      <c r="A3" s="202" t="s">
        <v>1464</v>
      </c>
      <c r="B3" s="203">
        <f ca="1">ROUND(B2*10000/IF(C1="",'数据-汇总表'!E3,INDIRECT("'数据-取费表'!K"&amp;$K$1)),0)</f>
        <v>-234</v>
      </c>
      <c r="C3" s="275" t="s">
        <v>1596</v>
      </c>
      <c r="D3" s="275"/>
      <c r="E3" s="2802"/>
      <c r="F3" s="2802"/>
      <c r="G3" s="2802"/>
      <c r="H3" s="2802"/>
      <c r="I3" s="2802"/>
      <c r="J3" s="2802"/>
      <c r="K3" s="2802"/>
    </row>
    <row r="4" spans="1:33" s="781" customFormat="1" ht="16.5" customHeight="1">
      <c r="A4" s="778" t="s">
        <v>1597</v>
      </c>
      <c r="B4" s="779"/>
      <c r="C4" s="820">
        <f>SUM(C8:K8)</f>
        <v>0</v>
      </c>
      <c r="D4" s="779"/>
      <c r="E4" s="779"/>
      <c r="F4" s="779"/>
      <c r="G4" s="779"/>
      <c r="H4" s="779"/>
      <c r="I4" s="779"/>
      <c r="J4" s="779"/>
      <c r="K4" s="780"/>
    </row>
    <row r="5" spans="1:33" s="785" customFormat="1" ht="14.4">
      <c r="A5" s="782" t="s">
        <v>1598</v>
      </c>
      <c r="B5" s="783" t="s">
        <v>1599</v>
      </c>
      <c r="C5" s="1856"/>
      <c r="D5" s="1856"/>
      <c r="E5" s="1856"/>
      <c r="F5" s="1856"/>
      <c r="G5" s="1856"/>
      <c r="H5" s="1856"/>
      <c r="I5" s="1856"/>
      <c r="J5" s="1856"/>
      <c r="K5" s="1856"/>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30" t="s">
        <v>1600</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7" t="s">
        <v>1603</v>
      </c>
      <c r="B8" s="163" t="s">
        <v>1604</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1605</v>
      </c>
      <c r="B9" s="779"/>
      <c r="C9" s="779"/>
      <c r="D9" s="779"/>
      <c r="E9" s="779"/>
      <c r="F9" s="779"/>
      <c r="G9" s="779"/>
      <c r="H9" s="779"/>
      <c r="I9" s="779"/>
      <c r="J9" s="779"/>
      <c r="K9" s="780"/>
    </row>
    <row r="10" spans="1:33" s="795" customFormat="1" ht="13.5" customHeight="1">
      <c r="A10" s="782" t="s">
        <v>1606</v>
      </c>
      <c r="B10" s="5" t="s">
        <v>1607</v>
      </c>
      <c r="C10" s="791" t="s">
        <v>1608</v>
      </c>
      <c r="D10" s="792" t="s">
        <v>1609</v>
      </c>
      <c r="E10" s="792" t="s">
        <v>1610</v>
      </c>
      <c r="F10" s="792" t="s">
        <v>1611</v>
      </c>
      <c r="G10" s="5"/>
      <c r="H10" s="793"/>
      <c r="I10" s="793"/>
      <c r="J10" s="793"/>
      <c r="K10" s="794"/>
    </row>
    <row r="11" spans="1:33" s="799" customFormat="1" ht="13.5" customHeight="1">
      <c r="A11" s="796" t="s">
        <v>635</v>
      </c>
      <c r="B11" s="797" t="s">
        <v>1612</v>
      </c>
      <c r="C11" s="278">
        <f ca="1">IF(C1="",'数据-取费表'!P16,INDIRECT("'数据-取费表'!p"&amp;$K$1)+INDIRECT("'数据-取费表'!ar"&amp;$K$1))</f>
        <v>0</v>
      </c>
      <c r="D11" s="798"/>
      <c r="E11" s="328"/>
      <c r="F11" s="808">
        <f ca="1">1-IF('数据-取费表'!B24=0,1,IF(C1="",'数据-取费表'!N16,INDIRECT("'数据-取费表'!n"&amp;$K$1)))</f>
        <v>0</v>
      </c>
      <c r="G11" s="5"/>
      <c r="H11" s="793"/>
      <c r="I11" s="793"/>
      <c r="J11" s="793"/>
      <c r="K11" s="794"/>
    </row>
    <row r="12" spans="1:33" s="799" customFormat="1" ht="13.5" customHeight="1">
      <c r="A12" s="796" t="s">
        <v>636</v>
      </c>
      <c r="B12" s="797" t="s">
        <v>1613</v>
      </c>
      <c r="C12" s="21">
        <f ca="1">ROUND(C11*F12,0)</f>
        <v>0</v>
      </c>
      <c r="D12" s="798"/>
      <c r="E12" s="328"/>
      <c r="F12" s="808">
        <f>'数据-取费表'!B33</f>
        <v>0.05</v>
      </c>
      <c r="G12" s="5" t="s">
        <v>1614</v>
      </c>
      <c r="H12" s="793"/>
      <c r="I12" s="793"/>
      <c r="J12" s="793"/>
      <c r="K12" s="794"/>
    </row>
    <row r="13" spans="1:33" s="799" customFormat="1" ht="13.5" customHeight="1">
      <c r="A13" s="796" t="s">
        <v>637</v>
      </c>
      <c r="B13" s="797" t="s">
        <v>1615</v>
      </c>
      <c r="C13" s="21">
        <f ca="1">ROUND(IF(C1="",SUMIF('数据-取费表'!C:C,"住宅",'数据-取费表'!P:P)*F13,IF(INDIRECT("'数据-取费表'!c"&amp;$K$1)="住宅",INDIRECT("'数据-取费表'!P"&amp;$K$1)*F13,0)),0)</f>
        <v>0</v>
      </c>
      <c r="D13" s="842"/>
      <c r="E13" s="328"/>
      <c r="F13" s="808">
        <f>'数据-取费表'!B34</f>
        <v>0</v>
      </c>
      <c r="G13" s="5" t="s">
        <v>1616</v>
      </c>
      <c r="H13" s="793"/>
      <c r="I13" s="793"/>
      <c r="J13" s="793"/>
      <c r="K13" s="794"/>
    </row>
    <row r="14" spans="1:33" s="801" customFormat="1" ht="13.5" customHeight="1">
      <c r="A14" s="796" t="s">
        <v>638</v>
      </c>
      <c r="B14" s="797" t="s">
        <v>1617</v>
      </c>
      <c r="C14" s="21">
        <f ca="1">ROUND(D14*E14*F11/10000,0)</f>
        <v>0</v>
      </c>
      <c r="D14" s="842">
        <f ca="1">IF(C1="",'数据-汇总表'!E3,INDIRECT("'数据-取费表'!K"&amp;$K$1)+INDIRECT("'数据-取费表'!S"&amp;$K$1))</f>
        <v>99232.329999999987</v>
      </c>
      <c r="E14" s="21">
        <f>'数据-取费表'!B35</f>
        <v>200</v>
      </c>
      <c r="F14" s="800"/>
      <c r="G14" s="5" t="s">
        <v>1618</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1619</v>
      </c>
      <c r="C15" s="807">
        <f ca="1">ROUND(C11*F15,0)</f>
        <v>0</v>
      </c>
      <c r="D15" s="802"/>
      <c r="E15" s="807"/>
      <c r="F15" s="808">
        <f>'数据-取费表'!B36</f>
        <v>1.4999999999999999E-2</v>
      </c>
      <c r="G15" s="130" t="s">
        <v>1620</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1621</v>
      </c>
      <c r="C16" s="807">
        <f ca="1">SUM(C11:C15)</f>
        <v>0</v>
      </c>
      <c r="D16" s="802"/>
      <c r="E16" s="807"/>
      <c r="F16" s="808"/>
      <c r="G16" s="130"/>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1622</v>
      </c>
      <c r="C17" s="21">
        <f ca="1">ROUND(D17*E17/10000,0)</f>
        <v>0</v>
      </c>
      <c r="D17" s="842">
        <f ca="1">D14</f>
        <v>99232.329999999987</v>
      </c>
      <c r="E17" s="21">
        <f>'数据-取费表'!B32</f>
        <v>0</v>
      </c>
      <c r="F17" s="802"/>
      <c r="G17" s="130" t="s">
        <v>1623</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1624</v>
      </c>
      <c r="C18" s="21">
        <f ca="1">C19+C20-IF(C1="",'数据-取费表'!B29,IF(G18="已全部缴纳",C19+C20,H18))</f>
        <v>1985</v>
      </c>
      <c r="D18" s="842"/>
      <c r="E18" s="21"/>
      <c r="F18" s="800"/>
      <c r="G18" s="1858"/>
      <c r="H18" s="1183"/>
      <c r="I18" s="1859" t="s">
        <v>1625</v>
      </c>
      <c r="J18" s="803"/>
      <c r="K18" s="804"/>
    </row>
    <row r="19" spans="1:33" s="799" customFormat="1" ht="13.5" customHeight="1">
      <c r="A19" s="796" t="s">
        <v>360</v>
      </c>
      <c r="B19" s="797" t="s">
        <v>1626</v>
      </c>
      <c r="C19" s="21">
        <f ca="1">ROUND(D19*E19/10000,0)</f>
        <v>0</v>
      </c>
      <c r="D19" s="842">
        <f ca="1">IF(C1="",'数据-汇总表'!E5,IF(INDIRECT("'数据-取费表'!c"&amp;$K$1)="住宅",INDIRECT("'数据-取费表'!k"&amp;$K$1),0))</f>
        <v>0</v>
      </c>
      <c r="E19" s="21">
        <f>'数据-取费表'!B27</f>
        <v>160</v>
      </c>
      <c r="F19" s="800"/>
      <c r="G19" s="12"/>
      <c r="H19" s="1185"/>
      <c r="I19" s="805"/>
      <c r="J19" s="805"/>
      <c r="K19" s="806"/>
    </row>
    <row r="20" spans="1:33" s="799" customFormat="1" ht="13.5" customHeight="1">
      <c r="A20" s="796" t="s">
        <v>361</v>
      </c>
      <c r="B20" s="797" t="s">
        <v>1627</v>
      </c>
      <c r="C20" s="21">
        <f ca="1">ROUND(D20*E20/10000,0)</f>
        <v>1985</v>
      </c>
      <c r="D20" s="842">
        <f ca="1">IF(C1="",'数据-汇总表'!E6,IF(INDIRECT("'数据-取费表'!c"&amp;$K$1)="住宅",INDIRECT("'数据-取费表'!s"&amp;$K$1),INDIRECT("'数据-取费表'!k"&amp;$K$1)+INDIRECT("'数据-取费表'!s"&amp;$K$1)))</f>
        <v>99232.329999999987</v>
      </c>
      <c r="E20" s="21">
        <f>'数据-取费表'!B28</f>
        <v>200</v>
      </c>
      <c r="F20" s="800"/>
      <c r="G20" s="12"/>
      <c r="H20" s="805"/>
      <c r="I20" s="805"/>
      <c r="J20" s="805"/>
      <c r="K20" s="806"/>
    </row>
    <row r="21" spans="1:33" s="799" customFormat="1" ht="13.5" customHeight="1">
      <c r="A21" s="786" t="s">
        <v>357</v>
      </c>
      <c r="B21" s="809" t="s">
        <v>1628</v>
      </c>
      <c r="C21" s="810">
        <f ca="1">C16+C17+C18</f>
        <v>1985</v>
      </c>
      <c r="D21" s="811"/>
      <c r="E21" s="280"/>
      <c r="F21" s="280"/>
      <c r="G21" s="130" t="s">
        <v>1629</v>
      </c>
      <c r="H21" s="803"/>
      <c r="I21" s="803"/>
      <c r="J21" s="803"/>
      <c r="K21" s="804"/>
    </row>
    <row r="22" spans="1:33" s="799" customFormat="1" ht="13.5" customHeight="1">
      <c r="A22" s="786" t="s">
        <v>1601</v>
      </c>
      <c r="B22" s="809" t="s">
        <v>1630</v>
      </c>
      <c r="C22" s="810">
        <f ca="1">ROUND(C21*F22,0)</f>
        <v>60</v>
      </c>
      <c r="D22" s="280"/>
      <c r="E22" s="280"/>
      <c r="F22" s="812">
        <f>'数据-取费表'!B37</f>
        <v>0.03</v>
      </c>
      <c r="G22" s="5" t="s">
        <v>1631</v>
      </c>
      <c r="H22" s="793"/>
      <c r="I22" s="793"/>
      <c r="J22" s="793"/>
      <c r="K22" s="794"/>
    </row>
    <row r="23" spans="1:33" s="799" customFormat="1" ht="13.5" customHeight="1">
      <c r="A23" s="786" t="s">
        <v>1603</v>
      </c>
      <c r="B23" s="809" t="s">
        <v>1632</v>
      </c>
      <c r="C23" s="810">
        <f ca="1">ROUND(C4*F23*F11,0)</f>
        <v>0</v>
      </c>
      <c r="D23" s="280"/>
      <c r="E23" s="280"/>
      <c r="F23" s="812">
        <f>'数据-取费表'!B38</f>
        <v>0.03</v>
      </c>
      <c r="G23" s="5" t="s">
        <v>1633</v>
      </c>
      <c r="H23" s="793"/>
      <c r="I23" s="793"/>
      <c r="J23" s="793"/>
      <c r="K23" s="794"/>
    </row>
    <row r="24" spans="1:33" s="799" customFormat="1" ht="13.5" customHeight="1">
      <c r="A24" s="786" t="s">
        <v>1634</v>
      </c>
      <c r="B24" s="809" t="s">
        <v>1635</v>
      </c>
      <c r="C24" s="279">
        <f>ROUND(F24/(1+'数据-取费表'!C42),4)</f>
        <v>2.9000000000000001E-2</v>
      </c>
      <c r="D24" s="280" t="s">
        <v>12</v>
      </c>
      <c r="E24" s="280"/>
      <c r="F24" s="812">
        <f>IF(项目基本情况!B8="出让",0,'数据-取费表'!B48+'数据-取费表'!B49)</f>
        <v>3.0499999999999999E-2</v>
      </c>
      <c r="G24" s="5" t="s">
        <v>1636</v>
      </c>
      <c r="H24" s="814"/>
      <c r="I24" s="814"/>
      <c r="J24" s="814"/>
      <c r="K24" s="815"/>
    </row>
    <row r="25" spans="1:33" s="799" customFormat="1" ht="13.5" customHeight="1">
      <c r="A25" s="786" t="s">
        <v>1637</v>
      </c>
      <c r="B25" s="811" t="s">
        <v>1638</v>
      </c>
      <c r="C25" s="1102">
        <f ca="1">C27</f>
        <v>0</v>
      </c>
      <c r="D25" s="279">
        <f ca="1">C26</f>
        <v>0</v>
      </c>
      <c r="E25" s="281" t="s">
        <v>12</v>
      </c>
      <c r="F25" s="282">
        <f ca="1">'数据-取费表'!B40</f>
        <v>4.1499999999999995E-2</v>
      </c>
      <c r="G25" s="130"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1639</v>
      </c>
      <c r="C26" s="1103">
        <f ca="1">ROUND(IF('数据-取费表'!B22&lt;=1,(1+C24)*F25*'数据-取费表'!B24,(1+C24)*(POWER((1+F25),'数据-取费表'!B24)-1)),4)</f>
        <v>0</v>
      </c>
      <c r="D26" s="283"/>
      <c r="E26" s="284"/>
      <c r="F26" s="285"/>
      <c r="G26" s="1860"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1640</v>
      </c>
      <c r="C27" s="1104">
        <f ca="1">ROUND(IF('数据-取费表'!B22&lt;=1,(C21+C22+C23)*F25*'数据-取费表'!B24/2,(C21+C22+C23)*(POWER((1+F25),'数据-取费表'!B24/2)-1)),0)</f>
        <v>0</v>
      </c>
      <c r="D27" s="283"/>
      <c r="E27" s="284"/>
      <c r="F27" s="285"/>
      <c r="G27" s="1860" t="str">
        <f>IF('数据-取费表'!B22&lt;=1,"（1）-（3）项×年利率×建设期÷2","（1）-（3）项×((1+年利率)^(建设期÷2)-1)")</f>
        <v>（1）-（3）项×((1+年利率)^(建设期÷2)-1)</v>
      </c>
      <c r="H27" s="803"/>
      <c r="I27" s="803"/>
      <c r="J27" s="803"/>
      <c r="K27" s="804"/>
    </row>
    <row r="28" spans="1:33" s="288" customFormat="1" ht="13.5" customHeight="1">
      <c r="A28" s="786" t="s">
        <v>1641</v>
      </c>
      <c r="B28" s="1861" t="s">
        <v>1642</v>
      </c>
      <c r="C28" s="286">
        <f ca="1">C30</f>
        <v>348</v>
      </c>
      <c r="D28" s="279">
        <f ca="1">C29</f>
        <v>0</v>
      </c>
      <c r="E28" s="281" t="s">
        <v>12</v>
      </c>
      <c r="F28" s="287">
        <f ca="1">IF(C1="",'数据-取费表'!Q16,INDIRECT("'数据-取费表'!q"&amp;$K$1))</f>
        <v>0.17</v>
      </c>
      <c r="G28" s="813"/>
      <c r="H28" s="814"/>
      <c r="I28" s="814"/>
      <c r="J28" s="814"/>
      <c r="K28" s="815"/>
    </row>
    <row r="29" spans="1:33" s="290" customFormat="1" ht="13.5" customHeight="1">
      <c r="A29" s="796" t="s">
        <v>358</v>
      </c>
      <c r="B29" s="818" t="s">
        <v>1643</v>
      </c>
      <c r="C29" s="283">
        <f ca="1">ROUND((1+C24)*F28*'数据-取费表'!B24/'数据-取费表'!B20,4)</f>
        <v>0</v>
      </c>
      <c r="D29" s="283"/>
      <c r="E29" s="284"/>
      <c r="F29" s="289"/>
      <c r="G29" s="130" t="s">
        <v>1644</v>
      </c>
      <c r="H29" s="803"/>
      <c r="I29" s="803"/>
      <c r="J29" s="803"/>
      <c r="K29" s="804"/>
    </row>
    <row r="30" spans="1:33" s="290" customFormat="1" ht="13.5" customHeight="1">
      <c r="A30" s="796" t="s">
        <v>359</v>
      </c>
      <c r="B30" s="818" t="s">
        <v>1645</v>
      </c>
      <c r="C30" s="291">
        <f ca="1">ROUND((C21+C22+C23)*F28,0)</f>
        <v>348</v>
      </c>
      <c r="D30" s="283"/>
      <c r="E30" s="284"/>
      <c r="F30" s="289"/>
      <c r="G30" s="130"/>
      <c r="H30" s="803"/>
      <c r="I30" s="803"/>
      <c r="J30" s="803"/>
      <c r="K30" s="804"/>
    </row>
    <row r="31" spans="1:33" s="799" customFormat="1" ht="13.5" customHeight="1" thickBot="1">
      <c r="A31" s="1862" t="s">
        <v>1646</v>
      </c>
      <c r="B31" s="829" t="s">
        <v>1647</v>
      </c>
      <c r="C31" s="830">
        <f>ROUND(C4*F31/(1+'数据-取费表'!C42),0)</f>
        <v>0</v>
      </c>
      <c r="D31" s="831"/>
      <c r="E31" s="832"/>
      <c r="F31" s="833">
        <f>'数据-取费表'!B41</f>
        <v>5.6000000000000001E-2</v>
      </c>
      <c r="G31" s="834" t="s">
        <v>1648</v>
      </c>
      <c r="H31" s="835"/>
      <c r="I31" s="835"/>
      <c r="J31" s="835"/>
      <c r="K31" s="836"/>
    </row>
    <row r="32" spans="1:33" s="795" customFormat="1" ht="13.5" customHeight="1" thickBot="1">
      <c r="A32" s="824" t="s">
        <v>1649</v>
      </c>
      <c r="B32" s="825"/>
      <c r="C32" s="826">
        <f ca="1">ROUND((C4-C21-C22-C23-C25-C28-C31)/(1+C24+D25+D28),0)</f>
        <v>-2326</v>
      </c>
      <c r="D32" s="825"/>
      <c r="E32" s="825"/>
      <c r="F32" s="825"/>
      <c r="G32" s="827" t="s">
        <v>1650</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J53" sqref="J53"/>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4" customWidth="1"/>
    <col min="12" max="12" width="16.33203125" style="257" customWidth="1"/>
    <col min="13" max="13" width="13" style="257"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7"/>
  </cols>
  <sheetData>
    <row r="1" spans="1:37" s="292" customFormat="1" ht="21.6">
      <c r="A1" s="1371" t="s">
        <v>877</v>
      </c>
      <c r="B1" s="711"/>
      <c r="C1" s="1375" t="s">
        <v>3402</v>
      </c>
      <c r="D1" s="1358" t="s">
        <v>43</v>
      </c>
      <c r="E1" s="1359" t="s">
        <v>678</v>
      </c>
      <c r="F1" s="1058">
        <f ca="1">J53</f>
        <v>27.83</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88111</v>
      </c>
      <c r="C2" s="1383" t="s">
        <v>805</v>
      </c>
      <c r="D2" s="1383"/>
      <c r="E2" s="1384"/>
      <c r="F2" s="1385"/>
      <c r="G2" s="2702"/>
      <c r="H2" s="2691"/>
      <c r="I2" s="2691"/>
      <c r="J2" s="2691"/>
      <c r="K2" s="2692"/>
      <c r="L2" s="2691"/>
      <c r="M2" s="2691"/>
    </row>
    <row r="3" spans="1:37" ht="18" customHeight="1" thickBot="1">
      <c r="A3" s="1386" t="s">
        <v>806</v>
      </c>
      <c r="B3" s="1387">
        <f ca="1">IF(ISERROR(B2*10000/F43),0,ROUND(B2*10000/F43,0))</f>
        <v>44433</v>
      </c>
      <c r="C3" s="1383" t="s">
        <v>807</v>
      </c>
      <c r="D3" s="1383"/>
      <c r="E3" s="1384"/>
      <c r="F3" s="1385"/>
      <c r="G3" s="2702"/>
      <c r="H3" s="681" t="s">
        <v>876</v>
      </c>
      <c r="I3" s="1378"/>
      <c r="J3" s="1378"/>
      <c r="K3" s="1379"/>
      <c r="L3" s="1378"/>
      <c r="M3" s="1378"/>
    </row>
    <row r="4" spans="1:37" ht="18" customHeight="1">
      <c r="A4" s="294" t="s">
        <v>687</v>
      </c>
      <c r="B4" s="295" t="s">
        <v>688</v>
      </c>
      <c r="C4" s="295" t="s">
        <v>689</v>
      </c>
      <c r="D4" s="295" t="s">
        <v>690</v>
      </c>
      <c r="E4" s="296" t="s">
        <v>691</v>
      </c>
      <c r="F4" s="297"/>
      <c r="G4" s="1380"/>
      <c r="H4" s="294" t="s">
        <v>687</v>
      </c>
      <c r="I4" s="295" t="s">
        <v>688</v>
      </c>
      <c r="J4" s="295" t="s">
        <v>689</v>
      </c>
      <c r="K4" s="295" t="s">
        <v>690</v>
      </c>
      <c r="L4" s="296" t="s">
        <v>691</v>
      </c>
      <c r="M4" s="297"/>
    </row>
    <row r="5" spans="1:37" ht="18" customHeight="1">
      <c r="A5" s="298">
        <v>1</v>
      </c>
      <c r="B5" s="299" t="s">
        <v>692</v>
      </c>
      <c r="C5" s="1066">
        <f ca="1">C6+C10+C12</f>
        <v>5661</v>
      </c>
      <c r="D5" s="1360" t="s">
        <v>693</v>
      </c>
      <c r="E5" s="1067"/>
      <c r="F5" s="1068"/>
      <c r="G5" s="1380"/>
      <c r="H5" s="298">
        <v>1</v>
      </c>
      <c r="I5" s="299" t="s">
        <v>692</v>
      </c>
      <c r="J5" s="1066">
        <f ca="1">J6+J10+J12</f>
        <v>0</v>
      </c>
      <c r="K5" s="1360" t="s">
        <v>693</v>
      </c>
      <c r="L5" s="1067"/>
      <c r="M5" s="1068"/>
    </row>
    <row r="6" spans="1:37" ht="18" customHeight="1">
      <c r="A6" s="1065" t="s">
        <v>398</v>
      </c>
      <c r="B6" s="3682" t="s">
        <v>694</v>
      </c>
      <c r="C6" s="1070">
        <f ca="1">ROUND(F6*F8*F7*(1-F9)/10000,0)</f>
        <v>5654</v>
      </c>
      <c r="D6" s="154" t="s">
        <v>2109</v>
      </c>
      <c r="E6" s="301" t="s">
        <v>696</v>
      </c>
      <c r="F6" s="302">
        <f ca="1">INDIRECT("'数据-取费表'!u"&amp;$G$1)</f>
        <v>8.68</v>
      </c>
      <c r="G6" s="1380"/>
      <c r="H6" s="1065" t="s">
        <v>398</v>
      </c>
      <c r="I6" s="3682" t="s">
        <v>694</v>
      </c>
      <c r="J6" s="300">
        <f ca="1">ROUND(M6*M8*M7*(1-M9)/10000,0)</f>
        <v>0</v>
      </c>
      <c r="K6" s="154" t="s">
        <v>2108</v>
      </c>
      <c r="L6" s="301" t="s">
        <v>696</v>
      </c>
      <c r="M6" s="302">
        <f ca="1">INDIRECT("'数据-取费表'!z"&amp;$G$1)</f>
        <v>0</v>
      </c>
    </row>
    <row r="7" spans="1:37" ht="18" customHeight="1">
      <c r="A7" s="1069"/>
      <c r="B7" s="3683"/>
      <c r="C7" s="1071"/>
      <c r="D7" s="306"/>
      <c r="E7" s="1072" t="s">
        <v>697</v>
      </c>
      <c r="F7" s="302">
        <f ca="1">IF(INDIRECT("'数据-取费表'!ah"&amp;$G$1)="",INDIRECT("'数据-取费表'!k"&amp;$G$1),INDIRECT("'数据-取费表'!ah"&amp;$G$1))</f>
        <v>19830.27</v>
      </c>
      <c r="G7" s="1380"/>
      <c r="H7" s="303"/>
      <c r="I7" s="3683"/>
      <c r="J7" s="305"/>
      <c r="K7" s="306"/>
      <c r="L7" s="301" t="s">
        <v>697</v>
      </c>
      <c r="M7" s="302">
        <f ca="1">F7</f>
        <v>19830.27</v>
      </c>
    </row>
    <row r="8" spans="1:37" ht="18" customHeight="1">
      <c r="A8" s="303"/>
      <c r="B8" s="3683"/>
      <c r="C8" s="305"/>
      <c r="D8" s="306"/>
      <c r="E8" s="301" t="s">
        <v>698</v>
      </c>
      <c r="F8" s="302">
        <f ca="1">INDIRECT("'数据-取费表'!ai"&amp;$G$1)</f>
        <v>365</v>
      </c>
      <c r="G8" s="1380"/>
      <c r="H8" s="303"/>
      <c r="I8" s="3683"/>
      <c r="J8" s="305"/>
      <c r="K8" s="306"/>
      <c r="L8" s="301" t="s">
        <v>698</v>
      </c>
      <c r="M8" s="302">
        <f ca="1">INDIRECT("'数据-取费表'!ai"&amp;$G$1)</f>
        <v>365</v>
      </c>
    </row>
    <row r="9" spans="1:37" ht="18" customHeight="1">
      <c r="A9" s="303"/>
      <c r="B9" s="3684"/>
      <c r="C9" s="305"/>
      <c r="D9" s="306"/>
      <c r="E9" s="301" t="s">
        <v>699</v>
      </c>
      <c r="F9" s="311">
        <f ca="1">INDIRECT("'数据-取费表'!w"&amp;$G$1)</f>
        <v>0.1</v>
      </c>
      <c r="G9" s="1380"/>
      <c r="H9" s="303"/>
      <c r="I9" s="3684"/>
      <c r="J9" s="305"/>
      <c r="K9" s="306"/>
      <c r="L9" s="312" t="s">
        <v>699</v>
      </c>
      <c r="M9" s="313">
        <f ca="1">INDIRECT("'数据-取费表'!ab"&amp;$G$1)</f>
        <v>0</v>
      </c>
    </row>
    <row r="10" spans="1:37" ht="18" customHeight="1">
      <c r="A10" s="1065" t="s">
        <v>402</v>
      </c>
      <c r="B10" s="1361" t="s">
        <v>700</v>
      </c>
      <c r="C10" s="315">
        <f ca="1">ROUND(IF(F10="押一",C6/12*F11,IF(F10="押二",C6/12*2*F11,IF(F10="押三",C6/12*3*F11,C11*F11))),0)</f>
        <v>7</v>
      </c>
      <c r="D10" s="1362" t="s">
        <v>2117</v>
      </c>
      <c r="E10" s="312" t="s">
        <v>701</v>
      </c>
      <c r="F10" s="1112" t="s">
        <v>3437</v>
      </c>
      <c r="G10" s="1380"/>
      <c r="H10" s="1065" t="s">
        <v>402</v>
      </c>
      <c r="I10" s="1361" t="s">
        <v>700</v>
      </c>
      <c r="J10" s="300">
        <f ca="1">ROUND(IF(M10="押一",J6/12*M11,IF(M10="押二",J6/12*2*M11,IF(M10="押三",J6/12*3*M11,J11*M11))),0)</f>
        <v>0</v>
      </c>
      <c r="K10" s="1362" t="s">
        <v>2116</v>
      </c>
      <c r="L10" s="312" t="s">
        <v>701</v>
      </c>
      <c r="M10" s="1112"/>
    </row>
    <row r="11" spans="1:37" ht="18" customHeight="1">
      <c r="A11" s="307"/>
      <c r="B11" s="1363" t="s">
        <v>679</v>
      </c>
      <c r="C11" s="955"/>
      <c r="D11" s="1364"/>
      <c r="E11" s="312" t="s">
        <v>702</v>
      </c>
      <c r="F11" s="313">
        <f ca="1">'数据-取费表'!B39</f>
        <v>1.4999999999999999E-2</v>
      </c>
      <c r="G11" s="1380"/>
      <c r="H11" s="1073"/>
      <c r="I11" s="1363" t="s">
        <v>679</v>
      </c>
      <c r="J11" s="955"/>
      <c r="K11" s="682"/>
      <c r="L11" s="312"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9">
        <f ca="1">ROUND(C29*F13,0)</f>
        <v>15991</v>
      </c>
      <c r="D13" s="1077" t="s">
        <v>705</v>
      </c>
      <c r="E13" s="1077" t="s">
        <v>706</v>
      </c>
      <c r="F13" s="1078">
        <f ca="1">INDIRECT("'数据-取费表'!y"&amp;$G$1)</f>
        <v>0.93</v>
      </c>
      <c r="G13" s="1380"/>
      <c r="H13" s="1075">
        <v>2</v>
      </c>
      <c r="I13" s="1076" t="s">
        <v>704</v>
      </c>
      <c r="J13" s="1064">
        <f ca="1">ROUND(J14*J15,0)</f>
        <v>0</v>
      </c>
      <c r="K13" s="1083" t="s">
        <v>705</v>
      </c>
      <c r="L13" s="1388"/>
      <c r="M13" s="1389"/>
    </row>
    <row r="14" spans="1:37" ht="18" customHeight="1">
      <c r="A14" s="978" t="s">
        <v>397</v>
      </c>
      <c r="B14" s="301" t="s">
        <v>707</v>
      </c>
      <c r="C14" s="317">
        <f ca="1">INDIRECT("'数据-取费表'!m"&amp;$G$1)+INDIRECT("'数据-取费表'!t"&amp;$G$1)</f>
        <v>10907</v>
      </c>
      <c r="D14" s="1341" t="s">
        <v>708</v>
      </c>
      <c r="E14" s="1338"/>
      <c r="F14" s="318"/>
      <c r="G14" s="1380"/>
      <c r="H14" s="978" t="s">
        <v>398</v>
      </c>
      <c r="I14" s="301" t="s">
        <v>709</v>
      </c>
      <c r="J14" s="21">
        <f ca="1">C29</f>
        <v>17195</v>
      </c>
      <c r="K14" s="12"/>
      <c r="L14" s="803"/>
      <c r="M14" s="804"/>
    </row>
    <row r="15" spans="1:37" s="1393" customFormat="1" ht="18" customHeight="1" thickBot="1">
      <c r="A15" s="978" t="s">
        <v>399</v>
      </c>
      <c r="B15" s="301" t="s">
        <v>710</v>
      </c>
      <c r="C15" s="21">
        <f ca="1">ROUND(C14*F15,0)</f>
        <v>545</v>
      </c>
      <c r="D15" s="319" t="s">
        <v>711</v>
      </c>
      <c r="E15" s="319" t="s">
        <v>712</v>
      </c>
      <c r="F15" s="320">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1" t="s">
        <v>713</v>
      </c>
      <c r="C16" s="21">
        <f ca="1">ROUND(INDIRECT("'数据-取费表'!m"&amp;$G$1)*F16,0)</f>
        <v>0</v>
      </c>
      <c r="D16" s="301" t="s">
        <v>711</v>
      </c>
      <c r="E16" s="301" t="s">
        <v>712</v>
      </c>
      <c r="F16" s="321">
        <f ca="1">IF(INDIRECT("'数据-取费表'!c"&amp;$G$1)="住宅",'数据-取费表'!B34,0)</f>
        <v>0</v>
      </c>
      <c r="G16" s="1380"/>
      <c r="H16" s="1075" t="s">
        <v>393</v>
      </c>
      <c r="I16" s="1076" t="s">
        <v>714</v>
      </c>
      <c r="J16" s="309">
        <f ca="1">ROUND(J17+J22+J23+J24,0)</f>
        <v>173</v>
      </c>
      <c r="K16" s="1083" t="s">
        <v>715</v>
      </c>
      <c r="L16" s="1084"/>
      <c r="M16" s="1068"/>
    </row>
    <row r="17" spans="1:37" s="1393" customFormat="1" ht="18" customHeight="1">
      <c r="A17" s="978" t="s">
        <v>681</v>
      </c>
      <c r="B17" s="301" t="s">
        <v>716</v>
      </c>
      <c r="C17" s="21">
        <f ca="1">ROUND(F17*(F43+INDIRECT("'数据-取费表'!S"&amp;$G$1))/10000,0)</f>
        <v>397</v>
      </c>
      <c r="D17" s="301" t="s">
        <v>717</v>
      </c>
      <c r="E17" s="301" t="s">
        <v>718</v>
      </c>
      <c r="F17" s="23">
        <f>'数据-取费表'!B35</f>
        <v>200</v>
      </c>
      <c r="G17" s="1392"/>
      <c r="H17" s="978" t="s">
        <v>398</v>
      </c>
      <c r="I17" s="301" t="s">
        <v>719</v>
      </c>
      <c r="J17" s="2312">
        <f ca="1">ROUND(IF(AND(项目基本情况!B11="自然人",项目基本情况!B10="北京市"),J6*M17/(1+'数据-取费表'!C42),J18+J19+J20),2)</f>
        <v>0.75</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1" t="s">
        <v>722</v>
      </c>
      <c r="C18" s="21">
        <f ca="1">ROUND(C14*F18,0)</f>
        <v>164</v>
      </c>
      <c r="D18" s="301" t="s">
        <v>711</v>
      </c>
      <c r="E18" s="301" t="s">
        <v>712</v>
      </c>
      <c r="F18" s="321">
        <f>'数据-取费表'!B36</f>
        <v>1.4999999999999999E-2</v>
      </c>
      <c r="G18" s="1392"/>
      <c r="H18" s="978" t="s">
        <v>397</v>
      </c>
      <c r="I18" s="301" t="s">
        <v>723</v>
      </c>
      <c r="J18" s="21">
        <f ca="1">ROUND(J6*M18/(1+'数据-取费表'!C42),2)</f>
        <v>0</v>
      </c>
      <c r="K18" s="1340" t="s">
        <v>724</v>
      </c>
      <c r="L18" s="301" t="s">
        <v>712</v>
      </c>
      <c r="M18" s="321">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1" t="s">
        <v>725</v>
      </c>
      <c r="C19" s="21">
        <f ca="1">SUM(C14:C18)</f>
        <v>12013</v>
      </c>
      <c r="D19" s="130" t="s">
        <v>726</v>
      </c>
      <c r="E19" s="1356"/>
      <c r="F19" s="23"/>
      <c r="G19" s="1380"/>
      <c r="H19" s="978" t="s">
        <v>399</v>
      </c>
      <c r="I19" s="301" t="s">
        <v>727</v>
      </c>
      <c r="J19" s="21">
        <f ca="1">IF(K19="按租金收入计税",ROUND(J6*M19/(1+'数据-取费表'!C42),2),ROUND(C29*M19*0.7,2))</f>
        <v>0</v>
      </c>
      <c r="K19" s="1366" t="s">
        <v>3342</v>
      </c>
      <c r="L19" s="301" t="s">
        <v>712</v>
      </c>
      <c r="M19" s="321">
        <f>IF(K19="按租金收入计税",'数据-取费表'!B51,'数据-取费表'!B50)</f>
        <v>0.12</v>
      </c>
    </row>
    <row r="20" spans="1:37" s="1393" customFormat="1" ht="18" customHeight="1">
      <c r="A20" s="978" t="s">
        <v>402</v>
      </c>
      <c r="B20" s="301" t="s">
        <v>728</v>
      </c>
      <c r="C20" s="21">
        <f ca="1">ROUND(C19*F20,0)</f>
        <v>360</v>
      </c>
      <c r="D20" s="322" t="s">
        <v>729</v>
      </c>
      <c r="E20" s="301" t="s">
        <v>712</v>
      </c>
      <c r="F20" s="321">
        <f>'数据-取费表'!B37</f>
        <v>0.03</v>
      </c>
      <c r="G20" s="1392"/>
      <c r="H20" s="978" t="s">
        <v>680</v>
      </c>
      <c r="I20" s="154" t="s">
        <v>730</v>
      </c>
      <c r="J20" s="22">
        <f ca="1">ROUND(M20*M21/10000,2)</f>
        <v>0.75</v>
      </c>
      <c r="K20" s="323" t="s">
        <v>731</v>
      </c>
      <c r="L20" s="301" t="s">
        <v>732</v>
      </c>
      <c r="M20" s="324">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1" t="s">
        <v>733</v>
      </c>
      <c r="C21" s="21" t="s">
        <v>15</v>
      </c>
      <c r="D21" s="322" t="s">
        <v>734</v>
      </c>
      <c r="E21" s="301" t="s">
        <v>735</v>
      </c>
      <c r="F21" s="321">
        <f>'数据-取费表'!B38</f>
        <v>0.03</v>
      </c>
      <c r="G21" s="1392"/>
      <c r="H21" s="325"/>
      <c r="I21" s="310"/>
      <c r="J21" s="26"/>
      <c r="K21" s="326"/>
      <c r="L21" s="301" t="s">
        <v>736</v>
      </c>
      <c r="M21" s="302">
        <f ca="1">INDIRECT("'数据-取费表'!r"&amp;$G$1)</f>
        <v>2506.06</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1356"/>
      <c r="F22" s="23"/>
      <c r="G22" s="1380"/>
      <c r="H22" s="978" t="s">
        <v>402</v>
      </c>
      <c r="I22" s="301" t="s">
        <v>738</v>
      </c>
      <c r="J22" s="21">
        <f ca="1">ROUND(J14*M22,2)</f>
        <v>171.95</v>
      </c>
      <c r="K22" s="1340" t="s">
        <v>739</v>
      </c>
      <c r="L22" s="301" t="s">
        <v>712</v>
      </c>
      <c r="M22" s="327">
        <f ca="1">INDIRECT("'数据-取费表'!Ak"&amp;$G$1)</f>
        <v>0.01</v>
      </c>
    </row>
    <row r="23" spans="1:37" s="1393" customFormat="1" ht="18" customHeight="1">
      <c r="A23" s="978" t="s">
        <v>397</v>
      </c>
      <c r="B23" s="301" t="s">
        <v>740</v>
      </c>
      <c r="C23" s="21">
        <f ca="1">IF('数据-取费表'!B22&lt;=1,ROUND(C19*F24*F23/2,0)+ROUND(C20*F24*F23/2,0),ROUND(C19*(POWER((1+F24),F23/2)-1),0)+ROUND(C20*(POWER((1+F24),F23/2)-1),0))</f>
        <v>779</v>
      </c>
      <c r="D23" s="328" t="str">
        <f>IF(F23&lt;=1,"(建造成本+管理费用)×利率×(建设周期÷2)","(建造成本+管理费用)×((1+利率)^(建设周期÷2)-1)")</f>
        <v>(建造成本+管理费用)×((1+利率)^(建设周期÷2)-1)</v>
      </c>
      <c r="E23" s="301" t="s">
        <v>741</v>
      </c>
      <c r="F23" s="324">
        <f>'数据-取费表'!B20</f>
        <v>3</v>
      </c>
      <c r="G23" s="1392"/>
      <c r="H23" s="978" t="s">
        <v>437</v>
      </c>
      <c r="I23" s="301" t="s">
        <v>742</v>
      </c>
      <c r="J23" s="21">
        <f ca="1">ROUND(J13*M23,2)</f>
        <v>0</v>
      </c>
      <c r="K23" s="1340" t="s">
        <v>743</v>
      </c>
      <c r="L23" s="301" t="s">
        <v>744</v>
      </c>
      <c r="M23" s="329">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1" t="s">
        <v>746</v>
      </c>
      <c r="C24" s="21">
        <f ca="1">ROUND(IF('数据-取费表'!B22&lt;=1,F21*F24*F23/2,F21*(POWER((1+F24),F23/2)-1)),4)</f>
        <v>1.9E-3</v>
      </c>
      <c r="D24" s="328" t="str">
        <f>IF(F23&lt;=1,"销售费用×利率×(建设周期÷2)","销售费用×((1+利率)^(建设周期÷2)-1)")</f>
        <v>销售费用×((1+利率)^(建设周期÷2)-1)</v>
      </c>
      <c r="E24" s="301" t="s">
        <v>747</v>
      </c>
      <c r="F24" s="330">
        <f ca="1">'数据-取费表'!B40</f>
        <v>4.1499999999999995E-2</v>
      </c>
      <c r="G24" s="1392"/>
      <c r="H24" s="1085" t="s">
        <v>684</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1" t="s">
        <v>750</v>
      </c>
      <c r="C25" s="21"/>
      <c r="D25" s="130" t="s">
        <v>751</v>
      </c>
      <c r="E25" s="1356"/>
      <c r="F25" s="23"/>
      <c r="G25" s="1380"/>
      <c r="H25" s="1075" t="s">
        <v>394</v>
      </c>
      <c r="I25" s="1090" t="s">
        <v>752</v>
      </c>
      <c r="J25" s="309">
        <f ca="1">J5-J16</f>
        <v>-173</v>
      </c>
      <c r="K25" s="1091" t="s">
        <v>753</v>
      </c>
      <c r="L25" s="1092"/>
      <c r="M25" s="1093"/>
    </row>
    <row r="26" spans="1:37">
      <c r="A26" s="978" t="s">
        <v>397</v>
      </c>
      <c r="B26" s="301" t="s">
        <v>754</v>
      </c>
      <c r="C26" s="21">
        <f ca="1">ROUND((C19+C20)*F26,0)</f>
        <v>2475</v>
      </c>
      <c r="D26" s="322" t="s">
        <v>755</v>
      </c>
      <c r="E26" s="312" t="s">
        <v>756</v>
      </c>
      <c r="F26" s="311">
        <f ca="1">INDIRECT("'数据-取费表'!q"&amp;$G$1)</f>
        <v>0.2</v>
      </c>
      <c r="G26" s="1380"/>
      <c r="H26" s="298" t="s">
        <v>395</v>
      </c>
      <c r="I26" s="299" t="s">
        <v>757</v>
      </c>
      <c r="J26" s="300">
        <f ca="1">IF(J5&lt;&gt;0,ROUND(J25*(1-((1+M28)/(1+M26))^M27)/(M26-M28),0),0)</f>
        <v>0</v>
      </c>
      <c r="K26" s="323" t="s">
        <v>758</v>
      </c>
      <c r="L26" s="301" t="s">
        <v>759</v>
      </c>
      <c r="M26" s="311">
        <f ca="1">INDIRECT("'数据-取费表'!I"&amp;$G$1)</f>
        <v>5.5E-2</v>
      </c>
    </row>
    <row r="27" spans="1:37" ht="18" customHeight="1">
      <c r="A27" s="978" t="s">
        <v>399</v>
      </c>
      <c r="B27" s="301" t="s">
        <v>760</v>
      </c>
      <c r="C27" s="21">
        <f ca="1">ROUND(F21*F26,4)</f>
        <v>6.0000000000000001E-3</v>
      </c>
      <c r="D27" s="322" t="s">
        <v>761</v>
      </c>
      <c r="E27" s="319"/>
      <c r="F27" s="320"/>
      <c r="G27" s="1380"/>
      <c r="H27" s="303"/>
      <c r="I27" s="304"/>
      <c r="J27" s="305"/>
      <c r="K27" s="331" t="s">
        <v>762</v>
      </c>
      <c r="L27" s="301" t="s">
        <v>763</v>
      </c>
      <c r="M27" s="332">
        <f ca="1">INDIRECT("'数据-取费表'!ag"&amp;$G$1)</f>
        <v>0</v>
      </c>
    </row>
    <row r="28" spans="1:37" s="1393" customFormat="1" ht="18" customHeight="1">
      <c r="A28" s="978" t="s">
        <v>400</v>
      </c>
      <c r="B28" s="301" t="s">
        <v>764</v>
      </c>
      <c r="C28" s="21">
        <f>ROUND(F28/(1+'数据-取费表'!C42),4)</f>
        <v>5.33E-2</v>
      </c>
      <c r="D28" s="322" t="s">
        <v>765</v>
      </c>
      <c r="E28" s="301" t="s">
        <v>712</v>
      </c>
      <c r="F28" s="321">
        <f>'数据-取费表'!B41</f>
        <v>5.6000000000000001E-2</v>
      </c>
      <c r="G28" s="1392"/>
      <c r="H28" s="307"/>
      <c r="I28" s="308"/>
      <c r="J28" s="309"/>
      <c r="K28" s="326"/>
      <c r="L28" s="301" t="s">
        <v>766</v>
      </c>
      <c r="M28" s="311">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17195</v>
      </c>
      <c r="D29" s="1088"/>
      <c r="E29" s="1086"/>
      <c r="F29" s="1089"/>
      <c r="G29" s="1392"/>
      <c r="H29" s="333" t="s">
        <v>396</v>
      </c>
      <c r="I29" s="334" t="s">
        <v>768</v>
      </c>
      <c r="J29" s="335">
        <f ca="1">ROUND(J26/(1+F40)^F41,0)</f>
        <v>0</v>
      </c>
      <c r="K29" s="336" t="s">
        <v>769</v>
      </c>
      <c r="L29" s="337"/>
      <c r="M29" s="338">
        <f ca="1">INDIRECT("'数据-取费表'!k"&amp;$G$1)</f>
        <v>19830.27</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9">
        <f ca="1">ROUND(C31+C36+C37+C38,0)</f>
        <v>1193</v>
      </c>
      <c r="D30" s="1083" t="s">
        <v>715</v>
      </c>
      <c r="E30" s="1084"/>
      <c r="F30" s="1068"/>
      <c r="G30" s="1380"/>
      <c r="H30" s="2693"/>
      <c r="I30" s="1394"/>
      <c r="J30" s="1395"/>
      <c r="K30" s="2471"/>
      <c r="L30" s="2694"/>
      <c r="M30" s="2695"/>
    </row>
    <row r="31" spans="1:37" ht="18" customHeight="1">
      <c r="A31" s="978" t="s">
        <v>398</v>
      </c>
      <c r="B31" s="301" t="s">
        <v>719</v>
      </c>
      <c r="C31" s="2312">
        <f ca="1">ROUND(IF(AND(项目基本情况!B11="自然人",项目基本情况!B10="北京市"),C6*F31/(1+'数据-取费表'!C42),C32+C33+C34),2)</f>
        <v>948.47</v>
      </c>
      <c r="D31" s="1341" t="s">
        <v>720</v>
      </c>
      <c r="E31" s="1340" t="s">
        <v>770</v>
      </c>
      <c r="F31" s="2311" t="str">
        <f>IF(项目基本情况!B11="企业","——",IF(M47="住宅",IF(F6*F7*F8/12/(1+'数据-取费表'!F30)&gt;100000,4%,2.5%),IF(F6*F7*F8/12/(1+'数据-取费表'!F30)&gt;100000,12%,7%)))</f>
        <v>——</v>
      </c>
      <c r="G31" s="1380"/>
      <c r="H31" s="2804" t="s">
        <v>2310</v>
      </c>
      <c r="I31" s="1394"/>
      <c r="J31" s="1395"/>
      <c r="K31" s="2471"/>
      <c r="L31" s="2694"/>
      <c r="M31" s="2695"/>
    </row>
    <row r="32" spans="1:37" ht="18" customHeight="1">
      <c r="A32" s="978" t="s">
        <v>397</v>
      </c>
      <c r="B32" s="301" t="s">
        <v>723</v>
      </c>
      <c r="C32" s="21">
        <f ca="1">IF(项目基本情况!B11="自然人","——",ROUND(C6*F32/(1+'数据-取费表'!C42),2))</f>
        <v>301.55</v>
      </c>
      <c r="D32" s="1340" t="s">
        <v>724</v>
      </c>
      <c r="E32" s="301" t="s">
        <v>712</v>
      </c>
      <c r="F32" s="330">
        <f>'数据-取费表'!B41</f>
        <v>5.6000000000000001E-2</v>
      </c>
      <c r="G32" s="1380"/>
      <c r="H32" s="2693"/>
      <c r="I32" s="1394"/>
      <c r="J32" s="1395"/>
      <c r="K32" s="2471"/>
      <c r="L32" s="2694"/>
      <c r="M32" s="2695"/>
    </row>
    <row r="33" spans="1:18" ht="18" customHeight="1">
      <c r="A33" s="978" t="s">
        <v>399</v>
      </c>
      <c r="B33" s="301" t="s">
        <v>727</v>
      </c>
      <c r="C33" s="21">
        <f ca="1">IF(项目基本情况!B11="自然人","——",IF(D33="按租金收入计税",ROUND(C6*F33/(1+'数据-取费表'!C42),2),IF(D33="按房产原值计税",ROUND(C29*F33*0.7,2),INDIRECT("'数据-取费表'!Aj"&amp;$G$1))))</f>
        <v>646.16999999999996</v>
      </c>
      <c r="D33" s="1366" t="s">
        <v>3342</v>
      </c>
      <c r="E33" s="301" t="s">
        <v>712</v>
      </c>
      <c r="F33" s="321">
        <f>IF(D33="按票据","——",IF(D33="按租金收入计税",'数据-取费表'!B51,'数据-取费表'!B50))</f>
        <v>0.12</v>
      </c>
      <c r="G33" s="1380"/>
      <c r="H33" s="2696"/>
      <c r="I33" s="1394"/>
      <c r="J33" s="1395"/>
      <c r="K33" s="2697"/>
      <c r="L33" s="2696"/>
      <c r="M33" s="2696"/>
    </row>
    <row r="34" spans="1:18" ht="18" customHeight="1">
      <c r="A34" s="1065" t="s">
        <v>680</v>
      </c>
      <c r="B34" s="154" t="s">
        <v>730</v>
      </c>
      <c r="C34" s="22">
        <f ca="1">IF(项目基本情况!B11="自然人","——",ROUND(F34*F35/10000,2))</f>
        <v>0.75</v>
      </c>
      <c r="D34" s="323" t="s">
        <v>731</v>
      </c>
      <c r="E34" s="301" t="s">
        <v>732</v>
      </c>
      <c r="F34" s="324">
        <f>'数据-取费表'!B52</f>
        <v>3</v>
      </c>
      <c r="G34" s="1380"/>
      <c r="H34" s="2693"/>
      <c r="I34" s="1394"/>
      <c r="J34" s="1395"/>
      <c r="K34" s="2698"/>
      <c r="L34" s="2699"/>
      <c r="M34" s="2699"/>
    </row>
    <row r="35" spans="1:18" ht="18" customHeight="1">
      <c r="A35" s="1099"/>
      <c r="B35" s="1097"/>
      <c r="C35" s="26"/>
      <c r="D35" s="326"/>
      <c r="E35" s="301" t="s">
        <v>736</v>
      </c>
      <c r="F35" s="302">
        <f ca="1">INDIRECT("'数据-取费表'!r"&amp;$G$1)</f>
        <v>2506.06</v>
      </c>
      <c r="G35" s="1380"/>
      <c r="H35" s="2693"/>
      <c r="I35" s="1394"/>
      <c r="J35" s="1395"/>
      <c r="K35" s="2697"/>
      <c r="L35" s="2696"/>
      <c r="M35" s="2696"/>
    </row>
    <row r="36" spans="1:18" ht="18" customHeight="1">
      <c r="A36" s="1098" t="s">
        <v>402</v>
      </c>
      <c r="B36" s="301" t="s">
        <v>738</v>
      </c>
      <c r="C36" s="21">
        <f ca="1">ROUND(C29*F36,2)</f>
        <v>171.95</v>
      </c>
      <c r="D36" s="1340" t="s">
        <v>771</v>
      </c>
      <c r="E36" s="301" t="s">
        <v>712</v>
      </c>
      <c r="F36" s="327">
        <f ca="1">INDIRECT("'数据-取费表'!Ak"&amp;$G$1)</f>
        <v>0.01</v>
      </c>
      <c r="G36" s="1380"/>
      <c r="H36" s="2696"/>
      <c r="I36" s="1394"/>
      <c r="J36" s="1395"/>
      <c r="K36" s="2540"/>
      <c r="L36" s="2696"/>
      <c r="M36" s="2696"/>
    </row>
    <row r="37" spans="1:18" ht="18" customHeight="1">
      <c r="A37" s="978" t="s">
        <v>437</v>
      </c>
      <c r="B37" s="301" t="s">
        <v>742</v>
      </c>
      <c r="C37" s="21">
        <f ca="1">ROUND(C13*F37,2)</f>
        <v>15.99</v>
      </c>
      <c r="D37" s="1340" t="s">
        <v>743</v>
      </c>
      <c r="E37" s="301" t="s">
        <v>744</v>
      </c>
      <c r="F37" s="329">
        <f ca="1">INDIRECT("'数据-取费表'!Al"&amp;$G$1)</f>
        <v>1E-3</v>
      </c>
      <c r="G37" s="1380"/>
      <c r="H37" s="2696"/>
      <c r="I37" s="1394"/>
      <c r="J37" s="1395"/>
      <c r="K37" s="2540"/>
      <c r="L37" s="2696"/>
      <c r="M37" s="2696"/>
    </row>
    <row r="38" spans="1:18" ht="18" customHeight="1" thickBot="1">
      <c r="A38" s="1085" t="s">
        <v>684</v>
      </c>
      <c r="B38" s="1086" t="s">
        <v>728</v>
      </c>
      <c r="C38" s="1087">
        <f ca="1">ROUND(C5*F38,2)</f>
        <v>56.61</v>
      </c>
      <c r="D38" s="1088" t="s">
        <v>748</v>
      </c>
      <c r="E38" s="1086" t="s">
        <v>744</v>
      </c>
      <c r="F38" s="1082">
        <f ca="1">INDIRECT("'数据-取费表'!Am"&amp;$G$1)</f>
        <v>0.01</v>
      </c>
      <c r="G38" s="1380"/>
      <c r="H38" s="2696"/>
      <c r="I38" s="1394"/>
      <c r="J38" s="1395"/>
      <c r="K38" s="2700"/>
      <c r="L38" s="2696"/>
      <c r="M38" s="2696"/>
    </row>
    <row r="39" spans="1:18" ht="24.6" customHeight="1" thickTop="1">
      <c r="A39" s="1075" t="s">
        <v>394</v>
      </c>
      <c r="B39" s="1090" t="s">
        <v>772</v>
      </c>
      <c r="C39" s="309">
        <f ca="1">C5-C30</f>
        <v>4468</v>
      </c>
      <c r="D39" s="1091" t="s">
        <v>773</v>
      </c>
      <c r="E39" s="1092"/>
      <c r="F39" s="1093"/>
      <c r="G39" s="1380"/>
      <c r="H39" s="2696"/>
      <c r="I39" s="1394"/>
      <c r="J39" s="1395"/>
      <c r="K39" s="2700"/>
      <c r="L39" s="2696"/>
      <c r="M39" s="2696"/>
    </row>
    <row r="40" spans="1:18" ht="18" customHeight="1">
      <c r="A40" s="298" t="s">
        <v>395</v>
      </c>
      <c r="B40" s="299" t="s">
        <v>774</v>
      </c>
      <c r="C40" s="300">
        <f ca="1">ROUND(C39*(1-((1+F42)/(1+F40))^F41)/(F40-F42),0)</f>
        <v>87031</v>
      </c>
      <c r="D40" s="323" t="s">
        <v>758</v>
      </c>
      <c r="E40" s="301" t="s">
        <v>759</v>
      </c>
      <c r="F40" s="311">
        <f ca="1">INDIRECT("'数据-取费表'!I"&amp;$G$1)</f>
        <v>5.5E-2</v>
      </c>
      <c r="G40" s="1380"/>
      <c r="H40" s="1457"/>
      <c r="I40" s="1394"/>
      <c r="J40" s="1395"/>
      <c r="K40" s="2700"/>
      <c r="L40" s="1457"/>
      <c r="M40" s="1457"/>
    </row>
    <row r="41" spans="1:18" ht="18" customHeight="1">
      <c r="A41" s="303"/>
      <c r="B41" s="304"/>
      <c r="C41" s="305"/>
      <c r="D41" s="331" t="s">
        <v>775</v>
      </c>
      <c r="E41" s="301" t="s">
        <v>763</v>
      </c>
      <c r="F41" s="332">
        <f ca="1">IF(INDIRECT("'数据-取费表'!af"&amp;$G$1)=0,INDIRECT("'数据-取费表'!ae"&amp;$G$1),INDIRECT("'数据-取费表'!af"&amp;$G$1))</f>
        <v>27.83</v>
      </c>
      <c r="G41" s="1380"/>
      <c r="H41" s="1187"/>
      <c r="I41" s="1394"/>
      <c r="J41" s="1395"/>
      <c r="K41" s="2540"/>
      <c r="L41" s="1187"/>
      <c r="M41" s="1187"/>
    </row>
    <row r="42" spans="1:18" ht="18" customHeight="1">
      <c r="A42" s="307"/>
      <c r="B42" s="308"/>
      <c r="C42" s="309"/>
      <c r="D42" s="326"/>
      <c r="E42" s="301" t="s">
        <v>766</v>
      </c>
      <c r="F42" s="311">
        <f ca="1">INDIRECT("'数据-取费表'!v"&amp;$G$1)</f>
        <v>0.03</v>
      </c>
      <c r="G42" s="1380"/>
      <c r="H42" s="1187"/>
      <c r="I42" s="1394"/>
      <c r="J42" s="1395"/>
      <c r="K42" s="2540"/>
      <c r="L42" s="1187"/>
      <c r="M42" s="1187"/>
    </row>
    <row r="43" spans="1:18" ht="18" customHeight="1" thickBot="1">
      <c r="A43" s="333" t="s">
        <v>396</v>
      </c>
      <c r="B43" s="334" t="s">
        <v>776</v>
      </c>
      <c r="C43" s="335">
        <f ca="1">ROUND(C40*10000/F43,0)</f>
        <v>43888</v>
      </c>
      <c r="D43" s="336" t="s">
        <v>777</v>
      </c>
      <c r="E43" s="337" t="s">
        <v>778</v>
      </c>
      <c r="F43" s="338">
        <f ca="1">INDIRECT("'数据-取费表'!k"&amp;$G$1)</f>
        <v>19830.27</v>
      </c>
      <c r="G43" s="1380"/>
      <c r="H43" s="1187"/>
      <c r="I43" s="1187"/>
      <c r="J43" s="1187"/>
      <c r="K43" s="2540"/>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8" thickBot="1">
      <c r="A46" s="1400" t="s">
        <v>809</v>
      </c>
      <c r="C46" s="1401">
        <f ca="1">C68-C40</f>
        <v>-89693</v>
      </c>
      <c r="D46" s="1402" t="str">
        <f>C2</f>
        <v>万元</v>
      </c>
      <c r="E46" s="1396"/>
      <c r="F46" s="1396"/>
      <c r="I46" s="1403" t="s">
        <v>810</v>
      </c>
      <c r="J46" s="1404"/>
      <c r="K46" s="1405"/>
      <c r="L46" s="1406">
        <f ca="1">IF(M47="住宅",0,IF(L48&gt;J51,L60,J60))</f>
        <v>1080</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t="s">
        <v>3434</v>
      </c>
      <c r="K47" s="1412" t="s">
        <v>816</v>
      </c>
      <c r="L47" s="1413">
        <f ca="1">INDIRECT("'数据-取费表'!d"&amp;$G$1)</f>
        <v>40</v>
      </c>
      <c r="M47" s="1376" t="str">
        <f>IF(ISNUMBER(FIND("住宅",C1)),"住宅","非住宅")</f>
        <v>非住宅</v>
      </c>
      <c r="O47" s="1414" t="s">
        <v>403</v>
      </c>
      <c r="P47" s="1415" t="s">
        <v>817</v>
      </c>
      <c r="Q47" s="1416">
        <f ca="1">C40+J29</f>
        <v>87031</v>
      </c>
      <c r="R47" s="1416" t="s">
        <v>818</v>
      </c>
    </row>
    <row r="48" spans="1:18" s="1380" customFormat="1" ht="40.200000000000003" thickBot="1">
      <c r="A48" s="1106" t="s">
        <v>438</v>
      </c>
      <c r="B48" s="299" t="s">
        <v>692</v>
      </c>
      <c r="C48" s="1355">
        <f ca="1">C49+C53+C55</f>
        <v>0</v>
      </c>
      <c r="D48" s="1108"/>
      <c r="E48" s="1109"/>
      <c r="F48" s="958"/>
      <c r="G48" s="720"/>
      <c r="H48" s="721"/>
      <c r="I48" s="1417" t="s">
        <v>819</v>
      </c>
      <c r="J48" s="1418" t="s">
        <v>3435</v>
      </c>
      <c r="K48" s="1419" t="s">
        <v>820</v>
      </c>
      <c r="L48" s="1420">
        <f ca="1">INDIRECT("'数据-取费表'!f"&amp;$G$1)</f>
        <v>27.83</v>
      </c>
      <c r="O48" s="1414" t="s">
        <v>404</v>
      </c>
      <c r="P48" s="1415" t="s">
        <v>821</v>
      </c>
      <c r="Q48" s="1416">
        <f ca="1">J60</f>
        <v>1080</v>
      </c>
      <c r="R48" s="1416" t="s">
        <v>822</v>
      </c>
    </row>
    <row r="49" spans="1:18" s="1380" customFormat="1" ht="13.8" thickBot="1">
      <c r="A49" s="971" t="s">
        <v>439</v>
      </c>
      <c r="B49" s="1367" t="s">
        <v>779</v>
      </c>
      <c r="C49" s="1110">
        <f ca="1">ROUND(F49*F51*F50*(1-F52)/10000,0)</f>
        <v>0</v>
      </c>
      <c r="D49" s="1051" t="s">
        <v>2110</v>
      </c>
      <c r="E49" s="1368" t="s">
        <v>780</v>
      </c>
      <c r="F49" s="1056"/>
      <c r="G49" s="1421"/>
      <c r="H49" s="721"/>
      <c r="I49" s="1417" t="s">
        <v>823</v>
      </c>
      <c r="J49" s="1422">
        <v>2019</v>
      </c>
      <c r="K49" s="1419" t="s">
        <v>824</v>
      </c>
      <c r="L49" s="1423"/>
      <c r="O49" s="1424" t="s">
        <v>405</v>
      </c>
      <c r="P49" s="1415" t="s">
        <v>825</v>
      </c>
      <c r="Q49" s="1416">
        <f ca="1">C29</f>
        <v>17195</v>
      </c>
      <c r="R49" s="1416" t="s">
        <v>818</v>
      </c>
    </row>
    <row r="50" spans="1:18" s="1380" customFormat="1" ht="13.8" thickBot="1">
      <c r="A50" s="972"/>
      <c r="B50" s="975"/>
      <c r="C50" s="1114"/>
      <c r="D50" s="949"/>
      <c r="E50" s="1052" t="s">
        <v>697</v>
      </c>
      <c r="F50" s="1053">
        <f ca="1">F7</f>
        <v>19830.27</v>
      </c>
      <c r="H50" s="721"/>
      <c r="I50" s="1417" t="s">
        <v>826</v>
      </c>
      <c r="J50" s="1425">
        <f>SUMPRODUCT((I63:I65=J47)*(J62:L62=J48)*(J63:L65))</f>
        <v>60</v>
      </c>
      <c r="K50" s="1419" t="s">
        <v>827</v>
      </c>
      <c r="L50" s="1423"/>
      <c r="M50" s="1426"/>
      <c r="O50" s="1424" t="s">
        <v>406</v>
      </c>
      <c r="P50" s="1415" t="s">
        <v>828</v>
      </c>
      <c r="Q50" s="1427">
        <f ca="1">J58</f>
        <v>0.47</v>
      </c>
      <c r="R50" s="1416"/>
    </row>
    <row r="51" spans="1:18" s="1380" customFormat="1" ht="13.8" thickBot="1">
      <c r="A51" s="973"/>
      <c r="B51" s="975"/>
      <c r="C51" s="976"/>
      <c r="D51" s="949"/>
      <c r="E51" s="977" t="s">
        <v>698</v>
      </c>
      <c r="F51" s="302">
        <f ca="1">F8</f>
        <v>365</v>
      </c>
      <c r="I51" s="1428" t="s">
        <v>829</v>
      </c>
      <c r="J51" s="1429">
        <f>IF(J49="",J50,J49+J50-YEAR('数据-取费表'!B2))</f>
        <v>56</v>
      </c>
      <c r="K51" s="1430" t="s">
        <v>830</v>
      </c>
      <c r="L51" s="1431">
        <f ca="1">ROUND(-PV(INDIRECT("'数据-取费表'!h"&amp;$G$1),J51,(C39-C13*C76),0),0)</f>
        <v>56467</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c r="O52" s="1424" t="s">
        <v>408</v>
      </c>
      <c r="P52" s="1415" t="s">
        <v>834</v>
      </c>
      <c r="Q52" s="1416">
        <f ca="1">J53</f>
        <v>27.83</v>
      </c>
      <c r="R52" s="1416" t="s">
        <v>835</v>
      </c>
    </row>
    <row r="53" spans="1:18" s="1380" customFormat="1" ht="36.6" thickBot="1">
      <c r="A53" s="1148" t="s">
        <v>440</v>
      </c>
      <c r="B53" s="1369" t="s">
        <v>700</v>
      </c>
      <c r="C53" s="315">
        <f ca="1">ROUND(IF(F53="押一",C49/12*F11,IF(F53="押二",C49/12*2*F11,IF(F53="押三",C49/12*3*F11,C54*F11))),0)</f>
        <v>0</v>
      </c>
      <c r="D53" s="1362" t="s">
        <v>2116</v>
      </c>
      <c r="E53" s="312" t="s">
        <v>701</v>
      </c>
      <c r="F53" s="1112"/>
      <c r="I53" s="1435" t="s">
        <v>836</v>
      </c>
      <c r="J53" s="2164">
        <f ca="1">IF(M47="住宅",IF(D1="——",MAX(J51,L48),MAX(J51,L48-'数据-取费表'!B24)),IF(D1="——",MIN(J51,L48),MIN(J51,L48-'数据-取费表'!B24)))</f>
        <v>27.83</v>
      </c>
      <c r="K53" s="3680" t="s">
        <v>837</v>
      </c>
      <c r="L53" s="3681"/>
      <c r="O53" s="1414" t="s">
        <v>409</v>
      </c>
      <c r="P53" s="1415" t="s">
        <v>838</v>
      </c>
      <c r="Q53" s="1416">
        <f ca="1">Q47+Q48</f>
        <v>88111</v>
      </c>
      <c r="R53" s="1416" t="s">
        <v>410</v>
      </c>
    </row>
    <row r="54" spans="1:18" s="1380" customFormat="1" ht="24.6"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f ca="1">ROUND(IF(J47="钢混",J57/J50,1-(1-2%)*(J50-J57)/J50),3)</f>
        <v>0.47</v>
      </c>
      <c r="K55" s="1441" t="s">
        <v>841</v>
      </c>
      <c r="L55" s="1442"/>
      <c r="O55" s="1407" t="s">
        <v>811</v>
      </c>
      <c r="P55" s="1408" t="s">
        <v>812</v>
      </c>
      <c r="Q55" s="1409" t="s">
        <v>813</v>
      </c>
      <c r="R55" s="1409" t="s">
        <v>814</v>
      </c>
    </row>
    <row r="56" spans="1:18" s="1380" customFormat="1" ht="37.200000000000003" thickTop="1" thickBot="1">
      <c r="A56" s="953">
        <v>2</v>
      </c>
      <c r="B56" s="954" t="s">
        <v>704</v>
      </c>
      <c r="C56" s="231">
        <f ca="1">C13</f>
        <v>15991</v>
      </c>
      <c r="D56" s="1443"/>
      <c r="E56" s="1444"/>
      <c r="F56" s="1436"/>
      <c r="I56" s="1445" t="s">
        <v>842</v>
      </c>
      <c r="J56" s="1446" t="s">
        <v>3436</v>
      </c>
      <c r="K56" s="1417" t="s">
        <v>843</v>
      </c>
      <c r="L56" s="1420" t="str">
        <f ca="1">IF(L48&lt;J51,"——",L48-J53)</f>
        <v>——</v>
      </c>
      <c r="O56" s="1414" t="s">
        <v>403</v>
      </c>
      <c r="P56" s="1415" t="s">
        <v>817</v>
      </c>
      <c r="Q56" s="1416">
        <f ca="1">C40+J29</f>
        <v>87031</v>
      </c>
      <c r="R56" s="1416" t="s">
        <v>818</v>
      </c>
    </row>
    <row r="57" spans="1:18" s="1380" customFormat="1" ht="24.6" thickBot="1">
      <c r="A57" s="1447"/>
      <c r="B57" s="946" t="s">
        <v>767</v>
      </c>
      <c r="C57" s="237">
        <f ca="1">C29</f>
        <v>17195</v>
      </c>
      <c r="D57" s="1448"/>
      <c r="E57" s="1449"/>
      <c r="F57" s="1450"/>
      <c r="I57" s="1451" t="s">
        <v>844</v>
      </c>
      <c r="J57" s="1452">
        <f ca="1">IF(OR(M47="住宅",J51&lt;L48,J56="是"),"——",J51-L48)</f>
        <v>28.17</v>
      </c>
      <c r="K57" s="1417" t="s">
        <v>845</v>
      </c>
      <c r="L57" s="1420" t="str">
        <f ca="1">IF(L48&lt;J51,"——",IF(L55="比较法",L49,IF(L55="基准地价",L50,L51)))</f>
        <v>——</v>
      </c>
      <c r="O57" s="1414" t="s">
        <v>404</v>
      </c>
      <c r="P57" s="1415" t="s">
        <v>846</v>
      </c>
      <c r="Q57" s="1416">
        <f ca="1">L60</f>
        <v>0</v>
      </c>
      <c r="R57" s="1416" t="s">
        <v>847</v>
      </c>
    </row>
    <row r="58" spans="1:18" s="1380" customFormat="1" ht="24.6" thickBot="1">
      <c r="A58" s="314" t="s">
        <v>393</v>
      </c>
      <c r="B58" s="954" t="s">
        <v>714</v>
      </c>
      <c r="C58" s="315">
        <f ca="1">ROUND(C59+C64+C65+C66,0)</f>
        <v>189</v>
      </c>
      <c r="D58" s="956" t="s">
        <v>715</v>
      </c>
      <c r="E58" s="957"/>
      <c r="F58" s="958"/>
      <c r="I58" s="1451" t="s">
        <v>848</v>
      </c>
      <c r="J58" s="1453">
        <f ca="1">IF(J55&lt;0.4,0.4,J55)</f>
        <v>0.47</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8082</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30">
        <f t="shared" ref="F60:F66" si="0">F32</f>
        <v>5.6000000000000001E-2</v>
      </c>
      <c r="I60" s="1454" t="s">
        <v>853</v>
      </c>
      <c r="J60" s="1455">
        <f ca="1">IF(OR(M47="住宅",J51&lt;L48,J56="是"),"0",ROUND(J59/(1+J52)^J53,0))</f>
        <v>1080</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IF(项目基本情况!B11="自然人","——",IF(D61="按租金收入计税",ROUND(C49*F61/(1+'数据-取费表'!C42),2),IF(D61="按房产原值计税",ROUND(C57*F61*0.7,2),INDIRECT("'数据-取费表'!Aj"&amp;$G$1))))</f>
        <v>0</v>
      </c>
      <c r="D61" s="1366" t="s">
        <v>3342</v>
      </c>
      <c r="E61" s="946" t="s">
        <v>783</v>
      </c>
      <c r="F61" s="321">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0.75</v>
      </c>
      <c r="D62" s="961" t="s">
        <v>786</v>
      </c>
      <c r="E62" s="946" t="s">
        <v>787</v>
      </c>
      <c r="F62" s="324">
        <f t="shared" si="0"/>
        <v>3</v>
      </c>
      <c r="I62" s="1458" t="s">
        <v>858</v>
      </c>
      <c r="J62" s="1459" t="s">
        <v>859</v>
      </c>
      <c r="K62" s="1459" t="s">
        <v>860</v>
      </c>
      <c r="L62" s="1459" t="s">
        <v>861</v>
      </c>
      <c r="M62" s="1460" t="s">
        <v>862</v>
      </c>
      <c r="O62" s="1414" t="s">
        <v>409</v>
      </c>
      <c r="P62" s="1415" t="s">
        <v>863</v>
      </c>
      <c r="Q62" s="1416">
        <f ca="1">Q56+Q57</f>
        <v>87031</v>
      </c>
      <c r="R62" s="1416" t="s">
        <v>410</v>
      </c>
    </row>
    <row r="63" spans="1:18" s="1380" customFormat="1" ht="13.8" thickBot="1">
      <c r="A63" s="325"/>
      <c r="B63" s="952"/>
      <c r="C63" s="26"/>
      <c r="D63" s="962"/>
      <c r="E63" s="946" t="s">
        <v>788</v>
      </c>
      <c r="F63" s="302">
        <f t="shared" ca="1" si="0"/>
        <v>2506.06</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ROUND(C57*F64,2)</f>
        <v>171.95</v>
      </c>
      <c r="D64" s="960" t="s">
        <v>791</v>
      </c>
      <c r="E64" s="946" t="s">
        <v>783</v>
      </c>
      <c r="F64" s="327">
        <f t="shared" ca="1" si="0"/>
        <v>0.01</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15.99</v>
      </c>
      <c r="D65" s="960" t="s">
        <v>743</v>
      </c>
      <c r="E65" s="946" t="s">
        <v>744</v>
      </c>
      <c r="F65" s="329">
        <f t="shared" ca="1" si="0"/>
        <v>1E-3</v>
      </c>
      <c r="I65" s="1458" t="s">
        <v>867</v>
      </c>
      <c r="J65" s="1459">
        <v>40</v>
      </c>
      <c r="K65" s="1459">
        <v>30</v>
      </c>
      <c r="L65" s="1459">
        <v>50</v>
      </c>
      <c r="M65" s="1461">
        <v>0.02</v>
      </c>
      <c r="O65" s="1414" t="s">
        <v>403</v>
      </c>
      <c r="P65" s="1415" t="s">
        <v>868</v>
      </c>
      <c r="Q65" s="1416">
        <f ca="1">C40+J29</f>
        <v>87031</v>
      </c>
      <c r="R65" s="1416" t="s">
        <v>818</v>
      </c>
    </row>
    <row r="66" spans="1:18" s="1380" customFormat="1" ht="16.2" thickBot="1">
      <c r="A66" s="978" t="s">
        <v>793</v>
      </c>
      <c r="B66" s="946" t="s">
        <v>728</v>
      </c>
      <c r="C66" s="21">
        <f ca="1">ROUND(C48*F66,2)</f>
        <v>0</v>
      </c>
      <c r="D66" s="960" t="s">
        <v>794</v>
      </c>
      <c r="E66" s="946" t="s">
        <v>712</v>
      </c>
      <c r="F66" s="311">
        <f t="shared" ca="1" si="0"/>
        <v>0.01</v>
      </c>
      <c r="O66" s="1414" t="s">
        <v>404</v>
      </c>
      <c r="P66" s="1415" t="s">
        <v>846</v>
      </c>
      <c r="Q66" s="1416">
        <f ca="1">L60</f>
        <v>0</v>
      </c>
      <c r="R66" s="1416" t="s">
        <v>869</v>
      </c>
    </row>
    <row r="67" spans="1:18" s="1380" customFormat="1" ht="24.6" thickBot="1">
      <c r="A67" s="953" t="s">
        <v>394</v>
      </c>
      <c r="B67" s="963" t="s">
        <v>752</v>
      </c>
      <c r="C67" s="315">
        <f ca="1">C48-C58</f>
        <v>-189</v>
      </c>
      <c r="D67" s="959" t="s">
        <v>753</v>
      </c>
      <c r="E67" s="964"/>
      <c r="F67" s="965"/>
      <c r="O67" s="1424" t="s">
        <v>405</v>
      </c>
      <c r="P67" s="1415" t="s">
        <v>850</v>
      </c>
      <c r="Q67" s="1462">
        <f ca="1">L51</f>
        <v>56467</v>
      </c>
      <c r="R67" s="1416" t="s">
        <v>870</v>
      </c>
    </row>
    <row r="68" spans="1:18" s="1380" customFormat="1" ht="16.2" thickBot="1">
      <c r="A68" s="943" t="s">
        <v>395</v>
      </c>
      <c r="B68" s="944" t="s">
        <v>774</v>
      </c>
      <c r="C68" s="300">
        <f ca="1">ROUND(C67*(1-((1+F70)/(1+F68))^F69)/(F68-F70),0)</f>
        <v>-2662</v>
      </c>
      <c r="D68" s="961" t="s">
        <v>758</v>
      </c>
      <c r="E68" s="946" t="s">
        <v>759</v>
      </c>
      <c r="F68" s="311">
        <f ca="1">F40</f>
        <v>5.5E-2</v>
      </c>
      <c r="O68" s="1424" t="s">
        <v>406</v>
      </c>
      <c r="P68" s="1463" t="s">
        <v>871</v>
      </c>
      <c r="Q68" s="1416">
        <f ca="1">ROUND(Q69-Q70*Q71,0)</f>
        <v>3269</v>
      </c>
      <c r="R68" s="1416" t="s">
        <v>414</v>
      </c>
    </row>
    <row r="69" spans="1:18" s="1380" customFormat="1" ht="13.8" thickBot="1">
      <c r="A69" s="947"/>
      <c r="B69" s="948"/>
      <c r="C69" s="305"/>
      <c r="D69" s="966" t="s">
        <v>762</v>
      </c>
      <c r="E69" s="946" t="s">
        <v>763</v>
      </c>
      <c r="F69" s="332">
        <f ca="1">F41</f>
        <v>27.83</v>
      </c>
      <c r="O69" s="1424" t="s">
        <v>411</v>
      </c>
      <c r="P69" s="1463" t="s">
        <v>872</v>
      </c>
      <c r="Q69" s="1416">
        <f ca="1">C39</f>
        <v>4468</v>
      </c>
      <c r="R69" s="1416" t="s">
        <v>818</v>
      </c>
    </row>
    <row r="70" spans="1:18" s="1380" customFormat="1" ht="13.8" thickBot="1">
      <c r="A70" s="950"/>
      <c r="B70" s="951"/>
      <c r="C70" s="309"/>
      <c r="D70" s="962"/>
      <c r="E70" s="946" t="s">
        <v>766</v>
      </c>
      <c r="F70" s="1050"/>
      <c r="O70" s="1424" t="s">
        <v>412</v>
      </c>
      <c r="P70" s="1463" t="s">
        <v>873</v>
      </c>
      <c r="Q70" s="1416">
        <f ca="1">C13</f>
        <v>15991</v>
      </c>
      <c r="R70" s="1416" t="s">
        <v>818</v>
      </c>
    </row>
    <row r="71" spans="1:18" s="1380" customFormat="1" ht="13.8" thickBot="1">
      <c r="A71" s="967" t="s">
        <v>396</v>
      </c>
      <c r="B71" s="968" t="s">
        <v>776</v>
      </c>
      <c r="C71" s="335">
        <f ca="1">ROUND(C68*10000/F71,0)</f>
        <v>-1342</v>
      </c>
      <c r="D71" s="969" t="s">
        <v>777</v>
      </c>
      <c r="E71" s="970" t="s">
        <v>778</v>
      </c>
      <c r="F71" s="338">
        <f ca="1">F43</f>
        <v>19830.27</v>
      </c>
      <c r="O71" s="1424" t="s">
        <v>413</v>
      </c>
      <c r="P71" s="1463" t="s">
        <v>874</v>
      </c>
      <c r="Q71" s="1427">
        <f ca="1">C76</f>
        <v>7.4999999999999997E-2</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2"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9" t="s">
        <v>795</v>
      </c>
      <c r="C75" s="340">
        <f ca="1">ROUND(C13*C76,0)</f>
        <v>1199</v>
      </c>
      <c r="D75" s="1380"/>
      <c r="E75" s="1380"/>
      <c r="F75" s="1380"/>
      <c r="K75" s="1398"/>
      <c r="L75" s="1380"/>
      <c r="O75" s="1414" t="s">
        <v>409</v>
      </c>
      <c r="P75" s="1415" t="s">
        <v>838</v>
      </c>
      <c r="Q75" s="1416">
        <f ca="1">Q65+Q66</f>
        <v>87031</v>
      </c>
      <c r="R75" s="1416" t="s">
        <v>410</v>
      </c>
    </row>
    <row r="76" spans="1:18">
      <c r="B76" s="341" t="s">
        <v>796</v>
      </c>
      <c r="C76" s="342">
        <f ca="1">INDIRECT("'数据-取费表'!j"&amp;$G$1)</f>
        <v>7.4999999999999997E-2</v>
      </c>
      <c r="I76" s="1380"/>
      <c r="J76" s="1380"/>
      <c r="K76" s="1398"/>
      <c r="L76" s="1380"/>
    </row>
    <row r="77" spans="1:18">
      <c r="B77" s="343" t="s">
        <v>797</v>
      </c>
      <c r="C77" s="344"/>
      <c r="I77" s="1380"/>
      <c r="J77" s="1380"/>
      <c r="K77" s="1398"/>
      <c r="L77" s="1380"/>
    </row>
    <row r="78" spans="1:18">
      <c r="B78" s="269" t="s">
        <v>798</v>
      </c>
      <c r="C78" s="345"/>
    </row>
    <row r="79" spans="1:18">
      <c r="B79" s="339" t="s">
        <v>799</v>
      </c>
      <c r="C79" s="273">
        <f ca="1">1-C80</f>
        <v>0.73199999999999998</v>
      </c>
    </row>
    <row r="80" spans="1:18">
      <c r="B80" s="339" t="s">
        <v>800</v>
      </c>
      <c r="C80" s="273">
        <f ca="1">ROUND(C75/C39,3)</f>
        <v>0.26800000000000002</v>
      </c>
    </row>
    <row r="81" spans="2:3">
      <c r="B81" s="269" t="s">
        <v>801</v>
      </c>
      <c r="C81" s="237"/>
    </row>
    <row r="82" spans="2:3">
      <c r="B82" s="272" t="s">
        <v>802</v>
      </c>
      <c r="C82" s="274">
        <f ca="1">1-C83</f>
        <v>0.81600000000000006</v>
      </c>
    </row>
    <row r="83" spans="2:3">
      <c r="B83" s="272" t="s">
        <v>803</v>
      </c>
      <c r="C83" s="273">
        <f ca="1">ROUND(C13/C40,3)</f>
        <v>0.184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05" priority="56">
      <formula>$L$48&gt;$J$51</formula>
    </cfRule>
  </conditionalFormatting>
  <conditionalFormatting sqref="I55 I60">
    <cfRule type="expression" dxfId="204" priority="57">
      <formula>$J$51&gt;$L$48</formula>
    </cfRule>
  </conditionalFormatting>
  <conditionalFormatting sqref="C11">
    <cfRule type="expression" dxfId="203" priority="3">
      <formula>$F$10="自定义"</formula>
    </cfRule>
  </conditionalFormatting>
  <conditionalFormatting sqref="J11">
    <cfRule type="expression" dxfId="202" priority="2">
      <formula>$M$10="自定义"</formula>
    </cfRule>
  </conditionalFormatting>
  <conditionalFormatting sqref="C54">
    <cfRule type="expression" dxfId="20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D17" sqref="D17"/>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t="s">
        <v>3404</v>
      </c>
      <c r="D1" s="1743"/>
      <c r="E1" s="1743"/>
      <c r="F1" s="1745" t="s">
        <v>1263</v>
      </c>
      <c r="G1" s="1557"/>
      <c r="H1" s="1746" t="str">
        <f>IF(G1="现房","——","估价对象范围")</f>
        <v>估价对象范围</v>
      </c>
      <c r="I1" s="1747"/>
    </row>
    <row r="2" spans="1:12" ht="21.75" customHeight="1" thickBot="1">
      <c r="A2" s="3631" t="str">
        <f>项目基本情况!S2</f>
        <v>北京市房地产</v>
      </c>
      <c r="B2" s="3632"/>
      <c r="C2" s="3632"/>
      <c r="D2" s="3632"/>
      <c r="E2" s="3632"/>
      <c r="F2" s="3632"/>
      <c r="G2" s="3632"/>
      <c r="H2" s="3632"/>
      <c r="I2" s="3633"/>
    </row>
    <row r="3" spans="1:12" ht="13.2">
      <c r="A3" s="3635" t="s">
        <v>1264</v>
      </c>
      <c r="B3" s="3636"/>
      <c r="C3" s="3636"/>
      <c r="D3" s="3636"/>
      <c r="E3" s="3636"/>
      <c r="F3" s="3636"/>
      <c r="G3" s="3636"/>
      <c r="H3" s="3636"/>
      <c r="I3" s="3636"/>
    </row>
    <row r="4" spans="1:12" ht="14.4">
      <c r="A4" s="1750" t="s">
        <v>1265</v>
      </c>
      <c r="B4" s="1751" t="s">
        <v>1266</v>
      </c>
      <c r="C4" s="1752" t="s">
        <v>3421</v>
      </c>
      <c r="D4" s="1752" t="s">
        <v>3427</v>
      </c>
      <c r="E4" s="3640" t="s">
        <v>1267</v>
      </c>
      <c r="F4" s="3641"/>
      <c r="G4" s="3641"/>
      <c r="H4" s="3641"/>
      <c r="I4" s="3642"/>
      <c r="K4" s="145" t="str">
        <f>IF(ISNUMBER(FIND("比较法",'结果表-地下商业1'!C4)),"比较法",IF(ISNUMBER(FIND("成本法",'结果表-地下商业1'!C4)),"成本法",IF(ISNUMBER(FIND("假设开发法",'结果表-地下商业1'!C4)),"假设开发法",IF(ISNUMBER(FIND("收益法",'结果表-地下商业1'!C4)),"收益法","基准地价系数修正法"))))</f>
        <v>成本法</v>
      </c>
      <c r="L4" s="145" t="str">
        <f>IF(ISNUMBER(FIND("比较法",'结果表-地下商业1'!D4)),"比较法",IF(ISNUMBER(FIND("成本法",'结果表-地下商业1'!D4)),"成本法",IF(ISNUMBER(FIND("假设开发法",'结果表-地下商业1'!D4)),"假设开发法",IF(ISNUMBER(FIND("收益法",'结果表-地下商业1'!D4)),"收益法","基准地价系数修正法"))))</f>
        <v>收益法</v>
      </c>
    </row>
    <row r="5" spans="1:12" ht="13.2">
      <c r="A5" s="3579" t="s">
        <v>1268</v>
      </c>
      <c r="B5" s="3634">
        <v>25</v>
      </c>
      <c r="C5" s="3637"/>
      <c r="D5" s="3625"/>
      <c r="E5" s="130" t="s">
        <v>1269</v>
      </c>
      <c r="F5" s="1753"/>
      <c r="G5" s="1753"/>
      <c r="H5" s="1753"/>
      <c r="I5" s="1369"/>
    </row>
    <row r="6" spans="1:12" ht="13.2">
      <c r="A6" s="3579"/>
      <c r="B6" s="3634"/>
      <c r="C6" s="3639"/>
      <c r="D6" s="3625"/>
      <c r="E6" s="130" t="s">
        <v>1270</v>
      </c>
      <c r="F6" s="1753"/>
      <c r="G6" s="1753"/>
      <c r="H6" s="1753"/>
      <c r="I6" s="1369"/>
    </row>
    <row r="7" spans="1:12" ht="13.2">
      <c r="A7" s="3579"/>
      <c r="B7" s="3634"/>
      <c r="C7" s="3638"/>
      <c r="D7" s="3625"/>
      <c r="E7" s="130" t="s">
        <v>1271</v>
      </c>
      <c r="F7" s="1753"/>
      <c r="G7" s="1753"/>
      <c r="H7" s="1753"/>
      <c r="I7" s="1369"/>
    </row>
    <row r="8" spans="1:12" ht="13.2">
      <c r="A8" s="3579" t="s">
        <v>1272</v>
      </c>
      <c r="B8" s="3634">
        <v>15</v>
      </c>
      <c r="C8" s="3637"/>
      <c r="D8" s="3625"/>
      <c r="E8" s="130" t="s">
        <v>1273</v>
      </c>
      <c r="F8" s="1753"/>
      <c r="G8" s="1753"/>
      <c r="H8" s="1753"/>
      <c r="I8" s="1369"/>
    </row>
    <row r="9" spans="1:12" ht="13.2">
      <c r="A9" s="3579"/>
      <c r="B9" s="3634"/>
      <c r="C9" s="3638"/>
      <c r="D9" s="3625"/>
      <c r="E9" s="130" t="s">
        <v>1274</v>
      </c>
      <c r="F9" s="1753"/>
      <c r="G9" s="1753"/>
      <c r="H9" s="1753"/>
      <c r="I9" s="1369"/>
    </row>
    <row r="10" spans="1:12" ht="13.2">
      <c r="A10" s="3579" t="s">
        <v>1275</v>
      </c>
      <c r="B10" s="3634">
        <v>15</v>
      </c>
      <c r="C10" s="3637"/>
      <c r="D10" s="3625"/>
      <c r="E10" s="130" t="s">
        <v>1276</v>
      </c>
      <c r="F10" s="1753"/>
      <c r="G10" s="1753"/>
      <c r="H10" s="1753"/>
      <c r="I10" s="1369"/>
    </row>
    <row r="11" spans="1:12" ht="13.2">
      <c r="A11" s="3579"/>
      <c r="B11" s="3634"/>
      <c r="C11" s="3638"/>
      <c r="D11" s="3625"/>
      <c r="E11" s="130" t="s">
        <v>1277</v>
      </c>
      <c r="F11" s="1753"/>
      <c r="G11" s="1753"/>
      <c r="H11" s="1753"/>
      <c r="I11" s="1369"/>
    </row>
    <row r="12" spans="1:12" ht="13.2">
      <c r="A12" s="3579" t="s">
        <v>1278</v>
      </c>
      <c r="B12" s="3634">
        <v>15</v>
      </c>
      <c r="C12" s="3637"/>
      <c r="D12" s="3625"/>
      <c r="E12" s="130" t="s">
        <v>1279</v>
      </c>
      <c r="F12" s="1753"/>
      <c r="G12" s="1753"/>
      <c r="H12" s="1753"/>
      <c r="I12" s="1369"/>
    </row>
    <row r="13" spans="1:12" ht="13.2">
      <c r="A13" s="3579"/>
      <c r="B13" s="3634"/>
      <c r="C13" s="3638"/>
      <c r="D13" s="3625"/>
      <c r="E13" s="130" t="s">
        <v>1280</v>
      </c>
      <c r="F13" s="1753"/>
      <c r="G13" s="1753"/>
      <c r="H13" s="1753"/>
      <c r="I13" s="1369"/>
    </row>
    <row r="14" spans="1:12" ht="13.2">
      <c r="A14" s="3579" t="s">
        <v>1281</v>
      </c>
      <c r="B14" s="3634">
        <v>30</v>
      </c>
      <c r="C14" s="3637">
        <v>4</v>
      </c>
      <c r="D14" s="3625">
        <v>6</v>
      </c>
      <c r="E14" s="130" t="s">
        <v>1282</v>
      </c>
      <c r="F14" s="1753"/>
      <c r="G14" s="1753"/>
      <c r="H14" s="1753"/>
      <c r="I14" s="1369"/>
    </row>
    <row r="15" spans="1:12" ht="13.2">
      <c r="A15" s="3579"/>
      <c r="B15" s="3634"/>
      <c r="C15" s="3639"/>
      <c r="D15" s="3625"/>
      <c r="E15" s="130" t="s">
        <v>1283</v>
      </c>
      <c r="F15" s="1753"/>
      <c r="G15" s="1753"/>
      <c r="H15" s="1753"/>
      <c r="I15" s="1369"/>
    </row>
    <row r="16" spans="1:12" ht="13.2">
      <c r="A16" s="3579"/>
      <c r="B16" s="3634"/>
      <c r="C16" s="3638"/>
      <c r="D16" s="3625"/>
      <c r="E16" s="130" t="s">
        <v>1284</v>
      </c>
      <c r="F16" s="1753"/>
      <c r="G16" s="1753"/>
      <c r="H16" s="1753"/>
      <c r="I16" s="1369"/>
    </row>
    <row r="17" spans="1:36" ht="14.4">
      <c r="A17" s="1754" t="s">
        <v>1285</v>
      </c>
      <c r="B17" s="56"/>
      <c r="C17" s="131">
        <f>SUM(C5:C16)</f>
        <v>4</v>
      </c>
      <c r="D17" s="131">
        <f>SUM(D5:D16)</f>
        <v>6</v>
      </c>
      <c r="E17" s="128"/>
      <c r="F17" s="128"/>
      <c r="G17" s="128"/>
      <c r="H17" s="128"/>
      <c r="I17" s="128"/>
      <c r="K17" s="301"/>
      <c r="L17" s="301" t="s">
        <v>1286</v>
      </c>
      <c r="M17" s="301" t="s">
        <v>1287</v>
      </c>
    </row>
    <row r="18" spans="1:36" ht="31.95" customHeight="1" thickBot="1">
      <c r="A18" s="1755" t="s">
        <v>1288</v>
      </c>
      <c r="B18" s="1756"/>
      <c r="C18" s="132">
        <f>ROUND(C17/SUM(C17:D17),2)</f>
        <v>0.4</v>
      </c>
      <c r="D18" s="132">
        <f>1-C18</f>
        <v>0.6</v>
      </c>
      <c r="E18" s="3656" t="s">
        <v>2131</v>
      </c>
      <c r="F18" s="3657"/>
      <c r="G18" s="3657"/>
      <c r="H18" s="3657"/>
      <c r="I18" s="3657"/>
      <c r="K18" s="301" t="s">
        <v>1289</v>
      </c>
      <c r="L18" s="301">
        <f>IF(C1="",'数据-汇总表'!E3,SUMIF(项目类型,C1,'数据-汇总表'!E17:E26)+SUMIF(项目类型,C1,'数据-汇总表'!I17:I26))</f>
        <v>31986.760000000002</v>
      </c>
      <c r="M18" s="301">
        <f>IF(C1="",'数据-汇总表'!E3,SUMIF(项目类型,C1,'数据-汇总表'!E17:E26))</f>
        <v>31986.760000000002</v>
      </c>
    </row>
    <row r="19" spans="1:36" ht="14.4">
      <c r="A19" s="1757" t="s">
        <v>1290</v>
      </c>
      <c r="B19" s="1758" t="s">
        <v>1291</v>
      </c>
      <c r="C19" s="133">
        <f ca="1">SUMIF(INDIRECT("'"&amp;C4&amp;"'"&amp;"!A:A"),'结果表-地下商业1'!B19,INDIRECT("'"&amp;C4&amp;"'"&amp;"!B:B"))</f>
        <v>44668</v>
      </c>
      <c r="D19" s="134">
        <f ca="1">SUMIF(INDIRECT("'"&amp;D4&amp;"'"&amp;"!A:A"),'结果表-地下商业1'!B19,INDIRECT("'"&amp;D4&amp;"'"&amp;"!B:B"))</f>
        <v>59424</v>
      </c>
      <c r="E19" s="1757" t="s">
        <v>1292</v>
      </c>
      <c r="F19" s="1758" t="s">
        <v>1291</v>
      </c>
      <c r="G19" s="135">
        <f ca="1">ROUND(C19*$C$18+D19*$D$18,0)</f>
        <v>53522</v>
      </c>
      <c r="H19" s="1759" t="s">
        <v>1293</v>
      </c>
      <c r="I19" s="128"/>
      <c r="K19" s="301" t="s">
        <v>1294</v>
      </c>
      <c r="L19" s="301">
        <f>IF(C1="",'数据-汇总表'!D3,SUMIF(项目类型,C1,'数据-汇总表'!D17:D26)+SUMIF(项目类型,C1,'数据-汇总表'!H17:H27))</f>
        <v>4042.34</v>
      </c>
      <c r="M19" s="301">
        <f>IF(C1="",'数据-汇总表'!D3,SUMIF(项目类型,C1,'数据-汇总表'!D17:D26))</f>
        <v>4042.34</v>
      </c>
    </row>
    <row r="20" spans="1:36" ht="14.4">
      <c r="A20" s="1760"/>
      <c r="B20" s="1022" t="s">
        <v>1295</v>
      </c>
      <c r="C20" s="136">
        <f ca="1">SUMIF(INDIRECT("'"&amp;C4&amp;"'"&amp;"!A:A"),'结果表-地下商业1'!B20,INDIRECT("'"&amp;C4&amp;"'"&amp;"!B:B"))</f>
        <v>13965</v>
      </c>
      <c r="D20" s="137">
        <f ca="1">SUMIF(INDIRECT("'"&amp;D4&amp;"'"&amp;"!A:A"),'结果表-地下商业1'!B20,INDIRECT("'"&amp;D4&amp;"'"&amp;"!B:B"))</f>
        <v>18578</v>
      </c>
      <c r="E20" s="1760"/>
      <c r="F20" s="1022" t="s">
        <v>1295</v>
      </c>
      <c r="G20" s="138">
        <f ca="1">ROUND(C20*$C$18+D20*$D$18,0)</f>
        <v>16733</v>
      </c>
      <c r="H20" s="804" t="s">
        <v>1296</v>
      </c>
      <c r="I20" s="128"/>
    </row>
    <row r="21" spans="1:36" ht="15" customHeight="1" thickBot="1">
      <c r="A21" s="824"/>
      <c r="B21" s="1761" t="s">
        <v>1297</v>
      </c>
      <c r="C21" s="717">
        <f ca="1">ROUND(C19*10000/L19,0)</f>
        <v>110500</v>
      </c>
      <c r="D21" s="718">
        <f ca="1">ROUND(D19*10000/L19,0)</f>
        <v>147004</v>
      </c>
      <c r="E21" s="824"/>
      <c r="F21" s="1761" t="s">
        <v>1297</v>
      </c>
      <c r="G21" s="139">
        <f ca="1">ROUND(G19*10000/L19,0)</f>
        <v>132404</v>
      </c>
      <c r="H21" s="1762" t="s">
        <v>1296</v>
      </c>
      <c r="I21" s="128"/>
    </row>
    <row r="22" spans="1:36" ht="15" thickBot="1">
      <c r="A22" s="1684" t="s">
        <v>1298</v>
      </c>
      <c r="B22" s="1763"/>
      <c r="C22" s="1764"/>
      <c r="D22" s="719">
        <f ca="1">IF(C19&lt;D19,D19/C19-1,C19/D19-1)</f>
        <v>0.33034834781051314</v>
      </c>
      <c r="E22" s="128"/>
      <c r="F22" s="128"/>
      <c r="G22" s="128"/>
      <c r="H22" s="128"/>
      <c r="I22" s="128"/>
    </row>
    <row r="23" spans="1:36" ht="13.8" thickBot="1">
      <c r="A23" s="1743"/>
      <c r="B23" s="1743"/>
      <c r="C23" s="1743"/>
      <c r="D23" s="1743"/>
      <c r="E23" s="128"/>
      <c r="F23" s="128"/>
      <c r="G23" s="128"/>
      <c r="H23" s="128"/>
      <c r="I23" s="128"/>
    </row>
    <row r="24" spans="1:36" ht="14.4">
      <c r="A24" s="3649" t="s">
        <v>1299</v>
      </c>
      <c r="B24" s="1758" t="s">
        <v>1291</v>
      </c>
      <c r="C24" s="135">
        <f>IF(B30=0,0,D30)</f>
        <v>0</v>
      </c>
      <c r="D24" s="1765"/>
      <c r="E24" s="128"/>
      <c r="F24" s="128"/>
      <c r="G24" s="128"/>
      <c r="H24" s="128"/>
      <c r="I24" s="128"/>
    </row>
    <row r="25" spans="1:36" ht="14.4">
      <c r="A25" s="3650"/>
      <c r="B25" s="1022" t="s">
        <v>1295</v>
      </c>
      <c r="C25" s="140">
        <f>IF(B30=0,0,C30)</f>
        <v>0</v>
      </c>
      <c r="D25" s="1766"/>
      <c r="E25" s="128"/>
      <c r="F25" s="128"/>
      <c r="G25" s="128"/>
      <c r="H25" s="128"/>
      <c r="I25" s="128"/>
    </row>
    <row r="26" spans="1:36" ht="13.5" customHeight="1">
      <c r="A26" s="1767" t="s">
        <v>1300</v>
      </c>
      <c r="B26" s="141" t="s">
        <v>1301</v>
      </c>
      <c r="C26" s="141" t="s">
        <v>1302</v>
      </c>
      <c r="D26" s="142" t="s">
        <v>1303</v>
      </c>
      <c r="E26" s="128"/>
      <c r="F26" s="128"/>
      <c r="G26" s="128"/>
      <c r="H26" s="128"/>
      <c r="I26" s="128"/>
    </row>
    <row r="27" spans="1:36" ht="13.8">
      <c r="A27" s="1767"/>
      <c r="B27" s="141">
        <v>0</v>
      </c>
      <c r="C27" s="141">
        <v>0</v>
      </c>
      <c r="D27" s="142">
        <f>ROUND(C27*B27/10000,0)</f>
        <v>0</v>
      </c>
      <c r="E27" s="128"/>
      <c r="F27" s="128"/>
      <c r="G27" s="128"/>
      <c r="H27" s="128"/>
      <c r="I27" s="128"/>
    </row>
    <row r="28" spans="1:36" ht="13.8">
      <c r="A28" s="1767"/>
      <c r="B28" s="141"/>
      <c r="C28" s="141"/>
      <c r="D28" s="142"/>
      <c r="E28" s="128"/>
      <c r="F28" s="128"/>
      <c r="G28" s="128"/>
      <c r="H28" s="128"/>
      <c r="I28" s="128"/>
    </row>
    <row r="29" spans="1:36" ht="13.8">
      <c r="A29" s="1767"/>
      <c r="B29" s="141"/>
      <c r="C29" s="141"/>
      <c r="D29" s="142"/>
      <c r="E29" s="128"/>
      <c r="F29" s="128"/>
      <c r="G29" s="128"/>
      <c r="H29" s="128"/>
      <c r="I29" s="128"/>
    </row>
    <row r="30" spans="1:36" ht="15" thickBot="1">
      <c r="A30" s="141" t="s">
        <v>1304</v>
      </c>
      <c r="B30" s="141"/>
      <c r="C30" s="141"/>
      <c r="D30" s="141"/>
      <c r="E30" s="2299" t="s">
        <v>2132</v>
      </c>
      <c r="F30" s="128"/>
      <c r="G30" s="128"/>
      <c r="H30" s="128"/>
      <c r="I30" s="128"/>
    </row>
    <row r="31" spans="1:36" s="2305" customFormat="1" ht="26.4"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5.6" thickTop="1" thickBot="1">
      <c r="A32" s="1769" t="s">
        <v>1305</v>
      </c>
      <c r="B32" s="1770"/>
      <c r="C32" s="143">
        <f ca="1">IF(D32="总价",G19-C24,G20-C25)</f>
        <v>53522</v>
      </c>
      <c r="D32" s="1771" t="s">
        <v>3442</v>
      </c>
      <c r="E32" s="128"/>
      <c r="F32" s="128"/>
      <c r="G32" s="128"/>
      <c r="H32" s="128"/>
      <c r="I32" s="128"/>
    </row>
    <row r="33" spans="1:15" ht="14.4">
      <c r="A33" s="782" t="s">
        <v>1306</v>
      </c>
      <c r="B33" s="1772"/>
      <c r="C33" s="1773"/>
      <c r="D33" s="1774"/>
      <c r="E33" s="1775" t="s">
        <v>1307</v>
      </c>
      <c r="F33" s="1776" t="str">
        <f>IF(D32="楼面单价","取值（单价）","取值（总价）")</f>
        <v>取值（总价）</v>
      </c>
      <c r="G33" s="128"/>
      <c r="H33" s="128"/>
      <c r="I33" s="128"/>
    </row>
    <row r="34" spans="1:15" ht="14.4">
      <c r="A34" s="1777"/>
      <c r="B34" s="1778" t="s">
        <v>1308</v>
      </c>
      <c r="C34" s="147" t="e">
        <f ca="1">IF(C33="自定义",F34,C32-C35)</f>
        <v>#REF!</v>
      </c>
      <c r="D34" s="857" t="e">
        <f ca="1">IF(C33="自定义",ROUND(C34/C32,3),IF(C33="收益比率",SUMIF(INDIRECT("'"&amp;D33&amp;"'"&amp;"!b:b"),"土地收益比率",INDIRECT("'"&amp;D33&amp;"'"&amp;"!c:c")),SUMIF(INDIRECT("'"&amp;D33&amp;"'"&amp;"!b:b"),"土地成本比率",INDIRECT("'"&amp;D33&amp;"'"&amp;"!c:c"))))</f>
        <v>#REF!</v>
      </c>
      <c r="E34" s="1779" t="s">
        <v>1309</v>
      </c>
      <c r="F34" s="1326"/>
      <c r="G34" s="128"/>
      <c r="H34" s="128"/>
      <c r="I34" s="128"/>
    </row>
    <row r="35" spans="1:15" ht="15" thickBot="1">
      <c r="A35" s="1780"/>
      <c r="B35" s="1781"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1311</v>
      </c>
      <c r="F35" s="153"/>
      <c r="G35" s="128"/>
      <c r="H35" s="128"/>
      <c r="I35" s="128"/>
    </row>
    <row r="36" spans="1:15" ht="15" thickBot="1">
      <c r="A36" s="3626" t="s">
        <v>1312</v>
      </c>
      <c r="B36" s="1783" t="s">
        <v>1313</v>
      </c>
      <c r="C36" s="144"/>
      <c r="D36" s="1784"/>
      <c r="E36" s="1785"/>
      <c r="F36" s="1786"/>
      <c r="G36" s="128"/>
      <c r="H36" s="128"/>
      <c r="I36" s="128"/>
    </row>
    <row r="37" spans="1:15" ht="15" thickBot="1">
      <c r="A37" s="3627"/>
      <c r="B37" s="1670" t="s">
        <v>1314</v>
      </c>
      <c r="C37" s="146"/>
      <c r="D37" s="1135"/>
      <c r="E37" s="1135"/>
      <c r="F37" s="1786"/>
      <c r="G37" s="128"/>
      <c r="H37" s="128"/>
      <c r="I37" s="128"/>
    </row>
    <row r="38" spans="1:15" ht="15" thickBot="1">
      <c r="A38" s="3628"/>
      <c r="B38" s="1787" t="s">
        <v>1315</v>
      </c>
      <c r="C38" s="672"/>
      <c r="D38" s="1788" t="s">
        <v>1316</v>
      </c>
      <c r="E38" s="1135"/>
      <c r="F38" s="1786"/>
      <c r="G38" s="128"/>
      <c r="H38" s="128"/>
      <c r="I38" s="128"/>
    </row>
    <row r="39" spans="1:15" ht="14.4">
      <c r="A39" s="1760" t="s">
        <v>1317</v>
      </c>
      <c r="B39" s="1789" t="s">
        <v>1318</v>
      </c>
      <c r="C39" s="1790" t="s">
        <v>1319</v>
      </c>
      <c r="D39" s="1790" t="s">
        <v>1320</v>
      </c>
      <c r="E39" s="1791" t="s">
        <v>1321</v>
      </c>
      <c r="F39" s="1786"/>
      <c r="G39" s="128"/>
      <c r="H39" s="128"/>
      <c r="I39" s="128"/>
    </row>
    <row r="40" spans="1:15" ht="13.8">
      <c r="A40" s="1792" t="s">
        <v>1322</v>
      </c>
      <c r="B40" s="148"/>
      <c r="C40" s="149"/>
      <c r="D40" s="149"/>
      <c r="E40" s="150"/>
      <c r="F40" s="1786"/>
      <c r="G40" s="128"/>
      <c r="H40" s="128"/>
      <c r="I40" s="128"/>
    </row>
    <row r="41" spans="1:15" ht="13.8">
      <c r="A41" s="1792" t="s">
        <v>1323</v>
      </c>
      <c r="B41" s="148"/>
      <c r="C41" s="149"/>
      <c r="D41" s="149"/>
      <c r="E41" s="150"/>
      <c r="F41" s="1786"/>
      <c r="G41" s="128"/>
      <c r="H41" s="128"/>
      <c r="I41" s="128"/>
    </row>
    <row r="42" spans="1:15" ht="14.4" thickBot="1">
      <c r="A42" s="1793"/>
      <c r="B42" s="151"/>
      <c r="C42" s="152"/>
      <c r="D42" s="152"/>
      <c r="E42" s="153"/>
      <c r="F42" s="1786"/>
      <c r="G42" s="128"/>
      <c r="H42" s="128"/>
      <c r="I42" s="128"/>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46" t="s">
        <v>1326</v>
      </c>
      <c r="B45" s="3647"/>
      <c r="C45" s="3648"/>
      <c r="D45" s="154">
        <f ca="1">ROUND(H101*F45,0)</f>
        <v>53522</v>
      </c>
      <c r="E45" s="155" t="s">
        <v>1327</v>
      </c>
      <c r="F45" s="156">
        <v>1</v>
      </c>
      <c r="G45" s="157" t="s">
        <v>1328</v>
      </c>
      <c r="H45" s="128"/>
      <c r="I45" s="128"/>
      <c r="J45" s="3566" t="s">
        <v>1329</v>
      </c>
      <c r="K45" s="3566"/>
      <c r="L45" s="3566"/>
      <c r="M45" s="3566"/>
      <c r="N45" s="3566"/>
      <c r="O45" s="3566"/>
    </row>
    <row r="46" spans="1:15" ht="14.25" customHeight="1">
      <c r="A46" s="3643" t="s">
        <v>1330</v>
      </c>
      <c r="B46" s="3644"/>
      <c r="C46" s="3644"/>
      <c r="D46" s="3644"/>
      <c r="E46" s="3644"/>
      <c r="F46" s="3644"/>
      <c r="G46" s="3645"/>
      <c r="H46" s="1802"/>
      <c r="I46" s="158"/>
      <c r="J46" s="3463">
        <v>1</v>
      </c>
      <c r="K46" s="3567" t="s">
        <v>1331</v>
      </c>
      <c r="L46" s="3567"/>
      <c r="M46" s="3568"/>
      <c r="N46" s="3568"/>
      <c r="O46" s="3568"/>
    </row>
    <row r="47" spans="1:15" ht="12" customHeight="1">
      <c r="A47" s="159" t="s">
        <v>1332</v>
      </c>
      <c r="B47" s="160"/>
      <c r="C47" s="161"/>
      <c r="D47" s="1083" t="s">
        <v>1333</v>
      </c>
      <c r="E47" s="301" t="s">
        <v>1334</v>
      </c>
      <c r="F47" s="162" t="s">
        <v>1335</v>
      </c>
      <c r="G47" s="2542" t="s">
        <v>1336</v>
      </c>
      <c r="H47" s="2543"/>
      <c r="I47" s="158"/>
      <c r="J47" s="3463">
        <v>2</v>
      </c>
      <c r="K47" s="3567" t="s">
        <v>1337</v>
      </c>
      <c r="L47" s="3567"/>
      <c r="M47" s="3569">
        <f>'数据-取费表'!B2</f>
        <v>44995</v>
      </c>
      <c r="N47" s="3569"/>
      <c r="O47" s="3569"/>
    </row>
    <row r="48" spans="1:15" ht="26.4">
      <c r="A48" s="3629" t="s">
        <v>1338</v>
      </c>
      <c r="B48" s="3630"/>
      <c r="C48" s="3630"/>
      <c r="D48" s="3465" t="b">
        <f>IF(H48="情况1",0,IF(H48="情况2",D52,IF(H48="情况3",D53,IF(H48="情况4",D54))))</f>
        <v>0</v>
      </c>
      <c r="E48" s="3454" t="str">
        <f>IF(H48="情况4","(销售额-原购置价)×税（费）率","销售额×税（费）率")</f>
        <v>销售额×税（费）率</v>
      </c>
      <c r="F48" s="2544">
        <f>IF(H48="情况1","免征",'数据-取费表'!B41)</f>
        <v>5.6000000000000001E-2</v>
      </c>
      <c r="G48" s="2545" t="s">
        <v>1339</v>
      </c>
      <c r="H48" s="2546"/>
      <c r="I48" s="1802"/>
      <c r="J48" s="3463">
        <v>3</v>
      </c>
      <c r="K48" s="3567" t="s">
        <v>1340</v>
      </c>
      <c r="L48" s="3567"/>
      <c r="M48" s="3570">
        <f ca="1">H101</f>
        <v>53522</v>
      </c>
      <c r="N48" s="3570"/>
      <c r="O48" s="3570"/>
    </row>
    <row r="49" spans="1:35" ht="25.5" customHeight="1">
      <c r="A49" s="3458" t="s">
        <v>1341</v>
      </c>
      <c r="B49" s="3615" t="s">
        <v>1342</v>
      </c>
      <c r="C49" s="3615"/>
      <c r="D49" s="1586">
        <v>0</v>
      </c>
      <c r="E49" s="323" t="s">
        <v>1343</v>
      </c>
      <c r="F49" s="3448" t="s">
        <v>28</v>
      </c>
      <c r="G49" s="3598"/>
      <c r="H49" s="2306" t="s">
        <v>2134</v>
      </c>
      <c r="I49" s="2307"/>
      <c r="J49" s="3463">
        <v>4</v>
      </c>
      <c r="K49" s="3567" t="str">
        <f>IF(项目基本情况!E8="房地产抵押价值","房地产抵押价值","抵押担保权已注销时的房地产抵押价值")</f>
        <v>房地产抵押价值</v>
      </c>
      <c r="L49" s="3567"/>
      <c r="M49" s="3570">
        <f ca="1">IF(项目基本情况!E8="房地产抵押价值",H107,H109)</f>
        <v>53522</v>
      </c>
      <c r="N49" s="3570"/>
      <c r="O49" s="3570"/>
    </row>
    <row r="50" spans="1:35" ht="25.5" customHeight="1">
      <c r="A50" s="2547"/>
      <c r="B50" s="3615" t="s">
        <v>1344</v>
      </c>
      <c r="C50" s="3615"/>
      <c r="D50" s="2548"/>
      <c r="E50" s="331"/>
      <c r="F50" s="3448"/>
      <c r="G50" s="3599"/>
      <c r="H50" s="2308" t="s">
        <v>2135</v>
      </c>
      <c r="I50" s="2307"/>
      <c r="J50" s="3566" t="s">
        <v>1345</v>
      </c>
      <c r="K50" s="3566"/>
      <c r="L50" s="3566"/>
      <c r="M50" s="3566"/>
      <c r="N50" s="3566"/>
      <c r="O50" s="3566"/>
    </row>
    <row r="51" spans="1:35" ht="20.399999999999999" customHeight="1">
      <c r="A51" s="2549"/>
      <c r="B51" s="3615" t="s">
        <v>1346</v>
      </c>
      <c r="C51" s="3615"/>
      <c r="D51" s="1083"/>
      <c r="E51" s="326"/>
      <c r="F51" s="3448"/>
      <c r="G51" s="3600"/>
      <c r="H51" s="2308" t="s">
        <v>2136</v>
      </c>
      <c r="I51" s="2307"/>
      <c r="J51" s="3462" t="s">
        <v>1347</v>
      </c>
      <c r="K51" s="3567" t="s">
        <v>1348</v>
      </c>
      <c r="L51" s="3567"/>
      <c r="M51" s="3462" t="s">
        <v>1349</v>
      </c>
      <c r="N51" s="3462" t="s">
        <v>1350</v>
      </c>
      <c r="O51" s="3462" t="s">
        <v>1351</v>
      </c>
    </row>
    <row r="52" spans="1:35" ht="24" customHeight="1">
      <c r="A52" s="3453" t="s">
        <v>1352</v>
      </c>
      <c r="B52" s="3615" t="s">
        <v>1353</v>
      </c>
      <c r="C52" s="3615"/>
      <c r="D52" s="1083">
        <f ca="1">ROUND(D45*'数据-取费表'!B41/(1+'数据-取费表'!C42),0)</f>
        <v>2855</v>
      </c>
      <c r="E52" s="3454" t="s">
        <v>1354</v>
      </c>
      <c r="F52" s="2550">
        <f>'数据-取费表'!B41</f>
        <v>5.6000000000000001E-2</v>
      </c>
      <c r="G52" s="2551"/>
      <c r="H52" s="2540"/>
      <c r="I52" s="1803"/>
      <c r="J52" s="3463">
        <v>1</v>
      </c>
      <c r="K52" s="3592" t="s">
        <v>1355</v>
      </c>
      <c r="L52" s="3592"/>
      <c r="M52" s="2521" t="b">
        <f>D48</f>
        <v>0</v>
      </c>
      <c r="N52" s="3463" t="str">
        <f>E48</f>
        <v>销售额×税（费）率</v>
      </c>
      <c r="O52" s="2522">
        <f>F48</f>
        <v>5.6000000000000001E-2</v>
      </c>
    </row>
    <row r="53" spans="1:35" ht="12" customHeight="1">
      <c r="A53" s="3453" t="s">
        <v>1356</v>
      </c>
      <c r="B53" s="3616" t="s">
        <v>2291</v>
      </c>
      <c r="C53" s="3617"/>
      <c r="D53" s="1083">
        <f ca="1">ROUND(D45*'数据-取费表'!B41/(1+'数据-取费表'!C42),0)</f>
        <v>2855</v>
      </c>
      <c r="E53" s="3454" t="s">
        <v>1354</v>
      </c>
      <c r="F53" s="2550">
        <f>'数据-取费表'!B41</f>
        <v>5.6000000000000001E-2</v>
      </c>
      <c r="G53" s="2551"/>
      <c r="H53" s="2540"/>
      <c r="I53" s="1803"/>
      <c r="J53" s="3463">
        <v>2</v>
      </c>
      <c r="K53" s="3592" t="s">
        <v>1357</v>
      </c>
      <c r="L53" s="3592"/>
      <c r="M53" s="2521">
        <f t="shared" ref="M53:O54" ca="1" si="0">D55</f>
        <v>27</v>
      </c>
      <c r="N53" s="3463" t="str">
        <f t="shared" si="0"/>
        <v>销售额×税（费）率</v>
      </c>
      <c r="O53" s="2522" t="str">
        <f t="shared" si="0"/>
        <v>免征</v>
      </c>
    </row>
    <row r="54" spans="1:35" ht="12" customHeight="1">
      <c r="A54" s="3453" t="s">
        <v>1358</v>
      </c>
      <c r="B54" s="3616" t="s">
        <v>2292</v>
      </c>
      <c r="C54" s="3617"/>
      <c r="D54" s="1083">
        <f ca="1">C68</f>
        <v>2854</v>
      </c>
      <c r="E54" s="326" t="s">
        <v>1359</v>
      </c>
      <c r="F54" s="2550">
        <f>'数据-取费表'!B41</f>
        <v>5.6000000000000001E-2</v>
      </c>
      <c r="G54" s="2551"/>
      <c r="H54" s="2552"/>
      <c r="I54" s="1803"/>
      <c r="J54" s="3463">
        <v>3</v>
      </c>
      <c r="K54" s="3592" t="s">
        <v>1360</v>
      </c>
      <c r="L54" s="3592"/>
      <c r="M54" s="2521">
        <f t="shared" ca="1" si="0"/>
        <v>30293</v>
      </c>
      <c r="N54" s="3463" t="str">
        <f t="shared" si="0"/>
        <v>增值额×税（费）率</v>
      </c>
      <c r="O54" s="2523" t="str">
        <f t="shared" si="0"/>
        <v>免征</v>
      </c>
    </row>
    <row r="55" spans="1:35" ht="24" customHeight="1">
      <c r="A55" s="3652" t="s">
        <v>1361</v>
      </c>
      <c r="B55" s="3630"/>
      <c r="C55" s="3630"/>
      <c r="D55" s="3465">
        <f ca="1">IF(H55="个人住宅",0,ROUND(D45*I55,0))</f>
        <v>27</v>
      </c>
      <c r="E55" s="3454" t="s">
        <v>1362</v>
      </c>
      <c r="F55" s="2550" t="str">
        <f>IF(H55="正常",I55,"免征")</f>
        <v>免征</v>
      </c>
      <c r="G55" s="2551"/>
      <c r="H55" s="2546"/>
      <c r="I55" s="164">
        <f>'数据-取费表'!B49</f>
        <v>5.0000000000000001E-4</v>
      </c>
      <c r="J55" s="3463">
        <f>IF(H59="非个人房产","",4)</f>
        <v>4</v>
      </c>
      <c r="K55" s="3592" t="str">
        <f>IF(H59="非个人房产","——","个人所得税")</f>
        <v>个人所得税</v>
      </c>
      <c r="L55" s="3592"/>
      <c r="M55" s="2524">
        <f ca="1">D59</f>
        <v>510</v>
      </c>
      <c r="N55" s="3464" t="str">
        <f>E59</f>
        <v>差额计税</v>
      </c>
      <c r="O55" s="2525">
        <f>F59</f>
        <v>0.01</v>
      </c>
    </row>
    <row r="56" spans="1:35" ht="25.2">
      <c r="A56" s="3652" t="s">
        <v>1363</v>
      </c>
      <c r="B56" s="3630"/>
      <c r="C56" s="3630"/>
      <c r="D56" s="3465">
        <f ca="1">IF(H56="个人住宅",D57,D58)</f>
        <v>30293</v>
      </c>
      <c r="E56" s="3454" t="s">
        <v>1364</v>
      </c>
      <c r="F56" s="2550" t="str">
        <f>IF(H56="正常",F58,"免征")</f>
        <v>免征</v>
      </c>
      <c r="G56" s="2553" t="s">
        <v>1365</v>
      </c>
      <c r="H56" s="2554"/>
      <c r="I56" s="1804"/>
      <c r="J56" s="3463" t="str">
        <f>IF(项目基本情况!K6="上海银行",IF(J55="",4,J55+1),"")</f>
        <v/>
      </c>
      <c r="K56" s="3573" t="str">
        <f>IF(项目基本情况!K6="上海银行","其他处置费用","")</f>
        <v/>
      </c>
      <c r="L56" s="3574"/>
      <c r="M56" s="2521" t="str">
        <f>IF(项目基本情况!K6="上海银行",M69,"")</f>
        <v/>
      </c>
      <c r="N56" s="3573" t="str">
        <f>IF(项目基本情况!K6="上海银行","包含处置中涉及的律师、诉讼、拍卖、评估等费用","")</f>
        <v/>
      </c>
      <c r="O56" s="3576"/>
    </row>
    <row r="57" spans="1:35" ht="13.2">
      <c r="A57" s="3453" t="s">
        <v>1341</v>
      </c>
      <c r="B57" s="3616" t="s">
        <v>1366</v>
      </c>
      <c r="C57" s="3617"/>
      <c r="D57" s="1586">
        <v>0</v>
      </c>
      <c r="E57" s="323" t="s">
        <v>1343</v>
      </c>
      <c r="F57" s="301"/>
      <c r="G57" s="2551"/>
      <c r="H57" s="2555"/>
      <c r="I57" s="1804"/>
      <c r="J57" s="3592">
        <f>IF(AND(J55="",J56=""),4,IF(项目基本情况!K6="上海银行",'结果表-地下商业1'!J56+1,'结果表-地下商业1'!J55+1))</f>
        <v>5</v>
      </c>
      <c r="K57" s="3592" t="s">
        <v>1367</v>
      </c>
      <c r="L57" s="2526" t="s">
        <v>1368</v>
      </c>
      <c r="M57" s="2527"/>
      <c r="N57" s="2528">
        <f ca="1">SUMIF(M52:M56,"&lt;9e307")</f>
        <v>30830</v>
      </c>
      <c r="O57" s="2529"/>
      <c r="P57" s="2686">
        <f ca="1">N57/M49</f>
        <v>0.57602481222674784</v>
      </c>
    </row>
    <row r="58" spans="1:35" ht="25.2">
      <c r="A58" s="3453" t="s">
        <v>1352</v>
      </c>
      <c r="B58" s="3616" t="s">
        <v>1369</v>
      </c>
      <c r="C58" s="3615"/>
      <c r="D58" s="3465">
        <f ca="1">IF(H58="转让取得",C81,C97)</f>
        <v>30293</v>
      </c>
      <c r="E58" s="3454" t="s">
        <v>1364</v>
      </c>
      <c r="F58" s="301" t="s">
        <v>28</v>
      </c>
      <c r="G58" s="2551"/>
      <c r="H58" s="2554"/>
      <c r="I58" s="1804"/>
      <c r="J58" s="3592"/>
      <c r="K58" s="3592"/>
      <c r="L58" s="2526" t="s">
        <v>1370</v>
      </c>
      <c r="M58" s="2530"/>
      <c r="N58" s="2531" t="str">
        <f ca="1">NUMBERSTRING(INT(N57*10000),2)&amp;"元整"</f>
        <v>叁亿零捌佰叁拾万元整</v>
      </c>
      <c r="O58" s="2532"/>
    </row>
    <row r="59" spans="1:35" ht="24.6" thickBot="1">
      <c r="A59" s="3596" t="s">
        <v>1371</v>
      </c>
      <c r="B59" s="3597"/>
      <c r="C59" s="3597"/>
      <c r="D59" s="2556">
        <f ca="1">IF(H59="非个人房产","——",IF(H59="个人住宅（满五唯一有凭证）",0,IF(H59="个人其他（无凭证）",ROUND(D45*F59,0),ROUND(C67*F59,0))))</f>
        <v>510</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594">
        <f>J57+1</f>
        <v>6</v>
      </c>
      <c r="K59" s="3592" t="s">
        <v>1372</v>
      </c>
      <c r="L59" s="3463" t="s">
        <v>1368</v>
      </c>
      <c r="M59" s="2533"/>
      <c r="N59" s="2534">
        <f ca="1">M49-N57</f>
        <v>22692</v>
      </c>
      <c r="O59" s="2535"/>
    </row>
    <row r="60" spans="1:35" ht="12" customHeight="1">
      <c r="A60" s="1805"/>
      <c r="B60" s="1743"/>
      <c r="C60" s="1743"/>
      <c r="D60" s="1743"/>
      <c r="E60" s="1574"/>
      <c r="F60" s="1804"/>
      <c r="G60" s="1804"/>
      <c r="H60" s="1806"/>
      <c r="I60" s="128"/>
      <c r="J60" s="3595"/>
      <c r="K60" s="3592"/>
      <c r="L60" s="2526" t="s">
        <v>1370</v>
      </c>
      <c r="M60" s="2530"/>
      <c r="N60" s="2531" t="str">
        <f ca="1">NUMBERSTRING(INT(N59*10000),2)&amp;"元整"</f>
        <v>贰亿贰仟陆佰玖拾贰万元整</v>
      </c>
      <c r="O60" s="2532"/>
    </row>
    <row r="61" spans="1:35" ht="13.8" thickBot="1">
      <c r="A61" s="3651" t="s">
        <v>1373</v>
      </c>
      <c r="B61" s="3651"/>
      <c r="C61" s="3651"/>
      <c r="D61" s="3651"/>
      <c r="E61" s="3651"/>
      <c r="F61" s="1804"/>
      <c r="G61" s="1804"/>
      <c r="H61" s="1806"/>
      <c r="I61" s="128"/>
      <c r="J61" s="3463">
        <f>J59+1</f>
        <v>7</v>
      </c>
      <c r="K61" s="3592" t="s">
        <v>1374</v>
      </c>
      <c r="L61" s="3592"/>
      <c r="M61" s="2536"/>
      <c r="N61" s="2537">
        <f ca="1">ROUND(N59*10000/'数据-汇总表'!E3,0)</f>
        <v>2287</v>
      </c>
      <c r="O61" s="2538"/>
    </row>
    <row r="62" spans="1:35" ht="13.2">
      <c r="A62" s="3611" t="s">
        <v>1375</v>
      </c>
      <c r="B62" s="3612"/>
      <c r="C62" s="3457"/>
      <c r="D62" s="3457" t="s">
        <v>1376</v>
      </c>
      <c r="E62" s="165" t="s">
        <v>1377</v>
      </c>
      <c r="F62" s="1804"/>
      <c r="G62" s="1804"/>
      <c r="H62" s="1806"/>
      <c r="I62" s="128"/>
    </row>
    <row r="63" spans="1:35" ht="13.2">
      <c r="A63" s="172" t="s">
        <v>330</v>
      </c>
      <c r="B63" s="166" t="s">
        <v>1378</v>
      </c>
      <c r="C63" s="2560">
        <f ca="1">ROUND((C64+C65)/(1+'数据-取费表'!C42),0)</f>
        <v>50973</v>
      </c>
      <c r="D63" s="166"/>
      <c r="E63" s="167"/>
      <c r="F63" s="1804"/>
      <c r="G63" s="1804"/>
      <c r="H63" s="1806"/>
      <c r="I63" s="128"/>
      <c r="J63" s="3575" t="s">
        <v>1379</v>
      </c>
      <c r="K63" s="3466" t="s">
        <v>1380</v>
      </c>
      <c r="L63" s="3466">
        <f ca="1">IF(M49&gt;10000,M49*0.5%,IF(AND(M49&gt;1000,M49&lt;=10000),M49*1%,IF(AND(M49&gt;100,M49&lt;=1000),M49*3%,IF(AND(M49&gt;10,M49&lt;=100),M49*5%,M49*8%))))</f>
        <v>267.61</v>
      </c>
      <c r="M63" s="301">
        <f ca="1">ROUND(L63,1)</f>
        <v>267.60000000000002</v>
      </c>
      <c r="N63" s="2539"/>
      <c r="Z63" s="1748"/>
      <c r="AI63" s="1749"/>
    </row>
    <row r="64" spans="1:35" ht="14.25" customHeight="1">
      <c r="A64" s="168" t="s">
        <v>325</v>
      </c>
      <c r="B64" s="169" t="s">
        <v>1381</v>
      </c>
      <c r="C64" s="2561">
        <f ca="1">D45</f>
        <v>53522</v>
      </c>
      <c r="D64" s="169" t="s">
        <v>26</v>
      </c>
      <c r="E64" s="171"/>
      <c r="F64" s="1804"/>
      <c r="G64" s="1804"/>
      <c r="H64" s="1806"/>
      <c r="I64" s="128"/>
      <c r="J64" s="3575"/>
      <c r="K64" s="3466" t="s">
        <v>1382</v>
      </c>
      <c r="L64" s="3466">
        <f ca="1">IF(M49&gt;2000,M49*0.5%,IF(AND(M49&gt;1000,M49&lt;=2000),M49*0.6%,IF(AND(M49&gt;500,M49&lt;=1000),M49*0.7%,IF(AND(M49&gt;200,M49&lt;=500),M49*0.8%,IF(AND(M49&gt;100,M49&lt;=200),M49*0.9%,IF(AND(M49&gt;50,M49&lt;=100),M49*1%,IF(AND(M49&gt;20,M49&lt;=50),M49*1.5%,IF(AND(M49&gt;10,M49&lt;=20),M49*2%,IF(AND(M49&gt;1,M49&lt;=10),M49*2.5%)))))))))</f>
        <v>267.61</v>
      </c>
      <c r="M64" s="301">
        <f t="shared" ref="M64:M65" ca="1" si="1">ROUND(L64,1)</f>
        <v>267.60000000000002</v>
      </c>
      <c r="N64" s="2540" t="s">
        <v>1383</v>
      </c>
      <c r="Z64" s="1748"/>
      <c r="AI64" s="1749"/>
    </row>
    <row r="65" spans="1:35" ht="14.25" customHeight="1">
      <c r="A65" s="168" t="s">
        <v>326</v>
      </c>
      <c r="B65" s="169" t="s">
        <v>1384</v>
      </c>
      <c r="C65" s="2562"/>
      <c r="D65" s="169"/>
      <c r="E65" s="171"/>
      <c r="F65" s="1804"/>
      <c r="G65" s="1804"/>
      <c r="H65" s="1806"/>
      <c r="I65" s="128"/>
      <c r="J65" s="3575"/>
      <c r="K65" s="3466" t="s">
        <v>1385</v>
      </c>
      <c r="L65" s="3466">
        <f ca="1">IF(M49&gt;1000,M49*0.1%,IF(AND(M49&gt;500,M49&lt;=1000),M49*0.5%,IF(AND(M49&gt;50,M49&lt;=500),M49*1%,IF(AND(M49&gt;1,M49&lt;=50),M49*1.5%))))</f>
        <v>53.521999999999998</v>
      </c>
      <c r="M65" s="301">
        <f t="shared" ca="1" si="1"/>
        <v>53.5</v>
      </c>
      <c r="N65" s="2540" t="s">
        <v>1383</v>
      </c>
      <c r="Z65" s="1748"/>
      <c r="AI65" s="1749"/>
    </row>
    <row r="66" spans="1:35" ht="14.25" customHeight="1">
      <c r="A66" s="172" t="s">
        <v>327</v>
      </c>
      <c r="B66" s="173" t="s">
        <v>1386</v>
      </c>
      <c r="C66" s="2563"/>
      <c r="D66" s="173" t="s">
        <v>26</v>
      </c>
      <c r="E66" s="1334" t="s">
        <v>671</v>
      </c>
      <c r="F66" s="1804"/>
      <c r="G66" s="1804"/>
      <c r="H66" s="1806"/>
      <c r="I66" s="128"/>
      <c r="J66" s="3575"/>
      <c r="K66" s="3466" t="s">
        <v>1387</v>
      </c>
      <c r="L66" s="3466">
        <f ca="1">M49*0.5%</f>
        <v>267.61</v>
      </c>
      <c r="M66" s="301">
        <f ca="1">IF(L66&gt;0.5,0.5,ROUND(L66,0))</f>
        <v>0.5</v>
      </c>
      <c r="N66" s="2540" t="s">
        <v>1388</v>
      </c>
      <c r="Z66" s="1748"/>
      <c r="AI66" s="1749"/>
    </row>
    <row r="67" spans="1:35" ht="14.25" customHeight="1">
      <c r="A67" s="172" t="s">
        <v>328</v>
      </c>
      <c r="B67" s="173" t="s">
        <v>1389</v>
      </c>
      <c r="C67" s="2564">
        <f ca="1">C63-C66</f>
        <v>50973</v>
      </c>
      <c r="D67" s="169" t="s">
        <v>26</v>
      </c>
      <c r="E67" s="171"/>
      <c r="F67" s="1804"/>
      <c r="G67" s="1804"/>
      <c r="H67" s="1806"/>
      <c r="I67" s="128"/>
      <c r="J67" s="3575"/>
      <c r="K67" s="3466" t="s">
        <v>1390</v>
      </c>
      <c r="L67" s="3466">
        <f ca="1">IF(M49&gt;=10000,(8.25+(M49-10000)*0.01%),IF(AND(M49&gt;=8000,M49&lt;10000),(7.85+(M49-8000)*0.02%),IF(AND(M49&gt;=5000,M49&lt;8000),(6.65+(M49-5000)*0.04%),IF(AND(M49&gt;=2000,M49&lt;5000),(4.25+(PM49-2000)*0.08%),IF(AND(M49&gt;=1000,M49&lt;2000),(2.75+(M49-1000)*0.15%),IF(AND(M49&gt;=100,M49&lt;1000),(0.5+(M49-100)*0.25%),IF(AND(M49&gt;0,M49&lt;100),M49*0.5%)))))))</f>
        <v>12.6022</v>
      </c>
      <c r="M67" s="301">
        <f ca="1">ROUND(L67*0.9,1)</f>
        <v>11.3</v>
      </c>
      <c r="N67" s="2539"/>
      <c r="Z67" s="1748"/>
      <c r="AI67" s="1749"/>
    </row>
    <row r="68" spans="1:35" ht="14.25" customHeight="1" thickBot="1">
      <c r="A68" s="175" t="s">
        <v>329</v>
      </c>
      <c r="B68" s="176" t="s">
        <v>1391</v>
      </c>
      <c r="C68" s="2565">
        <f ca="1">IF(C67&lt;=0,0,ROUND(C67*D68,0))</f>
        <v>2854</v>
      </c>
      <c r="D68" s="2566">
        <f>'数据-取费表'!B41</f>
        <v>5.6000000000000001E-2</v>
      </c>
      <c r="E68" s="177"/>
      <c r="F68" s="1804"/>
      <c r="G68" s="1804"/>
      <c r="H68" s="1806"/>
      <c r="I68" s="128"/>
      <c r="J68" s="3575"/>
      <c r="K68" s="3466" t="s">
        <v>1392</v>
      </c>
      <c r="L68" s="3466">
        <f ca="1">IF(M49&gt;10000,M49*0.5%,IF(AND(M49&gt;5000,M49&lt;=10000),M49*1%,IF(AND(M49&gt;1000,M49&lt;=5000),M49*2%,IF(AND(M49&gt;200,M49&lt;=1000),M49*3%,M49*5%))))</f>
        <v>267.61</v>
      </c>
      <c r="M68" s="301">
        <f ca="1">ROUND(L68,1)</f>
        <v>267.60000000000002</v>
      </c>
      <c r="N68" s="2539"/>
      <c r="Z68" s="1748"/>
      <c r="AI68" s="1749"/>
    </row>
    <row r="69" spans="1:35" s="1768" customFormat="1" ht="16.5" customHeight="1">
      <c r="A69" s="1807"/>
      <c r="B69" s="1808"/>
      <c r="C69" s="1809"/>
      <c r="D69" s="1810"/>
      <c r="E69" s="1811"/>
      <c r="F69" s="1574"/>
      <c r="G69" s="1574"/>
      <c r="H69" s="1573"/>
      <c r="I69" s="1743"/>
      <c r="J69" s="3575"/>
      <c r="K69" s="3466" t="s">
        <v>1393</v>
      </c>
      <c r="L69" s="3466"/>
      <c r="M69" s="301">
        <f ca="1">ROUND(SUM(M63:M68),0)</f>
        <v>868</v>
      </c>
      <c r="N69" s="2541">
        <f ca="1">M69/M49</f>
        <v>1.6217630133403087E-2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9" t="s">
        <v>1394</v>
      </c>
      <c r="B70" s="3620"/>
      <c r="C70" s="3620"/>
      <c r="D70" s="3620"/>
      <c r="E70" s="3620"/>
      <c r="F70" s="3620"/>
      <c r="G70" s="3620"/>
      <c r="H70" s="3620"/>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611" t="s">
        <v>1375</v>
      </c>
      <c r="B71" s="3612"/>
      <c r="C71" s="3457"/>
      <c r="D71" s="3457" t="s">
        <v>1376</v>
      </c>
      <c r="E71" s="178" t="s">
        <v>1377</v>
      </c>
      <c r="F71" s="179"/>
      <c r="G71" s="179"/>
      <c r="H71" s="180"/>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2" t="s">
        <v>330</v>
      </c>
      <c r="B72" s="173" t="s">
        <v>1395</v>
      </c>
      <c r="C72" s="2564">
        <f ca="1">ROUND(D45/(1+'数据-取费表'!C42),0)</f>
        <v>50973</v>
      </c>
      <c r="D72" s="169" t="s">
        <v>26</v>
      </c>
      <c r="E72" s="3456"/>
      <c r="F72" s="3449"/>
      <c r="G72" s="3449"/>
      <c r="H72" s="181"/>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2" t="s">
        <v>327</v>
      </c>
      <c r="B73" s="162" t="s">
        <v>1396</v>
      </c>
      <c r="C73" s="2564">
        <f ca="1">C74+C78</f>
        <v>306</v>
      </c>
      <c r="D73" s="169" t="s">
        <v>26</v>
      </c>
      <c r="E73" s="3456"/>
      <c r="F73" s="3449"/>
      <c r="G73" s="3449"/>
      <c r="H73" s="181"/>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8" t="s">
        <v>325</v>
      </c>
      <c r="B74" s="169" t="s">
        <v>1397</v>
      </c>
      <c r="C74" s="169">
        <f>ROUND(IF(G77="2016年5月1日后购买",C75/(1+'数据-取费表'!C42)+C76+C77,C75+C76+C77),0)</f>
        <v>0</v>
      </c>
      <c r="D74" s="169" t="s">
        <v>26</v>
      </c>
      <c r="E74" s="3456"/>
      <c r="F74" s="3449"/>
      <c r="G74" s="3449"/>
      <c r="H74" s="181"/>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8" t="s">
        <v>331</v>
      </c>
      <c r="B75" s="169" t="s">
        <v>1398</v>
      </c>
      <c r="C75" s="2567"/>
      <c r="D75" s="169" t="s">
        <v>26</v>
      </c>
      <c r="E75" s="183" t="s">
        <v>1399</v>
      </c>
      <c r="F75" s="2568"/>
      <c r="G75" s="183"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8" t="s">
        <v>332</v>
      </c>
      <c r="B76" s="184" t="s">
        <v>1401</v>
      </c>
      <c r="C76" s="169">
        <f>IF(F75="购房发票",ROUND(C75*H75*D76,0),0)</f>
        <v>0</v>
      </c>
      <c r="D76" s="2570">
        <v>0.05</v>
      </c>
      <c r="E76" s="3616" t="s">
        <v>1402</v>
      </c>
      <c r="F76" s="3615"/>
      <c r="G76" s="3615"/>
      <c r="H76" s="3618"/>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8" t="s">
        <v>333</v>
      </c>
      <c r="B77" s="169" t="s">
        <v>1403</v>
      </c>
      <c r="C77" s="169">
        <f>ROUND(IF(G77="个人住宅",0,IF(G77="2016年5月1日前购买",C75*D77,C75*D77/(1+'数据-取费表'!C42))),0)</f>
        <v>0</v>
      </c>
      <c r="D77" s="2571">
        <f>'数据-取费表'!B48+'数据-取费表'!B49</f>
        <v>3.0499999999999999E-2</v>
      </c>
      <c r="E77" s="3465" t="s">
        <v>1404</v>
      </c>
      <c r="F77" s="185"/>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8" t="s">
        <v>326</v>
      </c>
      <c r="B78" s="169" t="s">
        <v>1405</v>
      </c>
      <c r="C78" s="2572">
        <f ca="1">ROUND(D45*D78/(1+'数据-取费表'!C42),0)</f>
        <v>306</v>
      </c>
      <c r="D78" s="2573">
        <f>'数据-取费表'!B43</f>
        <v>6.000000000000001E-3</v>
      </c>
      <c r="E78" s="3608" t="s">
        <v>1406</v>
      </c>
      <c r="F78" s="3609"/>
      <c r="G78" s="3609"/>
      <c r="H78" s="3610"/>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2" t="s">
        <v>328</v>
      </c>
      <c r="B79" s="173" t="s">
        <v>1407</v>
      </c>
      <c r="C79" s="2564">
        <f ca="1">C72-C73</f>
        <v>50667</v>
      </c>
      <c r="D79" s="169" t="s">
        <v>26</v>
      </c>
      <c r="E79" s="3456"/>
      <c r="F79" s="3449"/>
      <c r="G79" s="3449"/>
      <c r="H79" s="181"/>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2" t="s">
        <v>335</v>
      </c>
      <c r="B80" s="173" t="s">
        <v>1408</v>
      </c>
      <c r="C80" s="2574">
        <f ca="1">IF(C79&lt;=0,0,C79/C73)</f>
        <v>165.57843137254903</v>
      </c>
      <c r="D80" s="169"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1"/>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5" t="s">
        <v>336</v>
      </c>
      <c r="B81" s="176" t="s">
        <v>1409</v>
      </c>
      <c r="C81" s="2575">
        <f ca="1">ROUND(IF(C79&lt;=0,0,IF(C80&gt;=200%,C79*60%-C73*35%,IF(C80&gt;=100%,C79*50%-C73*15%,IF(C80&gt;=50%,C79*40%-C73*5%,IF(C80&lt;50%,C79*30%,0))))),0)</f>
        <v>30293</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9" t="s">
        <v>1410</v>
      </c>
      <c r="B83" s="3620"/>
      <c r="C83" s="3620"/>
      <c r="D83" s="3620"/>
      <c r="E83" s="3620"/>
      <c r="F83" s="3620"/>
      <c r="G83" s="3620"/>
      <c r="H83" s="3620"/>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611" t="s">
        <v>1375</v>
      </c>
      <c r="B84" s="3612"/>
      <c r="C84" s="3457"/>
      <c r="D84" s="3457" t="s">
        <v>1376</v>
      </c>
      <c r="E84" s="178" t="s">
        <v>1377</v>
      </c>
      <c r="F84" s="179"/>
      <c r="G84" s="179"/>
      <c r="H84" s="190"/>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2" t="s">
        <v>330</v>
      </c>
      <c r="B85" s="173" t="s">
        <v>1395</v>
      </c>
      <c r="C85" s="2564">
        <f ca="1">ROUND(D45/(1+'数据-取费表'!C42),0)</f>
        <v>50973</v>
      </c>
      <c r="D85" s="169" t="s">
        <v>26</v>
      </c>
      <c r="E85" s="3456"/>
      <c r="F85" s="3449"/>
      <c r="G85" s="3449"/>
      <c r="H85" s="191"/>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2" t="s">
        <v>327</v>
      </c>
      <c r="B86" s="162" t="s">
        <v>1396</v>
      </c>
      <c r="C86" s="2564">
        <f ca="1">IF(H88="仅含出让金",C87+C90+C91+C92+C93+C94,C87+C91+C92+C93+C94)</f>
        <v>306</v>
      </c>
      <c r="D86" s="2577"/>
      <c r="E86" s="3456"/>
      <c r="F86" s="3449"/>
      <c r="G86" s="3449"/>
      <c r="H86" s="191"/>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8" t="s">
        <v>325</v>
      </c>
      <c r="B87" s="169" t="s">
        <v>1411</v>
      </c>
      <c r="C87" s="2572">
        <f>C88+C89</f>
        <v>0</v>
      </c>
      <c r="D87" s="2573"/>
      <c r="E87" s="3450"/>
      <c r="F87" s="3451"/>
      <c r="G87" s="3451"/>
      <c r="H87" s="3455"/>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8" t="s">
        <v>331</v>
      </c>
      <c r="B88" s="169" t="s">
        <v>1412</v>
      </c>
      <c r="C88" s="2578"/>
      <c r="D88" s="2573"/>
      <c r="E88" s="192" t="s">
        <v>1413</v>
      </c>
      <c r="F88" s="3451"/>
      <c r="G88" s="193" t="s">
        <v>1414</v>
      </c>
      <c r="H88" s="1820"/>
      <c r="I88" s="1817"/>
      <c r="J88" s="2517"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8" t="s">
        <v>332</v>
      </c>
      <c r="B89" s="169" t="s">
        <v>1403</v>
      </c>
      <c r="C89" s="2572">
        <f>ROUND(C88*D89,0)</f>
        <v>0</v>
      </c>
      <c r="D89" s="2573">
        <f>'数据-取费表'!B48+'数据-取费表'!B49</f>
        <v>3.0499999999999999E-2</v>
      </c>
      <c r="E89" s="192" t="s">
        <v>1415</v>
      </c>
      <c r="F89" s="3451"/>
      <c r="G89" s="3451"/>
      <c r="H89" s="3455"/>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8" t="s">
        <v>326</v>
      </c>
      <c r="B90" s="169" t="s">
        <v>1416</v>
      </c>
      <c r="C90" s="2578"/>
      <c r="D90" s="2573"/>
      <c r="E90" s="192" t="str">
        <f>IF(H88="-","土地取得成本中已包含该笔费用"," ")</f>
        <v xml:space="preserve"> </v>
      </c>
      <c r="F90" s="3451"/>
      <c r="G90" s="3577" t="s">
        <v>2129</v>
      </c>
      <c r="H90" s="3578"/>
      <c r="I90" s="1817"/>
      <c r="J90" s="2517"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8" t="s">
        <v>1417</v>
      </c>
      <c r="B91" s="169" t="s">
        <v>1418</v>
      </c>
      <c r="C91" s="2572">
        <f>IF(H91="——",成本法!C33,I91)</f>
        <v>0</v>
      </c>
      <c r="D91" s="2573"/>
      <c r="E91" s="3608" t="s">
        <v>1419</v>
      </c>
      <c r="F91" s="3609"/>
      <c r="G91" s="360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8" t="s">
        <v>1420</v>
      </c>
      <c r="B92" s="169" t="s">
        <v>1421</v>
      </c>
      <c r="C92" s="2572">
        <f>ROUND((C87+C90+C91)*D92,0)</f>
        <v>0</v>
      </c>
      <c r="D92" s="2579"/>
      <c r="E92" s="3608" t="s">
        <v>1422</v>
      </c>
      <c r="F92" s="3609"/>
      <c r="G92" s="3609"/>
      <c r="H92" s="3610"/>
      <c r="I92" s="1817"/>
      <c r="J92" s="2518"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8" t="s">
        <v>1423</v>
      </c>
      <c r="B93" s="169" t="s">
        <v>1405</v>
      </c>
      <c r="C93" s="2572">
        <f ca="1">ROUND(D45*D93/(1+'数据-取费表'!C42),0)</f>
        <v>306</v>
      </c>
      <c r="D93" s="2573">
        <f>'数据-取费表'!B43</f>
        <v>6.000000000000001E-3</v>
      </c>
      <c r="E93" s="3608" t="s">
        <v>1406</v>
      </c>
      <c r="F93" s="3609"/>
      <c r="G93" s="3609"/>
      <c r="H93" s="3610"/>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8" t="s">
        <v>1424</v>
      </c>
      <c r="B94" s="169" t="s">
        <v>1425</v>
      </c>
      <c r="C94" s="2578">
        <f>ROUND((C87+C90+C91)*D94,0)</f>
        <v>0</v>
      </c>
      <c r="D94" s="2573">
        <v>0.2</v>
      </c>
      <c r="E94" s="3653" t="s">
        <v>1426</v>
      </c>
      <c r="F94" s="3654"/>
      <c r="G94" s="3654"/>
      <c r="H94" s="3655"/>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2" t="s">
        <v>328</v>
      </c>
      <c r="B95" s="173" t="s">
        <v>1407</v>
      </c>
      <c r="C95" s="2564">
        <f ca="1">ROUND(C85-C86,0)</f>
        <v>50667</v>
      </c>
      <c r="D95" s="169" t="s">
        <v>26</v>
      </c>
      <c r="E95" s="3456"/>
      <c r="F95" s="3449"/>
      <c r="G95" s="3449"/>
      <c r="H95" s="191"/>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2" t="s">
        <v>335</v>
      </c>
      <c r="B96" s="173" t="s">
        <v>1408</v>
      </c>
      <c r="C96" s="2574">
        <f ca="1">IF(C95&lt;=0,0,C95/C86)</f>
        <v>165.57843137254903</v>
      </c>
      <c r="D96" s="169"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1"/>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5" t="s">
        <v>336</v>
      </c>
      <c r="B97" s="176" t="s">
        <v>1409</v>
      </c>
      <c r="C97" s="2575">
        <f ca="1">ROUND(IF(C95&lt;=0,0,IF(C96&gt;=200%,C95*60%-C86*35%,IF(C96&gt;=100%,C95*50%-C86*15%,IF(C96&gt;=50%,C95*40%-C86*5%,IF(C96&lt;50%,C95*30%,0))))),0)</f>
        <v>30293</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8"/>
    </row>
    <row r="99" spans="1:35" ht="21.75" customHeight="1" thickBot="1">
      <c r="A99" s="1796" t="s">
        <v>1427</v>
      </c>
      <c r="B99" s="1743"/>
      <c r="C99" s="1743"/>
      <c r="D99" s="1743"/>
      <c r="E99" s="1574"/>
      <c r="F99" s="1574"/>
      <c r="G99" s="1574"/>
      <c r="H99" s="1573"/>
      <c r="I99" s="128"/>
    </row>
    <row r="100" spans="1:35" ht="18.75" customHeight="1">
      <c r="A100" s="3558" t="s">
        <v>1428</v>
      </c>
      <c r="B100" s="3559"/>
      <c r="C100" s="3559"/>
      <c r="D100" s="3593"/>
      <c r="E100" s="3559" t="s">
        <v>1429</v>
      </c>
      <c r="F100" s="3559"/>
      <c r="G100" s="3559"/>
      <c r="H100" s="3593"/>
      <c r="I100" s="128"/>
    </row>
    <row r="101" spans="1:35" ht="18.75" customHeight="1">
      <c r="A101" s="3601" t="s">
        <v>1430</v>
      </c>
      <c r="B101" s="3602"/>
      <c r="C101" s="2581" t="str">
        <f>C4</f>
        <v>成本法-地下商业1</v>
      </c>
      <c r="D101" s="2582" t="str">
        <f>D4</f>
        <v>收益法-地下商业1</v>
      </c>
      <c r="E101" s="3571" t="s">
        <v>1431</v>
      </c>
      <c r="F101" s="3572"/>
      <c r="G101" s="1823" t="s">
        <v>1432</v>
      </c>
      <c r="H101" s="2591">
        <f ca="1">H118</f>
        <v>53522</v>
      </c>
      <c r="I101" s="128"/>
    </row>
    <row r="102" spans="1:35" ht="18.75" customHeight="1">
      <c r="A102" s="3603" t="s">
        <v>1433</v>
      </c>
      <c r="B102" s="2580" t="s">
        <v>1432</v>
      </c>
      <c r="C102" s="2581">
        <f ca="1">IF(D32="楼面单价",ROUND(C19,0),C19)</f>
        <v>44668</v>
      </c>
      <c r="D102" s="2582">
        <f ca="1">IF(D32="楼面单价",ROUND(D19,0),D19)</f>
        <v>59424</v>
      </c>
      <c r="E102" s="3571"/>
      <c r="F102" s="3572"/>
      <c r="G102" s="1823" t="s">
        <v>1434</v>
      </c>
      <c r="H102" s="2551">
        <f ca="1">I118</f>
        <v>16733</v>
      </c>
      <c r="I102" s="128"/>
    </row>
    <row r="103" spans="1:35" ht="42.75" customHeight="1">
      <c r="A103" s="3603"/>
      <c r="B103" s="2580" t="s">
        <v>1434</v>
      </c>
      <c r="C103" s="2583">
        <f ca="1">C20</f>
        <v>13965</v>
      </c>
      <c r="D103" s="2584">
        <f ca="1">D20</f>
        <v>18578</v>
      </c>
      <c r="E103" s="3564" t="s">
        <v>1435</v>
      </c>
      <c r="F103" s="3565"/>
      <c r="G103" s="1824" t="s">
        <v>1436</v>
      </c>
      <c r="H103" s="2591">
        <f>IF(D36="正常操作",H104+H105+H106,H105+H106)</f>
        <v>0</v>
      </c>
      <c r="I103" s="128"/>
    </row>
    <row r="104" spans="1:35" ht="18.75" customHeight="1">
      <c r="A104" s="3603" t="s">
        <v>1437</v>
      </c>
      <c r="B104" s="2585" t="s">
        <v>1432</v>
      </c>
      <c r="C104" s="2586">
        <f ca="1">H118</f>
        <v>53522</v>
      </c>
      <c r="D104" s="2587"/>
      <c r="E104" s="1670" t="s">
        <v>1438</v>
      </c>
      <c r="F104" s="1662"/>
      <c r="G104" s="1824" t="s">
        <v>1436</v>
      </c>
      <c r="H104" s="2592">
        <f>IF(D36="同一抵押权人同一抵押物续贷",C36&amp;"（续贷，未扣减，详见特别提示）",C36)</f>
        <v>0</v>
      </c>
      <c r="I104" s="128"/>
    </row>
    <row r="105" spans="1:35" ht="18.75" customHeight="1" thickBot="1">
      <c r="A105" s="3613"/>
      <c r="B105" s="2588" t="s">
        <v>1434</v>
      </c>
      <c r="C105" s="2589">
        <f ca="1">I118</f>
        <v>16733</v>
      </c>
      <c r="D105" s="2590"/>
      <c r="E105" s="1670" t="s">
        <v>1439</v>
      </c>
      <c r="F105" s="1662"/>
      <c r="G105" s="1824" t="s">
        <v>1436</v>
      </c>
      <c r="H105" s="2593">
        <f>C37</f>
        <v>0</v>
      </c>
      <c r="I105" s="128"/>
    </row>
    <row r="106" spans="1:35" ht="18.75" customHeight="1">
      <c r="A106" s="1743" t="s">
        <v>1440</v>
      </c>
      <c r="B106" s="1743"/>
      <c r="C106" s="1743"/>
      <c r="D106" s="1743"/>
      <c r="E106" s="1825" t="s">
        <v>1441</v>
      </c>
      <c r="F106" s="1662"/>
      <c r="G106" s="1824" t="s">
        <v>1436</v>
      </c>
      <c r="H106" s="2593">
        <f>C38</f>
        <v>0</v>
      </c>
      <c r="I106" s="128"/>
    </row>
    <row r="107" spans="1:35" ht="18.75" customHeight="1">
      <c r="A107" s="128"/>
      <c r="B107" s="128"/>
      <c r="C107" s="128"/>
      <c r="D107" s="128"/>
      <c r="E107" s="3604" t="str">
        <f>IF(项目基本情况!E8="已注销","——","3.房地产抵押价值")</f>
        <v>3.房地产抵押价值</v>
      </c>
      <c r="F107" s="3572"/>
      <c r="G107" s="1823" t="s">
        <v>1432</v>
      </c>
      <c r="H107" s="2591">
        <f ca="1">IF(E107="——","——",H101-H103)</f>
        <v>53522</v>
      </c>
      <c r="I107" s="128"/>
    </row>
    <row r="108" spans="1:35" ht="18.75" customHeight="1">
      <c r="A108" s="128"/>
      <c r="B108" s="128"/>
      <c r="C108" s="128"/>
      <c r="D108" s="128"/>
      <c r="E108" s="3604"/>
      <c r="F108" s="3572"/>
      <c r="G108" s="1823" t="s">
        <v>1434</v>
      </c>
      <c r="H108" s="2551">
        <f ca="1">IF(H107=H101,H102,ROUND(H107*10000/'数据-汇总表'!E3,0))</f>
        <v>16733</v>
      </c>
      <c r="I108" s="128"/>
    </row>
    <row r="109" spans="1:35" ht="18.75" customHeight="1">
      <c r="A109" s="128"/>
      <c r="B109" s="128"/>
      <c r="C109" s="128"/>
      <c r="D109" s="128"/>
      <c r="E109" s="3604" t="str">
        <f>IF(项目基本情况!E8="已注销及未注销","4.抵押担保权已注销时的房地产抵押价值",IF(项目基本情况!E8="已注销","3.抵押担保权已注销时的房地产抵押价值","——"))</f>
        <v>——</v>
      </c>
      <c r="F109" s="3572"/>
      <c r="G109" s="1823" t="s">
        <v>1432</v>
      </c>
      <c r="H109" s="2594" t="str">
        <f>IF(E109="——","——",H101-H105-H106)</f>
        <v>——</v>
      </c>
      <c r="I109" s="128"/>
    </row>
    <row r="110" spans="1:35" ht="18.75" customHeight="1">
      <c r="A110" s="128"/>
      <c r="B110" s="128"/>
      <c r="C110" s="128"/>
      <c r="D110" s="128"/>
      <c r="E110" s="3604"/>
      <c r="F110" s="3572"/>
      <c r="G110" s="1823" t="s">
        <v>1434</v>
      </c>
      <c r="H110" s="2551" t="str">
        <f>IF(H109="——","——",ROUND(H109*10000/'数据-汇总表'!E3,0))</f>
        <v>——</v>
      </c>
      <c r="I110" s="128"/>
    </row>
    <row r="111" spans="1:35" ht="18.75" customHeight="1">
      <c r="A111" s="128"/>
      <c r="B111" s="128"/>
      <c r="C111" s="128"/>
      <c r="D111" s="128"/>
      <c r="E111" s="3605" t="str">
        <f>IF(项目基本情况!E9="抵押净值",IF(OR(项目基本情况!E8="已注销",项目基本情况!E8="房地产抵押价值"),"4.抵押净值","5.抵押净值"),"——")</f>
        <v>——</v>
      </c>
      <c r="F111" s="3591"/>
      <c r="G111" s="1823" t="s">
        <v>1432</v>
      </c>
      <c r="H111" s="2591" t="str">
        <f>IF(E111="——","——",N59)</f>
        <v>——</v>
      </c>
      <c r="I111" s="128"/>
    </row>
    <row r="112" spans="1:35" ht="18.75" customHeight="1" thickBot="1">
      <c r="A112" s="128"/>
      <c r="B112" s="128"/>
      <c r="C112" s="128"/>
      <c r="D112" s="128"/>
      <c r="E112" s="3606"/>
      <c r="F112" s="3607"/>
      <c r="G112" s="1826" t="s">
        <v>1434</v>
      </c>
      <c r="H112" s="2595" t="str">
        <f>IF(E111="——","——",N61)</f>
        <v>——</v>
      </c>
      <c r="I112" s="128"/>
    </row>
    <row r="113" spans="1:27" ht="18.75" customHeight="1">
      <c r="A113" s="128"/>
      <c r="B113" s="128"/>
      <c r="C113" s="128"/>
      <c r="D113" s="128"/>
      <c r="E113" s="3614" t="s">
        <v>1440</v>
      </c>
      <c r="F113" s="3614"/>
      <c r="G113" s="3614"/>
      <c r="H113" s="3614"/>
      <c r="I113" s="128"/>
    </row>
    <row r="114" spans="1:27" ht="3.75" customHeight="1">
      <c r="A114" s="1743"/>
      <c r="B114" s="1743"/>
      <c r="C114" s="1743"/>
      <c r="D114" s="1743"/>
      <c r="E114" s="1805"/>
      <c r="F114" s="1805"/>
      <c r="G114" s="1805"/>
      <c r="H114" s="1805"/>
      <c r="I114" s="1743"/>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3452" t="s">
        <v>1449</v>
      </c>
      <c r="E117" s="3452" t="s">
        <v>1450</v>
      </c>
      <c r="F117" s="3452" t="s">
        <v>1449</v>
      </c>
      <c r="G117" s="3452" t="s">
        <v>1451</v>
      </c>
      <c r="H117" s="3452" t="s">
        <v>1449</v>
      </c>
      <c r="I117" s="3452" t="s">
        <v>1451</v>
      </c>
    </row>
    <row r="118" spans="1:27" ht="24.75" customHeight="1">
      <c r="A118" s="2596" t="str">
        <f>项目基本情况!S2</f>
        <v>北京市房地产</v>
      </c>
      <c r="B118" s="3452">
        <f>M18</f>
        <v>31986.760000000002</v>
      </c>
      <c r="C118" s="3452">
        <f>M19</f>
        <v>4042.34</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53522</v>
      </c>
      <c r="I118" s="3452">
        <f ca="1">ROUND(IF(D32="楼面单价",C32,H118*10000/B118),0)</f>
        <v>16733</v>
      </c>
    </row>
    <row r="119" spans="1:27" ht="18.75" customHeight="1">
      <c r="A119" s="3579" t="s">
        <v>1452</v>
      </c>
      <c r="B119" s="3579"/>
      <c r="C119" s="3579"/>
      <c r="D119" s="3585" t="e">
        <f ca="1">NUMBERSTRING(INT(D118*10000),2)&amp;"元整"</f>
        <v>#REF!</v>
      </c>
      <c r="E119" s="3586"/>
      <c r="F119" s="3585" t="e">
        <f ca="1">NUMBERSTRING(INT(F118*10000),2)&amp;"元整"</f>
        <v>#REF!</v>
      </c>
      <c r="G119" s="3586"/>
      <c r="H119" s="3585" t="str">
        <f ca="1">NUMBERSTRING(INT(H118*10000),2)&amp;"元整"</f>
        <v>伍亿叁仟伍佰贰拾贰万元整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585" t="s">
        <v>1452</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53522</v>
      </c>
      <c r="E122" s="3581"/>
      <c r="F122" s="3581"/>
      <c r="G122" s="3581"/>
      <c r="H122" s="3581"/>
      <c r="I122" s="3582"/>
      <c r="AA122" s="723"/>
    </row>
    <row r="123" spans="1:27" ht="18.75" customHeight="1">
      <c r="A123" s="3579" t="s">
        <v>1452</v>
      </c>
      <c r="B123" s="3579"/>
      <c r="C123" s="3579"/>
      <c r="D123" s="3585" t="str">
        <f ca="1">NUMBERSTRING(INT(D122*10000),2)&amp;"元整"</f>
        <v>伍亿叁仟伍佰贰拾贰万元整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1452</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1452</v>
      </c>
      <c r="B127" s="3579"/>
      <c r="C127" s="3579"/>
      <c r="D127" s="3585" t="e">
        <f>NUMBERSTRING(INT(D126*10000),2)&amp;"元整"</f>
        <v>#VALUE!</v>
      </c>
      <c r="E127" s="3587"/>
      <c r="F127" s="3587"/>
      <c r="G127" s="3587"/>
      <c r="H127" s="3587"/>
      <c r="I127" s="3586"/>
      <c r="AA127" s="723"/>
    </row>
    <row r="128" spans="1:27" ht="21.75" customHeight="1">
      <c r="A128" s="3588" t="s">
        <v>1453</v>
      </c>
      <c r="B128" s="3588"/>
      <c r="C128" s="3588"/>
      <c r="D128" s="3588"/>
      <c r="E128" s="3588"/>
      <c r="F128" s="3588"/>
      <c r="G128" s="3588"/>
      <c r="H128" s="3588"/>
      <c r="I128" s="3588"/>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29"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00" priority="10" stopIfTrue="1" operator="equal">
      <formula>25</formula>
    </cfRule>
  </conditionalFormatting>
  <conditionalFormatting sqref="C8:C9">
    <cfRule type="cellIs" dxfId="199" priority="9" stopIfTrue="1" operator="equal">
      <formula>15</formula>
    </cfRule>
  </conditionalFormatting>
  <conditionalFormatting sqref="C14:C16">
    <cfRule type="cellIs" dxfId="198" priority="8" stopIfTrue="1" operator="equal">
      <formula>30</formula>
    </cfRule>
  </conditionalFormatting>
  <conditionalFormatting sqref="D5:D7">
    <cfRule type="cellIs" dxfId="197" priority="7" stopIfTrue="1" operator="equal">
      <formula>25</formula>
    </cfRule>
  </conditionalFormatting>
  <conditionalFormatting sqref="D8:D9">
    <cfRule type="cellIs" dxfId="196" priority="6" stopIfTrue="1" operator="equal">
      <formula>15</formula>
    </cfRule>
  </conditionalFormatting>
  <conditionalFormatting sqref="C10:D13">
    <cfRule type="cellIs" dxfId="195" priority="5" stopIfTrue="1" operator="equal">
      <formula>15</formula>
    </cfRule>
  </conditionalFormatting>
  <conditionalFormatting sqref="D14:D16">
    <cfRule type="cellIs" dxfId="194" priority="4" stopIfTrue="1" operator="equal">
      <formula>30</formula>
    </cfRule>
  </conditionalFormatting>
  <conditionalFormatting sqref="C90">
    <cfRule type="expression" dxfId="193" priority="3" stopIfTrue="1">
      <formula>$H$88&lt;&gt;"仅含出让金"</formula>
    </cfRule>
  </conditionalFormatting>
  <conditionalFormatting sqref="C91">
    <cfRule type="expression" dxfId="192" priority="2" stopIfTrue="1">
      <formula>$H$91="由企业提供"</formula>
    </cfRule>
  </conditionalFormatting>
  <conditionalFormatting sqref="E36">
    <cfRule type="expression" dxfId="19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6" t="s">
        <v>3404</v>
      </c>
      <c r="C1" s="197"/>
      <c r="D1" s="197"/>
      <c r="E1" s="197"/>
      <c r="F1" s="197"/>
      <c r="G1" s="1122">
        <f>MATCH(B1,'数据-取费表'!A6:A16,0)+5</f>
        <v>7</v>
      </c>
    </row>
    <row r="2" spans="1:9" s="199" customFormat="1" ht="18" customHeight="1">
      <c r="A2" s="200" t="s">
        <v>1462</v>
      </c>
      <c r="B2" s="201">
        <f ca="1">IF(D2="——",C52,C52-E2)</f>
        <v>44668</v>
      </c>
      <c r="C2" s="198" t="s">
        <v>1463</v>
      </c>
      <c r="D2" s="1849" t="s">
        <v>43</v>
      </c>
      <c r="E2" s="1165" t="e">
        <f ca="1">SUMIF(INDIRECT("'"&amp;G2&amp;"'"&amp;"!A:A"),"承租人权益价值",INDIRECT("'"&amp;G2&amp;"'"&amp;"!c:c"))</f>
        <v>#REF!</v>
      </c>
      <c r="F2" s="1850" t="s">
        <v>1463</v>
      </c>
      <c r="G2" s="1851"/>
    </row>
    <row r="3" spans="1:9" s="199" customFormat="1" ht="18" customHeight="1" thickBot="1">
      <c r="A3" s="202" t="s">
        <v>1464</v>
      </c>
      <c r="B3" s="203">
        <f ca="1">ROUND(B2*10000/(IF(B1="",'数据-汇总表'!E3,INDIRECT("'数据-取费表'!k"&amp;$G$1))),0)</f>
        <v>13965</v>
      </c>
      <c r="C3" s="198" t="s">
        <v>1465</v>
      </c>
      <c r="D3" s="198"/>
      <c r="E3" s="198"/>
      <c r="F3" s="198"/>
      <c r="G3" s="198"/>
    </row>
    <row r="4" spans="1:9" s="207" customFormat="1" ht="16.2">
      <c r="A4" s="204" t="s">
        <v>1466</v>
      </c>
      <c r="B4" s="205"/>
      <c r="C4" s="205"/>
      <c r="D4" s="205"/>
      <c r="E4" s="205"/>
      <c r="F4" s="205"/>
      <c r="G4" s="206"/>
    </row>
    <row r="5" spans="1:9" s="213" customFormat="1" ht="13.5" customHeight="1">
      <c r="A5" s="254" t="s">
        <v>337</v>
      </c>
      <c r="B5" s="209" t="s">
        <v>1468</v>
      </c>
      <c r="C5" s="210">
        <f ca="1">C6+C7+C8</f>
        <v>15556</v>
      </c>
      <c r="D5" s="210" t="s">
        <v>1469</v>
      </c>
      <c r="E5" s="211" t="s">
        <v>1470</v>
      </c>
      <c r="F5" s="211" t="s">
        <v>1471</v>
      </c>
      <c r="G5" s="212"/>
    </row>
    <row r="6" spans="1:9" s="213" customFormat="1" ht="13.5" customHeight="1">
      <c r="A6" s="774" t="s">
        <v>1472</v>
      </c>
      <c r="B6" s="214" t="s">
        <v>1473</v>
      </c>
      <c r="C6" s="215">
        <f>基准地价修正!E37+基准地价修正!E38</f>
        <v>14475</v>
      </c>
      <c r="D6" s="216"/>
      <c r="E6" s="217"/>
      <c r="F6" s="217"/>
      <c r="G6" s="218"/>
    </row>
    <row r="7" spans="1:9" s="213" customFormat="1" ht="13.5" customHeight="1">
      <c r="A7" s="774" t="s">
        <v>347</v>
      </c>
      <c r="B7" s="214" t="s">
        <v>1475</v>
      </c>
      <c r="C7" s="219">
        <f>ROUND(C6*F7,0)</f>
        <v>441</v>
      </c>
      <c r="D7" s="219"/>
      <c r="E7" s="217"/>
      <c r="F7" s="220">
        <f>IF(项目基本情况!B8="出让",0,'数据-取费表'!B48+'数据-取费表'!B49)</f>
        <v>3.0499999999999999E-2</v>
      </c>
      <c r="G7" s="218"/>
    </row>
    <row r="8" spans="1:9" s="222" customFormat="1">
      <c r="A8" s="774" t="s">
        <v>1476</v>
      </c>
      <c r="B8" s="214" t="s">
        <v>1477</v>
      </c>
      <c r="C8" s="219">
        <f ca="1">IF(G8="已包含在土地购买价格中","0",IF(B1="",'数据-取费表'!B29,IF(G9="全部缴纳",C9+C10,H9)))</f>
        <v>640</v>
      </c>
      <c r="D8" s="221"/>
      <c r="E8" s="219"/>
      <c r="F8" s="220"/>
      <c r="G8" s="1852" t="s">
        <v>3438</v>
      </c>
    </row>
    <row r="9" spans="1:9" s="213" customFormat="1" ht="13.5" customHeight="1">
      <c r="A9" s="775" t="s">
        <v>355</v>
      </c>
      <c r="B9" s="223" t="s">
        <v>1478</v>
      </c>
      <c r="C9" s="224">
        <f ca="1">ROUND(D9*E9/10000,0)</f>
        <v>0</v>
      </c>
      <c r="D9" s="841">
        <f ca="1">IF(B1="",'数据-汇总表'!E5,IF(INDIRECT("'数据-取费表'!c"&amp;$G$1)="住宅",INDIRECT("'数据-取费表'!k"&amp;$G$1),0))</f>
        <v>0</v>
      </c>
      <c r="E9" s="224">
        <f>'数据-取费表'!B27</f>
        <v>160</v>
      </c>
      <c r="F9" s="220"/>
      <c r="G9" s="1853" t="s">
        <v>3439</v>
      </c>
      <c r="H9" s="1133"/>
      <c r="I9" s="1854" t="s">
        <v>1479</v>
      </c>
    </row>
    <row r="10" spans="1:9" s="213" customFormat="1" ht="13.5" customHeight="1">
      <c r="A10" s="775" t="s">
        <v>356</v>
      </c>
      <c r="B10" s="223" t="s">
        <v>1480</v>
      </c>
      <c r="C10" s="224">
        <f ca="1">ROUND(D10*E10/10000,0)</f>
        <v>640</v>
      </c>
      <c r="D10" s="841">
        <f ca="1">IF(B1="",'数据-汇总表'!E6,IF(INDIRECT("'数据-取费表'!c"&amp;$G$1)="住宅",INDIRECT("'数据-取费表'!s"&amp;$G$1),INDIRECT("'数据-取费表'!k"&amp;$G$1)+INDIRECT("'数据-取费表'!s"&amp;$G$1)))</f>
        <v>31986.760000000002</v>
      </c>
      <c r="E10" s="224">
        <f>'数据-取费表'!B28</f>
        <v>200</v>
      </c>
      <c r="F10" s="220"/>
      <c r="G10" s="225"/>
    </row>
    <row r="11" spans="1:9" s="213" customFormat="1" ht="13.5" hidden="1" customHeight="1">
      <c r="A11" s="226" t="s">
        <v>4</v>
      </c>
      <c r="B11" s="214" t="s">
        <v>1481</v>
      </c>
      <c r="C11" s="210"/>
      <c r="D11" s="843"/>
      <c r="E11" s="217"/>
      <c r="F11" s="217"/>
      <c r="G11" s="218"/>
    </row>
    <row r="12" spans="1:9" s="213" customFormat="1" ht="13.5" hidden="1" customHeight="1">
      <c r="A12" s="226" t="s">
        <v>5</v>
      </c>
      <c r="B12" s="214" t="s">
        <v>1482</v>
      </c>
      <c r="C12" s="210">
        <v>0</v>
      </c>
      <c r="D12" s="843"/>
      <c r="E12" s="227"/>
      <c r="F12" s="220">
        <v>3.0499999999999999E-2</v>
      </c>
      <c r="G12" s="218"/>
    </row>
    <row r="13" spans="1:9" s="213" customFormat="1" ht="13.5" hidden="1" customHeight="1">
      <c r="A13" s="226" t="s">
        <v>6</v>
      </c>
      <c r="B13" s="214" t="s">
        <v>1483</v>
      </c>
      <c r="C13" s="210"/>
      <c r="D13" s="843"/>
      <c r="E13" s="217"/>
      <c r="F13" s="217"/>
      <c r="G13" s="218"/>
    </row>
    <row r="14" spans="1:9" s="213" customFormat="1" ht="13.5" hidden="1" customHeight="1">
      <c r="A14" s="226" t="s">
        <v>7</v>
      </c>
      <c r="B14" s="214" t="s">
        <v>1477</v>
      </c>
      <c r="C14" s="210"/>
      <c r="D14" s="843"/>
      <c r="E14" s="217"/>
      <c r="F14" s="217"/>
      <c r="G14" s="218" t="s">
        <v>1485</v>
      </c>
    </row>
    <row r="15" spans="1:9" s="213" customFormat="1" ht="13.5" hidden="1" customHeight="1">
      <c r="A15" s="226" t="s">
        <v>8</v>
      </c>
      <c r="B15" s="214" t="s">
        <v>1486</v>
      </c>
      <c r="C15" s="219"/>
      <c r="D15" s="843"/>
      <c r="E15" s="217"/>
      <c r="F15" s="217"/>
      <c r="G15" s="218" t="s">
        <v>1487</v>
      </c>
    </row>
    <row r="16" spans="1:9" s="213" customFormat="1" ht="13.5" hidden="1" customHeight="1">
      <c r="A16" s="226" t="s">
        <v>9</v>
      </c>
      <c r="B16" s="214" t="s">
        <v>1477</v>
      </c>
      <c r="C16" s="219"/>
      <c r="D16" s="843"/>
      <c r="E16" s="217"/>
      <c r="F16" s="217"/>
      <c r="G16" s="218"/>
    </row>
    <row r="17" spans="1:7" s="213" customFormat="1" ht="13.5" hidden="1" customHeight="1">
      <c r="A17" s="226" t="s">
        <v>10</v>
      </c>
      <c r="B17" s="214" t="s">
        <v>1488</v>
      </c>
      <c r="C17" s="228"/>
      <c r="D17" s="844"/>
      <c r="E17" s="228"/>
      <c r="F17" s="228"/>
      <c r="G17" s="218" t="s">
        <v>1487</v>
      </c>
    </row>
    <row r="18" spans="1:7" s="213" customFormat="1" ht="13.5" hidden="1" customHeight="1">
      <c r="A18" s="226" t="s">
        <v>11</v>
      </c>
      <c r="B18" s="214" t="s">
        <v>1489</v>
      </c>
      <c r="C18" s="219">
        <v>0</v>
      </c>
      <c r="D18" s="843"/>
      <c r="E18" s="217"/>
      <c r="F18" s="220">
        <v>3.0499999999999999E-2</v>
      </c>
      <c r="G18" s="218" t="s">
        <v>1490</v>
      </c>
    </row>
    <row r="19" spans="1:7" s="222" customFormat="1" ht="13.5" customHeight="1">
      <c r="A19" s="254" t="s">
        <v>1491</v>
      </c>
      <c r="B19" s="209" t="s">
        <v>1492</v>
      </c>
      <c r="C19" s="210" t="str">
        <f>IF(G19="已包含在土地取得成本中","0",ROUND(D19*E19/10000,0))</f>
        <v>0</v>
      </c>
      <c r="D19" s="845">
        <f ca="1">D9+D10</f>
        <v>31986.760000000002</v>
      </c>
      <c r="E19" s="210">
        <f>'数据-取费表'!B31</f>
        <v>200</v>
      </c>
      <c r="F19" s="230"/>
      <c r="G19" s="1852" t="s">
        <v>3440</v>
      </c>
    </row>
    <row r="20" spans="1:7" s="213" customFormat="1" ht="13.5" customHeight="1">
      <c r="A20" s="254" t="s">
        <v>1493</v>
      </c>
      <c r="B20" s="209" t="s">
        <v>1494</v>
      </c>
      <c r="C20" s="231">
        <f ca="1">ROUND((C5+C19)*F20,0)</f>
        <v>467</v>
      </c>
      <c r="D20" s="231"/>
      <c r="E20" s="231"/>
      <c r="F20" s="232">
        <f>'数据-取费表'!B37</f>
        <v>0.03</v>
      </c>
      <c r="G20" s="233" t="s">
        <v>1495</v>
      </c>
    </row>
    <row r="21" spans="1:7" s="213" customFormat="1" ht="13.5" customHeight="1">
      <c r="A21" s="254" t="s">
        <v>1496</v>
      </c>
      <c r="B21" s="209" t="s">
        <v>1497</v>
      </c>
      <c r="C21" s="234">
        <f>F21</f>
        <v>0.03</v>
      </c>
      <c r="D21" s="235" t="s">
        <v>1498</v>
      </c>
      <c r="E21" s="231"/>
      <c r="F21" s="232">
        <f>'数据-取费表'!B38</f>
        <v>0.03</v>
      </c>
      <c r="G21" s="233" t="s">
        <v>1499</v>
      </c>
    </row>
    <row r="22" spans="1:7" s="213" customFormat="1" ht="13.5" customHeight="1">
      <c r="A22" s="254" t="s">
        <v>1500</v>
      </c>
      <c r="B22" s="209" t="s">
        <v>1501</v>
      </c>
      <c r="C22" s="1100">
        <f ca="1">ROUND(SUM(C23:C25),0)</f>
        <v>2047</v>
      </c>
      <c r="D22" s="234">
        <f ca="1">C26</f>
        <v>1.9E-3</v>
      </c>
      <c r="E22" s="235" t="s">
        <v>1498</v>
      </c>
      <c r="F22" s="236">
        <f ca="1">'数据-取费表'!B40</f>
        <v>4.1499999999999995E-2</v>
      </c>
      <c r="G22" s="233" t="str">
        <f>IF('数据-取费表'!B22&lt;=1,"单利计息","复利计息")</f>
        <v>复利计息</v>
      </c>
    </row>
    <row r="23" spans="1:7" s="213" customFormat="1" ht="13.5" customHeight="1">
      <c r="A23" s="776" t="s">
        <v>346</v>
      </c>
      <c r="B23" s="214" t="s">
        <v>1503</v>
      </c>
      <c r="C23" s="1101">
        <f ca="1">ROUND(IF('数据-取费表'!B22&lt;=1,C5*F22*'数据-取费表'!B23,C5*(POWER((1+F22),'数据-取费表'!B23)-1)),0)</f>
        <v>2018</v>
      </c>
      <c r="D23" s="237"/>
      <c r="E23" s="237"/>
      <c r="F23" s="238"/>
      <c r="G23" s="239" t="s">
        <v>1504</v>
      </c>
    </row>
    <row r="24" spans="1:7" s="213" customFormat="1" ht="13.5" customHeight="1">
      <c r="A24" s="776" t="s">
        <v>347</v>
      </c>
      <c r="B24" s="214" t="s">
        <v>1506</v>
      </c>
      <c r="C24" s="1101">
        <f ca="1">ROUND(IF('数据-取费表'!B22&lt;=1,C19*F22*('数据-取费表'!B19/2+'数据-取费表'!B21),C19*(POWER((1+F22),('数据-取费表'!B19/2+'数据-取费表'!B21))-1)),0)</f>
        <v>0</v>
      </c>
      <c r="D24" s="237"/>
      <c r="E24" s="237"/>
      <c r="F24" s="238"/>
      <c r="G24" s="239" t="s">
        <v>1507</v>
      </c>
    </row>
    <row r="25" spans="1:7" s="213" customFormat="1" ht="24">
      <c r="A25" s="776" t="s">
        <v>348</v>
      </c>
      <c r="B25" s="214" t="s">
        <v>1509</v>
      </c>
      <c r="C25" s="1101">
        <f ca="1">ROUND(IF('数据-取费表'!B22&lt;=1,C20*F22*'数据-取费表'!B23/2,C20*(POWER((1+F22),'数据-取费表'!B23/2)-1)),0)</f>
        <v>29</v>
      </c>
      <c r="D25" s="237"/>
      <c r="E25" s="240"/>
      <c r="F25" s="238"/>
      <c r="G25" s="241" t="s">
        <v>1510</v>
      </c>
    </row>
    <row r="26" spans="1:7" s="213" customFormat="1">
      <c r="A26" s="776" t="s">
        <v>350</v>
      </c>
      <c r="B26" s="214" t="s">
        <v>1511</v>
      </c>
      <c r="C26" s="237">
        <f ca="1">ROUND(IF('数据-取费表'!B22&lt;=1,F21*F22*'数据-取费表'!B23/2,F21*(POWER((1+F22),'数据-取费表'!B23/2)-1)),4)</f>
        <v>1.9E-3</v>
      </c>
      <c r="D26" s="237"/>
      <c r="E26" s="240"/>
      <c r="F26" s="238"/>
      <c r="G26" s="242"/>
    </row>
    <row r="27" spans="1:7" s="213" customFormat="1" ht="26.4">
      <c r="A27" s="254" t="s">
        <v>1512</v>
      </c>
      <c r="B27" s="243" t="s">
        <v>1513</v>
      </c>
      <c r="C27" s="244">
        <f ca="1">C28</f>
        <v>3205</v>
      </c>
      <c r="D27" s="234">
        <f ca="1">C29</f>
        <v>6.0000000000000001E-3</v>
      </c>
      <c r="E27" s="235" t="s">
        <v>1514</v>
      </c>
      <c r="F27" s="245">
        <f ca="1">IF(B1="",'数据-取费表'!Q16,INDIRECT("'数据-取费表'!q"&amp;$G$1))</f>
        <v>0.2</v>
      </c>
      <c r="G27" s="246" t="s">
        <v>1515</v>
      </c>
    </row>
    <row r="28" spans="1:7" s="213" customFormat="1" ht="13.5" customHeight="1">
      <c r="A28" s="776" t="s">
        <v>346</v>
      </c>
      <c r="B28" s="247" t="s">
        <v>1516</v>
      </c>
      <c r="C28" s="248">
        <f ca="1">ROUND((C5+C19+C20)*F27*'数据-取费表'!B21/'数据-取费表'!B20,0)</f>
        <v>3205</v>
      </c>
      <c r="D28" s="234"/>
      <c r="E28" s="235"/>
      <c r="F28" s="245"/>
      <c r="G28" s="246"/>
    </row>
    <row r="29" spans="1:7" s="213" customFormat="1" ht="13.5" customHeight="1">
      <c r="A29" s="776" t="s">
        <v>347</v>
      </c>
      <c r="B29" s="247" t="s">
        <v>1517</v>
      </c>
      <c r="C29" s="237">
        <f ca="1">ROUND(C21*F27*'数据-取费表'!B21/'数据-取费表'!B20,4)</f>
        <v>6.0000000000000001E-3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23410</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15970</v>
      </c>
      <c r="D33" s="231"/>
      <c r="E33" s="211"/>
      <c r="F33" s="240"/>
      <c r="G33" s="233"/>
    </row>
    <row r="34" spans="1:7" s="257" customFormat="1" ht="13.5" customHeight="1">
      <c r="A34" s="776" t="s">
        <v>346</v>
      </c>
      <c r="B34" s="214" t="s">
        <v>1525</v>
      </c>
      <c r="C34" s="219">
        <f ca="1">IF(B1="",IF(F34=100%,'数据-取费表'!M16,'数据-取费表'!O16),IF(F34=100%,INDIRECT("'数据-取费表'!m"&amp;$G$1)+INDIRECT("'数据-取费表'!t"&amp;$G$1),INDIRECT("'数据-取费表'!o"&amp;$G$1)+INDIRECT("'数据-取费表'!aq"&amp;$G$1)))</f>
        <v>14394</v>
      </c>
      <c r="D34" s="216"/>
      <c r="E34" s="219"/>
      <c r="F34" s="256">
        <f ca="1">IF('数据-取费表'!B24=0,1,IF(B1="",'数据-取费表'!N16,INDIRECT("'数据-取费表'!n"&amp;$G$1)))</f>
        <v>1</v>
      </c>
      <c r="G34" s="218" t="s">
        <v>1526</v>
      </c>
    </row>
    <row r="35" spans="1:7" ht="13.5" customHeight="1">
      <c r="A35" s="776" t="s">
        <v>351</v>
      </c>
      <c r="B35" s="214" t="s">
        <v>1527</v>
      </c>
      <c r="C35" s="219">
        <f ca="1">ROUND(C34*F35,0)</f>
        <v>720</v>
      </c>
      <c r="D35" s="219"/>
      <c r="E35" s="219"/>
      <c r="F35" s="258">
        <f>'数据-取费表'!B33</f>
        <v>0.05</v>
      </c>
      <c r="G35" s="218" t="s">
        <v>1528</v>
      </c>
    </row>
    <row r="36" spans="1:7" ht="24">
      <c r="A36" s="776"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6" t="s">
        <v>353</v>
      </c>
      <c r="B37" s="214" t="s">
        <v>1531</v>
      </c>
      <c r="C37" s="248">
        <f ca="1">ROUND(E37*D37*F34/10000,0)</f>
        <v>640</v>
      </c>
      <c r="D37" s="216">
        <f ca="1">D19</f>
        <v>31986.760000000002</v>
      </c>
      <c r="E37" s="248">
        <f>'数据-取费表'!B35</f>
        <v>200</v>
      </c>
      <c r="F37" s="258"/>
      <c r="G37" s="260" t="s">
        <v>1532</v>
      </c>
    </row>
    <row r="38" spans="1:7" ht="13.5" customHeight="1">
      <c r="A38" s="776" t="s">
        <v>354</v>
      </c>
      <c r="B38" s="214" t="s">
        <v>1533</v>
      </c>
      <c r="C38" s="219">
        <f ca="1">ROUND(C34*F38,0)</f>
        <v>216</v>
      </c>
      <c r="D38" s="219"/>
      <c r="E38" s="219"/>
      <c r="F38" s="258">
        <f>'数据-取费表'!B36</f>
        <v>1.4999999999999999E-2</v>
      </c>
      <c r="G38" s="218" t="s">
        <v>1528</v>
      </c>
    </row>
    <row r="39" spans="1:7" s="213" customFormat="1" ht="13.5" customHeight="1">
      <c r="A39" s="254" t="s">
        <v>1491</v>
      </c>
      <c r="B39" s="209" t="s">
        <v>1494</v>
      </c>
      <c r="C39" s="231">
        <f ca="1">ROUND(C33*F20,0)</f>
        <v>479</v>
      </c>
      <c r="D39" s="231"/>
      <c r="E39" s="231"/>
      <c r="F39" s="232">
        <f>F20</f>
        <v>0.03</v>
      </c>
      <c r="G39" s="233" t="s">
        <v>1536</v>
      </c>
    </row>
    <row r="40" spans="1:7" s="213" customFormat="1" ht="13.5" customHeight="1">
      <c r="A40" s="254" t="s">
        <v>1493</v>
      </c>
      <c r="B40" s="209" t="s">
        <v>1538</v>
      </c>
      <c r="C40" s="1323">
        <f>F21</f>
        <v>0.03</v>
      </c>
      <c r="D40" s="235" t="s">
        <v>1539</v>
      </c>
      <c r="E40" s="231"/>
      <c r="F40" s="232">
        <f>F21</f>
        <v>0.03</v>
      </c>
      <c r="G40" s="233" t="s">
        <v>1540</v>
      </c>
    </row>
    <row r="41" spans="1:7" s="213" customFormat="1" ht="13.5" customHeight="1">
      <c r="A41" s="254" t="s">
        <v>1496</v>
      </c>
      <c r="B41" s="209" t="s">
        <v>1501</v>
      </c>
      <c r="C41" s="231">
        <f ca="1">ROUND(SUM(C42:C43),0)</f>
        <v>1034</v>
      </c>
      <c r="D41" s="234">
        <f ca="1">C44</f>
        <v>1.9E-3</v>
      </c>
      <c r="E41" s="235" t="s">
        <v>1539</v>
      </c>
      <c r="F41" s="236">
        <f ca="1">F22</f>
        <v>4.1499999999999995E-2</v>
      </c>
      <c r="G41" s="233" t="str">
        <f>IF('数据-取费表'!B22&lt;=1,"单利计息","复利计息")</f>
        <v>复利计息</v>
      </c>
    </row>
    <row r="42" spans="1:7" ht="13.5" customHeight="1">
      <c r="A42" s="776" t="s">
        <v>346</v>
      </c>
      <c r="B42" s="214" t="s">
        <v>1543</v>
      </c>
      <c r="C42" s="237">
        <f ca="1">ROUND(IF('数据-取费表'!B22&lt;=1,C33*F22*'数据-取费表'!B21/2,C33*(POWER((1+F22),'数据-取费表'!B21/2)-1)),0)</f>
        <v>1004</v>
      </c>
      <c r="D42" s="237"/>
      <c r="E42" s="237"/>
      <c r="F42" s="238"/>
      <c r="G42" s="3677" t="s">
        <v>1544</v>
      </c>
    </row>
    <row r="43" spans="1:7" ht="13.5" customHeight="1">
      <c r="A43" s="776" t="s">
        <v>347</v>
      </c>
      <c r="B43" s="214" t="s">
        <v>1545</v>
      </c>
      <c r="C43" s="237">
        <f ca="1">ROUND(IF('数据-取费表'!B22&lt;=1,C39*F22*'数据-取费表'!B21/2,C39*(POWER((1+F22),'数据-取费表'!B21/2)-1)),0)</f>
        <v>30</v>
      </c>
      <c r="D43" s="237"/>
      <c r="E43" s="237"/>
      <c r="F43" s="238"/>
      <c r="G43" s="3678"/>
    </row>
    <row r="44" spans="1:7" ht="13.5" customHeight="1">
      <c r="A44" s="776" t="s">
        <v>348</v>
      </c>
      <c r="B44" s="214" t="s">
        <v>1509</v>
      </c>
      <c r="C44" s="237">
        <f ca="1">ROUND(IF('数据-取费表'!B22&lt;=1,C40*F22*'数据-取费表'!B21/2,C40*(POWER((1+F22),'数据-取费表'!B21/2)-1)),4)</f>
        <v>1.9E-3</v>
      </c>
      <c r="D44" s="237"/>
      <c r="E44" s="237"/>
      <c r="F44" s="238"/>
      <c r="G44" s="3679"/>
    </row>
    <row r="45" spans="1:7" s="213" customFormat="1" ht="13.5" customHeight="1">
      <c r="A45" s="254" t="s">
        <v>1500</v>
      </c>
      <c r="B45" s="243" t="s">
        <v>1513</v>
      </c>
      <c r="C45" s="244">
        <f ca="1">C46</f>
        <v>3290</v>
      </c>
      <c r="D45" s="234">
        <f ca="1">C47</f>
        <v>6.0000000000000001E-3</v>
      </c>
      <c r="E45" s="235" t="s">
        <v>1539</v>
      </c>
      <c r="F45" s="245">
        <f ca="1">F27</f>
        <v>0.2</v>
      </c>
      <c r="G45" s="246" t="s">
        <v>1548</v>
      </c>
    </row>
    <row r="46" spans="1:7" s="213" customFormat="1" ht="13.5" customHeight="1">
      <c r="A46" s="776" t="s">
        <v>346</v>
      </c>
      <c r="B46" s="247" t="s">
        <v>1549</v>
      </c>
      <c r="C46" s="248">
        <f ca="1">ROUND((C33+C39)*F27,0)</f>
        <v>3290</v>
      </c>
      <c r="D46" s="262"/>
      <c r="E46" s="235"/>
      <c r="F46" s="245"/>
      <c r="G46" s="246"/>
    </row>
    <row r="47" spans="1:7" s="213" customFormat="1" ht="13.5" customHeight="1">
      <c r="A47" s="776" t="s">
        <v>347</v>
      </c>
      <c r="B47" s="247" t="s">
        <v>1550</v>
      </c>
      <c r="C47" s="237">
        <f ca="1">ROUND(C40*F27,4)</f>
        <v>6.0000000000000001E-3</v>
      </c>
      <c r="D47" s="262"/>
      <c r="E47" s="235"/>
      <c r="F47" s="245"/>
      <c r="G47" s="246"/>
    </row>
    <row r="48" spans="1:7" s="213" customFormat="1" ht="13.5" customHeight="1">
      <c r="A48" s="254" t="s">
        <v>1512</v>
      </c>
      <c r="B48" s="209" t="s">
        <v>1551</v>
      </c>
      <c r="C48" s="1323">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22858</v>
      </c>
      <c r="D49" s="231"/>
      <c r="E49" s="231"/>
      <c r="F49" s="263"/>
      <c r="G49" s="233" t="s">
        <v>1554</v>
      </c>
    </row>
    <row r="50" spans="1:7" s="257" customFormat="1" ht="24">
      <c r="A50" s="254" t="s">
        <v>1555</v>
      </c>
      <c r="B50" s="209" t="s">
        <v>1556</v>
      </c>
      <c r="C50" s="231"/>
      <c r="D50" s="231"/>
      <c r="E50" s="231"/>
      <c r="F50" s="263">
        <f>IF('数据-取费表'!B24=0,'数据-取费表'!N16,1)</f>
        <v>0.93</v>
      </c>
      <c r="G50" s="246" t="s">
        <v>1557</v>
      </c>
    </row>
    <row r="51" spans="1:7" ht="16.5" customHeight="1">
      <c r="A51" s="254" t="s">
        <v>1558</v>
      </c>
      <c r="B51" s="209" t="s">
        <v>1559</v>
      </c>
      <c r="C51" s="231">
        <f ca="1">ROUND(C49*F50,0)</f>
        <v>21258</v>
      </c>
      <c r="D51" s="231"/>
      <c r="E51" s="231"/>
      <c r="F51" s="263"/>
      <c r="G51" s="233" t="s">
        <v>1560</v>
      </c>
    </row>
    <row r="52" spans="1:7" s="207" customFormat="1" ht="16.8" thickBot="1">
      <c r="A52" s="264" t="s">
        <v>1561</v>
      </c>
      <c r="B52" s="265"/>
      <c r="C52" s="266">
        <f ca="1">C31+C51</f>
        <v>44668</v>
      </c>
      <c r="D52" s="265"/>
      <c r="E52" s="265"/>
      <c r="F52" s="265"/>
      <c r="G52" s="267"/>
    </row>
    <row r="55" spans="1:7" ht="15">
      <c r="B55" s="269" t="s">
        <v>1562</v>
      </c>
      <c r="C55" s="270"/>
    </row>
    <row r="56" spans="1:7">
      <c r="B56" s="272" t="s">
        <v>802</v>
      </c>
      <c r="C56" s="274">
        <f ca="1">1-C57</f>
        <v>0.52400000000000002</v>
      </c>
    </row>
    <row r="57" spans="1:7">
      <c r="B57" s="272" t="s">
        <v>803</v>
      </c>
      <c r="C57" s="273">
        <f ca="1">ROUND(C51/C52,3)</f>
        <v>0.47599999999999998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J53" sqref="J53"/>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4" customWidth="1"/>
    <col min="12" max="12" width="16.33203125" style="257" customWidth="1"/>
    <col min="13" max="13" width="13" style="257"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7"/>
  </cols>
  <sheetData>
    <row r="1" spans="1:37" s="292" customFormat="1" ht="21.6">
      <c r="A1" s="1371" t="s">
        <v>877</v>
      </c>
      <c r="B1" s="711"/>
      <c r="C1" s="1375" t="s">
        <v>3404</v>
      </c>
      <c r="D1" s="1358" t="s">
        <v>43</v>
      </c>
      <c r="E1" s="1359" t="s">
        <v>678</v>
      </c>
      <c r="F1" s="1058">
        <f ca="1">J53</f>
        <v>27.83</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59424</v>
      </c>
      <c r="C2" s="1383" t="s">
        <v>805</v>
      </c>
      <c r="D2" s="1383"/>
      <c r="E2" s="1384"/>
      <c r="F2" s="1385"/>
      <c r="G2" s="2702"/>
      <c r="H2" s="2691"/>
      <c r="I2" s="2691"/>
      <c r="J2" s="2691"/>
      <c r="K2" s="2692"/>
      <c r="L2" s="2691"/>
      <c r="M2" s="2691"/>
    </row>
    <row r="3" spans="1:37" ht="18" customHeight="1" thickBot="1">
      <c r="A3" s="1386" t="s">
        <v>806</v>
      </c>
      <c r="B3" s="1387">
        <f ca="1">IF(ISERROR(B2*10000/F43),0,ROUND(B2*10000/F43,0))</f>
        <v>18578</v>
      </c>
      <c r="C3" s="1383" t="s">
        <v>807</v>
      </c>
      <c r="D3" s="1383"/>
      <c r="E3" s="1384"/>
      <c r="F3" s="1385"/>
      <c r="G3" s="2702"/>
      <c r="H3" s="681" t="s">
        <v>876</v>
      </c>
      <c r="I3" s="1378"/>
      <c r="J3" s="1378"/>
      <c r="K3" s="1379"/>
      <c r="L3" s="1378"/>
      <c r="M3" s="1378"/>
    </row>
    <row r="4" spans="1:37" ht="18" customHeight="1">
      <c r="A4" s="294" t="s">
        <v>687</v>
      </c>
      <c r="B4" s="295" t="s">
        <v>688</v>
      </c>
      <c r="C4" s="295" t="s">
        <v>689</v>
      </c>
      <c r="D4" s="295" t="s">
        <v>690</v>
      </c>
      <c r="E4" s="296" t="s">
        <v>691</v>
      </c>
      <c r="F4" s="297"/>
      <c r="G4" s="1380"/>
      <c r="H4" s="294" t="s">
        <v>687</v>
      </c>
      <c r="I4" s="295" t="s">
        <v>688</v>
      </c>
      <c r="J4" s="295" t="s">
        <v>689</v>
      </c>
      <c r="K4" s="295" t="s">
        <v>690</v>
      </c>
      <c r="L4" s="296" t="s">
        <v>691</v>
      </c>
      <c r="M4" s="297"/>
    </row>
    <row r="5" spans="1:37" ht="18" customHeight="1">
      <c r="A5" s="298">
        <v>1</v>
      </c>
      <c r="B5" s="299" t="s">
        <v>692</v>
      </c>
      <c r="C5" s="1066">
        <f ca="1">C6+C10+C12</f>
        <v>3924</v>
      </c>
      <c r="D5" s="1360" t="s">
        <v>693</v>
      </c>
      <c r="E5" s="1067"/>
      <c r="F5" s="1068"/>
      <c r="G5" s="1380"/>
      <c r="H5" s="298">
        <v>1</v>
      </c>
      <c r="I5" s="299" t="s">
        <v>692</v>
      </c>
      <c r="J5" s="1066">
        <f ca="1">J6+J10+J12</f>
        <v>0</v>
      </c>
      <c r="K5" s="1360" t="s">
        <v>693</v>
      </c>
      <c r="L5" s="1067"/>
      <c r="M5" s="1068"/>
    </row>
    <row r="6" spans="1:37" ht="18" customHeight="1">
      <c r="A6" s="1065" t="s">
        <v>398</v>
      </c>
      <c r="B6" s="3682" t="s">
        <v>694</v>
      </c>
      <c r="C6" s="1070">
        <f ca="1">ROUND(F6*F8*F7*(1-F9)/10000,0)</f>
        <v>3919</v>
      </c>
      <c r="D6" s="154" t="s">
        <v>2109</v>
      </c>
      <c r="E6" s="301" t="s">
        <v>696</v>
      </c>
      <c r="F6" s="302">
        <f ca="1">INDIRECT("'数据-取费表'!u"&amp;$G$1)</f>
        <v>3.73</v>
      </c>
      <c r="G6" s="1380"/>
      <c r="H6" s="1065" t="s">
        <v>398</v>
      </c>
      <c r="I6" s="3682" t="s">
        <v>694</v>
      </c>
      <c r="J6" s="300">
        <f ca="1">ROUND(M6*M8*M7*(1-M9)/10000,0)</f>
        <v>0</v>
      </c>
      <c r="K6" s="154" t="s">
        <v>2108</v>
      </c>
      <c r="L6" s="301" t="s">
        <v>696</v>
      </c>
      <c r="M6" s="302">
        <f ca="1">INDIRECT("'数据-取费表'!z"&amp;$G$1)</f>
        <v>0</v>
      </c>
    </row>
    <row r="7" spans="1:37" ht="18" customHeight="1">
      <c r="A7" s="1069"/>
      <c r="B7" s="3683"/>
      <c r="C7" s="1071"/>
      <c r="D7" s="306"/>
      <c r="E7" s="3467" t="s">
        <v>697</v>
      </c>
      <c r="F7" s="302">
        <f ca="1">IF(INDIRECT("'数据-取费表'!ah"&amp;$G$1)="",INDIRECT("'数据-取费表'!k"&amp;$G$1),INDIRECT("'数据-取费表'!ah"&amp;$G$1))</f>
        <v>31986.760000000002</v>
      </c>
      <c r="G7" s="1380"/>
      <c r="H7" s="303"/>
      <c r="I7" s="3683"/>
      <c r="J7" s="305"/>
      <c r="K7" s="306"/>
      <c r="L7" s="301" t="s">
        <v>697</v>
      </c>
      <c r="M7" s="302">
        <f ca="1">F7</f>
        <v>31986.760000000002</v>
      </c>
    </row>
    <row r="8" spans="1:37" ht="18" customHeight="1">
      <c r="A8" s="303"/>
      <c r="B8" s="3683"/>
      <c r="C8" s="305"/>
      <c r="D8" s="306"/>
      <c r="E8" s="301" t="s">
        <v>698</v>
      </c>
      <c r="F8" s="302">
        <f ca="1">INDIRECT("'数据-取费表'!ai"&amp;$G$1)</f>
        <v>365</v>
      </c>
      <c r="G8" s="1380"/>
      <c r="H8" s="303"/>
      <c r="I8" s="3683"/>
      <c r="J8" s="305"/>
      <c r="K8" s="306"/>
      <c r="L8" s="301" t="s">
        <v>698</v>
      </c>
      <c r="M8" s="302">
        <f ca="1">INDIRECT("'数据-取费表'!ai"&amp;$G$1)</f>
        <v>365</v>
      </c>
    </row>
    <row r="9" spans="1:37" ht="18" customHeight="1">
      <c r="A9" s="303"/>
      <c r="B9" s="3684"/>
      <c r="C9" s="305"/>
      <c r="D9" s="306"/>
      <c r="E9" s="301" t="s">
        <v>699</v>
      </c>
      <c r="F9" s="311">
        <f ca="1">INDIRECT("'数据-取费表'!w"&amp;$G$1)</f>
        <v>0.1</v>
      </c>
      <c r="G9" s="1380"/>
      <c r="H9" s="303"/>
      <c r="I9" s="3684"/>
      <c r="J9" s="305"/>
      <c r="K9" s="306"/>
      <c r="L9" s="312" t="s">
        <v>699</v>
      </c>
      <c r="M9" s="313">
        <f ca="1">INDIRECT("'数据-取费表'!ab"&amp;$G$1)</f>
        <v>0</v>
      </c>
    </row>
    <row r="10" spans="1:37" ht="18" customHeight="1">
      <c r="A10" s="1065" t="s">
        <v>402</v>
      </c>
      <c r="B10" s="1361" t="s">
        <v>700</v>
      </c>
      <c r="C10" s="315">
        <f ca="1">ROUND(IF(F10="押一",C6/12*F11,IF(F10="押二",C6/12*2*F11,IF(F10="押三",C6/12*3*F11,C11*F11))),0)</f>
        <v>5</v>
      </c>
      <c r="D10" s="1362" t="s">
        <v>2116</v>
      </c>
      <c r="E10" s="312" t="s">
        <v>701</v>
      </c>
      <c r="F10" s="1112" t="s">
        <v>3437</v>
      </c>
      <c r="G10" s="1380"/>
      <c r="H10" s="1065" t="s">
        <v>402</v>
      </c>
      <c r="I10" s="1361" t="s">
        <v>700</v>
      </c>
      <c r="J10" s="300">
        <f ca="1">ROUND(IF(M10="押一",J6/12*M11,IF(M10="押二",J6/12*2*M11,IF(M10="押三",J6/12*3*M11,J11*M11))),0)</f>
        <v>0</v>
      </c>
      <c r="K10" s="1362" t="s">
        <v>2116</v>
      </c>
      <c r="L10" s="312" t="s">
        <v>701</v>
      </c>
      <c r="M10" s="1112"/>
    </row>
    <row r="11" spans="1:37" ht="18" customHeight="1">
      <c r="A11" s="307"/>
      <c r="B11" s="1363" t="s">
        <v>679</v>
      </c>
      <c r="C11" s="955"/>
      <c r="D11" s="1364"/>
      <c r="E11" s="312" t="s">
        <v>702</v>
      </c>
      <c r="F11" s="313">
        <f ca="1">'数据-取费表'!B39</f>
        <v>1.4999999999999999E-2</v>
      </c>
      <c r="G11" s="1380"/>
      <c r="H11" s="1073"/>
      <c r="I11" s="1363" t="s">
        <v>679</v>
      </c>
      <c r="J11" s="955"/>
      <c r="K11" s="682"/>
      <c r="L11" s="312"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9">
        <f ca="1">ROUND(C29*F13,0)</f>
        <v>21258</v>
      </c>
      <c r="D13" s="3446" t="s">
        <v>705</v>
      </c>
      <c r="E13" s="3446" t="s">
        <v>706</v>
      </c>
      <c r="F13" s="1078">
        <f ca="1">INDIRECT("'数据-取费表'!y"&amp;$G$1)</f>
        <v>0.93</v>
      </c>
      <c r="G13" s="1380"/>
      <c r="H13" s="1075">
        <v>2</v>
      </c>
      <c r="I13" s="1076" t="s">
        <v>704</v>
      </c>
      <c r="J13" s="1064">
        <f ca="1">ROUND(J14*J15,0)</f>
        <v>0</v>
      </c>
      <c r="K13" s="1083" t="s">
        <v>705</v>
      </c>
      <c r="L13" s="1388"/>
      <c r="M13" s="1389"/>
    </row>
    <row r="14" spans="1:37" ht="18" customHeight="1">
      <c r="A14" s="978" t="s">
        <v>397</v>
      </c>
      <c r="B14" s="301" t="s">
        <v>707</v>
      </c>
      <c r="C14" s="317">
        <f ca="1">INDIRECT("'数据-取费表'!m"&amp;$G$1)+INDIRECT("'数据-取费表'!t"&amp;$G$1)</f>
        <v>14394</v>
      </c>
      <c r="D14" s="3456" t="s">
        <v>708</v>
      </c>
      <c r="E14" s="3449"/>
      <c r="F14" s="318"/>
      <c r="G14" s="1380"/>
      <c r="H14" s="978" t="s">
        <v>398</v>
      </c>
      <c r="I14" s="301" t="s">
        <v>709</v>
      </c>
      <c r="J14" s="21">
        <f ca="1">C29</f>
        <v>22858</v>
      </c>
      <c r="K14" s="3465"/>
      <c r="L14" s="803"/>
      <c r="M14" s="804"/>
    </row>
    <row r="15" spans="1:37" s="1393" customFormat="1" ht="18" customHeight="1" thickBot="1">
      <c r="A15" s="978" t="s">
        <v>399</v>
      </c>
      <c r="B15" s="301" t="s">
        <v>710</v>
      </c>
      <c r="C15" s="21">
        <f ca="1">ROUND(C14*F15,0)</f>
        <v>720</v>
      </c>
      <c r="D15" s="3447" t="s">
        <v>711</v>
      </c>
      <c r="E15" s="3447" t="s">
        <v>712</v>
      </c>
      <c r="F15" s="320">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1" t="s">
        <v>713</v>
      </c>
      <c r="C16" s="21">
        <f ca="1">ROUND(INDIRECT("'数据-取费表'!m"&amp;$G$1)*F16,0)</f>
        <v>0</v>
      </c>
      <c r="D16" s="301" t="s">
        <v>711</v>
      </c>
      <c r="E16" s="301" t="s">
        <v>712</v>
      </c>
      <c r="F16" s="321">
        <f ca="1">IF(INDIRECT("'数据-取费表'!c"&amp;$G$1)="住宅",'数据-取费表'!B34,0)</f>
        <v>0</v>
      </c>
      <c r="G16" s="1380"/>
      <c r="H16" s="1075" t="s">
        <v>393</v>
      </c>
      <c r="I16" s="1076" t="s">
        <v>714</v>
      </c>
      <c r="J16" s="309">
        <f ca="1">ROUND(J17+J22+J23+J24,0)</f>
        <v>230</v>
      </c>
      <c r="K16" s="1083" t="s">
        <v>715</v>
      </c>
      <c r="L16" s="3459"/>
      <c r="M16" s="1068"/>
    </row>
    <row r="17" spans="1:37" s="1393" customFormat="1" ht="18" customHeight="1">
      <c r="A17" s="978" t="s">
        <v>681</v>
      </c>
      <c r="B17" s="301" t="s">
        <v>716</v>
      </c>
      <c r="C17" s="21">
        <f ca="1">ROUND(F17*(F43+INDIRECT("'数据-取费表'!S"&amp;$G$1))/10000,0)</f>
        <v>640</v>
      </c>
      <c r="D17" s="301" t="s">
        <v>717</v>
      </c>
      <c r="E17" s="301" t="s">
        <v>718</v>
      </c>
      <c r="F17" s="23">
        <f>'数据-取费表'!B35</f>
        <v>200</v>
      </c>
      <c r="G17" s="1392"/>
      <c r="H17" s="978" t="s">
        <v>398</v>
      </c>
      <c r="I17" s="301" t="s">
        <v>719</v>
      </c>
      <c r="J17" s="2312">
        <f ca="1">ROUND(IF(AND(项目基本情况!B11="自然人",项目基本情况!B10="北京市"),J6*M17/(1+'数据-取费表'!C42),J18+J19+J20),2)</f>
        <v>1.21</v>
      </c>
      <c r="K17" s="3456" t="s">
        <v>720</v>
      </c>
      <c r="L17" s="3454"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1" t="s">
        <v>722</v>
      </c>
      <c r="C18" s="21">
        <f ca="1">ROUND(C14*F18,0)</f>
        <v>216</v>
      </c>
      <c r="D18" s="301" t="s">
        <v>711</v>
      </c>
      <c r="E18" s="301" t="s">
        <v>712</v>
      </c>
      <c r="F18" s="321">
        <f>'数据-取费表'!B36</f>
        <v>1.4999999999999999E-2</v>
      </c>
      <c r="G18" s="1392"/>
      <c r="H18" s="978" t="s">
        <v>397</v>
      </c>
      <c r="I18" s="301" t="s">
        <v>723</v>
      </c>
      <c r="J18" s="21">
        <f ca="1">ROUND(J6*M18/(1+'数据-取费表'!C42),2)</f>
        <v>0</v>
      </c>
      <c r="K18" s="3454" t="s">
        <v>724</v>
      </c>
      <c r="L18" s="301" t="s">
        <v>712</v>
      </c>
      <c r="M18" s="321">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1" t="s">
        <v>725</v>
      </c>
      <c r="C19" s="21">
        <f ca="1">SUM(C14:C18)</f>
        <v>15970</v>
      </c>
      <c r="D19" s="130" t="s">
        <v>726</v>
      </c>
      <c r="E19" s="3469"/>
      <c r="F19" s="23"/>
      <c r="G19" s="1380"/>
      <c r="H19" s="978" t="s">
        <v>399</v>
      </c>
      <c r="I19" s="301" t="s">
        <v>727</v>
      </c>
      <c r="J19" s="21">
        <f ca="1">IF(K19="按租金收入计税",ROUND(J6*M19/(1+'数据-取费表'!C42),2),ROUND(C29*M19*0.7,2))</f>
        <v>0</v>
      </c>
      <c r="K19" s="1366" t="s">
        <v>3342</v>
      </c>
      <c r="L19" s="301" t="s">
        <v>712</v>
      </c>
      <c r="M19" s="321">
        <f>IF(K19="按租金收入计税",'数据-取费表'!B51,'数据-取费表'!B50)</f>
        <v>0.12</v>
      </c>
    </row>
    <row r="20" spans="1:37" s="1393" customFormat="1" ht="18" customHeight="1">
      <c r="A20" s="978" t="s">
        <v>402</v>
      </c>
      <c r="B20" s="301" t="s">
        <v>728</v>
      </c>
      <c r="C20" s="21">
        <f ca="1">ROUND(C19*F20,0)</f>
        <v>479</v>
      </c>
      <c r="D20" s="2424" t="s">
        <v>729</v>
      </c>
      <c r="E20" s="301" t="s">
        <v>712</v>
      </c>
      <c r="F20" s="321">
        <f>'数据-取费表'!B37</f>
        <v>0.03</v>
      </c>
      <c r="G20" s="1392"/>
      <c r="H20" s="978" t="s">
        <v>680</v>
      </c>
      <c r="I20" s="154" t="s">
        <v>730</v>
      </c>
      <c r="J20" s="22">
        <f ca="1">ROUND(M20*M21/10000,2)</f>
        <v>1.21</v>
      </c>
      <c r="K20" s="323" t="s">
        <v>731</v>
      </c>
      <c r="L20" s="301" t="s">
        <v>732</v>
      </c>
      <c r="M20" s="324">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1" t="s">
        <v>733</v>
      </c>
      <c r="C21" s="21" t="s">
        <v>15</v>
      </c>
      <c r="D21" s="2424" t="s">
        <v>734</v>
      </c>
      <c r="E21" s="301" t="s">
        <v>735</v>
      </c>
      <c r="F21" s="321">
        <f>'数据-取费表'!B38</f>
        <v>0.03</v>
      </c>
      <c r="G21" s="1392"/>
      <c r="H21" s="325"/>
      <c r="I21" s="310"/>
      <c r="J21" s="26"/>
      <c r="K21" s="326"/>
      <c r="L21" s="301" t="s">
        <v>736</v>
      </c>
      <c r="M21" s="302">
        <f ca="1">INDIRECT("'数据-取费表'!r"&amp;$G$1)</f>
        <v>4042.34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3469"/>
      <c r="F22" s="23"/>
      <c r="G22" s="1380"/>
      <c r="H22" s="978" t="s">
        <v>402</v>
      </c>
      <c r="I22" s="301" t="s">
        <v>738</v>
      </c>
      <c r="J22" s="21">
        <f ca="1">ROUND(J14*M22,2)</f>
        <v>228.58</v>
      </c>
      <c r="K22" s="3454" t="s">
        <v>739</v>
      </c>
      <c r="L22" s="301" t="s">
        <v>712</v>
      </c>
      <c r="M22" s="327">
        <f ca="1">INDIRECT("'数据-取费表'!Ak"&amp;$G$1)</f>
        <v>0.01</v>
      </c>
    </row>
    <row r="23" spans="1:37" s="1393" customFormat="1" ht="18" customHeight="1">
      <c r="A23" s="978" t="s">
        <v>397</v>
      </c>
      <c r="B23" s="301" t="s">
        <v>740</v>
      </c>
      <c r="C23" s="21">
        <f ca="1">IF('数据-取费表'!B22&lt;=1,ROUND(C19*F24*F23/2,0)+ROUND(C20*F24*F23/2,0),ROUND(C19*(POWER((1+F24),F23/2)-1),0)+ROUND(C20*(POWER((1+F24),F23/2)-1),0))</f>
        <v>1034</v>
      </c>
      <c r="D23" s="328" t="str">
        <f>IF(F23&lt;=1,"(建造成本+管理费用)×利率×(建设周期÷2)","(建造成本+管理费用)×((1+利率)^(建设周期÷2)-1)")</f>
        <v>(建造成本+管理费用)×((1+利率)^(建设周期÷2)-1)</v>
      </c>
      <c r="E23" s="301" t="s">
        <v>741</v>
      </c>
      <c r="F23" s="324">
        <f>'数据-取费表'!B20</f>
        <v>3</v>
      </c>
      <c r="G23" s="1392"/>
      <c r="H23" s="978" t="s">
        <v>437</v>
      </c>
      <c r="I23" s="301" t="s">
        <v>742</v>
      </c>
      <c r="J23" s="21">
        <f ca="1">ROUND(J13*M23,2)</f>
        <v>0</v>
      </c>
      <c r="K23" s="3454" t="s">
        <v>743</v>
      </c>
      <c r="L23" s="301" t="s">
        <v>744</v>
      </c>
      <c r="M23" s="329">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1" t="s">
        <v>746</v>
      </c>
      <c r="C24" s="21">
        <f ca="1">ROUND(IF('数据-取费表'!B22&lt;=1,F21*F24*F23/2,F21*(POWER((1+F24),F23/2)-1)),4)</f>
        <v>1.9E-3</v>
      </c>
      <c r="D24" s="328" t="str">
        <f>IF(F23&lt;=1,"销售费用×利率×(建设周期÷2)","销售费用×((1+利率)^(建设周期÷2)-1)")</f>
        <v>销售费用×((1+利率)^(建设周期÷2)-1)</v>
      </c>
      <c r="E24" s="301" t="s">
        <v>747</v>
      </c>
      <c r="F24" s="330">
        <f ca="1">'数据-取费表'!B40</f>
        <v>4.1499999999999995E-2</v>
      </c>
      <c r="G24" s="1392"/>
      <c r="H24" s="1085" t="s">
        <v>683</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1" t="s">
        <v>750</v>
      </c>
      <c r="C25" s="21"/>
      <c r="D25" s="130" t="s">
        <v>751</v>
      </c>
      <c r="E25" s="3469"/>
      <c r="F25" s="23"/>
      <c r="G25" s="1380"/>
      <c r="H25" s="1075" t="s">
        <v>394</v>
      </c>
      <c r="I25" s="1090" t="s">
        <v>752</v>
      </c>
      <c r="J25" s="309">
        <f ca="1">J5-J16</f>
        <v>-230</v>
      </c>
      <c r="K25" s="1091" t="s">
        <v>753</v>
      </c>
      <c r="L25" s="1092"/>
      <c r="M25" s="1093"/>
    </row>
    <row r="26" spans="1:37">
      <c r="A26" s="978" t="s">
        <v>397</v>
      </c>
      <c r="B26" s="301" t="s">
        <v>754</v>
      </c>
      <c r="C26" s="21">
        <f ca="1">ROUND((C19+C20)*F26,0)</f>
        <v>3290</v>
      </c>
      <c r="D26" s="2424" t="s">
        <v>755</v>
      </c>
      <c r="E26" s="312" t="s">
        <v>756</v>
      </c>
      <c r="F26" s="311">
        <f ca="1">INDIRECT("'数据-取费表'!q"&amp;$G$1)</f>
        <v>0.2</v>
      </c>
      <c r="G26" s="1380"/>
      <c r="H26" s="298" t="s">
        <v>395</v>
      </c>
      <c r="I26" s="299" t="s">
        <v>757</v>
      </c>
      <c r="J26" s="300">
        <f ca="1">IF(J5&lt;&gt;0,ROUND(J25*(1-((1+M28)/(1+M26))^M27)/(M26-M28),0),0)</f>
        <v>0</v>
      </c>
      <c r="K26" s="323" t="s">
        <v>758</v>
      </c>
      <c r="L26" s="301" t="s">
        <v>759</v>
      </c>
      <c r="M26" s="311">
        <f ca="1">INDIRECT("'数据-取费表'!I"&amp;$G$1)</f>
        <v>5.5E-2</v>
      </c>
    </row>
    <row r="27" spans="1:37" ht="18" customHeight="1">
      <c r="A27" s="978" t="s">
        <v>399</v>
      </c>
      <c r="B27" s="301" t="s">
        <v>760</v>
      </c>
      <c r="C27" s="21">
        <f ca="1">ROUND(F21*F26,4)</f>
        <v>6.0000000000000001E-3</v>
      </c>
      <c r="D27" s="2424" t="s">
        <v>761</v>
      </c>
      <c r="E27" s="3447"/>
      <c r="F27" s="320"/>
      <c r="G27" s="1380"/>
      <c r="H27" s="303"/>
      <c r="I27" s="304"/>
      <c r="J27" s="305"/>
      <c r="K27" s="331" t="s">
        <v>762</v>
      </c>
      <c r="L27" s="301" t="s">
        <v>763</v>
      </c>
      <c r="M27" s="332">
        <f ca="1">INDIRECT("'数据-取费表'!ag"&amp;$G$1)</f>
        <v>0</v>
      </c>
    </row>
    <row r="28" spans="1:37" s="1393" customFormat="1" ht="18" customHeight="1">
      <c r="A28" s="978" t="s">
        <v>400</v>
      </c>
      <c r="B28" s="301" t="s">
        <v>764</v>
      </c>
      <c r="C28" s="21">
        <f>ROUND(F28/(1+'数据-取费表'!C42),4)</f>
        <v>5.33E-2</v>
      </c>
      <c r="D28" s="2424" t="s">
        <v>765</v>
      </c>
      <c r="E28" s="301" t="s">
        <v>712</v>
      </c>
      <c r="F28" s="321">
        <f>'数据-取费表'!B41</f>
        <v>5.6000000000000001E-2</v>
      </c>
      <c r="G28" s="1392"/>
      <c r="H28" s="307"/>
      <c r="I28" s="308"/>
      <c r="J28" s="309"/>
      <c r="K28" s="326"/>
      <c r="L28" s="301" t="s">
        <v>766</v>
      </c>
      <c r="M28" s="311">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22858</v>
      </c>
      <c r="D29" s="1088"/>
      <c r="E29" s="1086"/>
      <c r="F29" s="1089"/>
      <c r="G29" s="1392"/>
      <c r="H29" s="333" t="s">
        <v>396</v>
      </c>
      <c r="I29" s="334" t="s">
        <v>768</v>
      </c>
      <c r="J29" s="335">
        <f ca="1">ROUND(J26/(1+F40)^F41,0)</f>
        <v>0</v>
      </c>
      <c r="K29" s="336" t="s">
        <v>769</v>
      </c>
      <c r="L29" s="337"/>
      <c r="M29" s="338">
        <f ca="1">INDIRECT("'数据-取费表'!k"&amp;$G$1)</f>
        <v>31986.760000000002</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9">
        <f ca="1">ROUND(C31+C36+C37+C38,0)</f>
        <v>947</v>
      </c>
      <c r="D30" s="1083" t="s">
        <v>715</v>
      </c>
      <c r="E30" s="3459"/>
      <c r="F30" s="1068"/>
      <c r="G30" s="1380"/>
      <c r="H30" s="2693"/>
      <c r="I30" s="1394"/>
      <c r="J30" s="1395"/>
      <c r="K30" s="2471"/>
      <c r="L30" s="2694"/>
      <c r="M30" s="2695"/>
    </row>
    <row r="31" spans="1:37" ht="18" customHeight="1">
      <c r="A31" s="978" t="s">
        <v>398</v>
      </c>
      <c r="B31" s="301" t="s">
        <v>719</v>
      </c>
      <c r="C31" s="2312">
        <f ca="1">ROUND(IF(AND(项目基本情况!B11="自然人",项目基本情况!B10="北京市"),C6*F31/(1+'数据-取费表'!C42),C32+C33+C34),2)</f>
        <v>658.11</v>
      </c>
      <c r="D31" s="3456" t="s">
        <v>720</v>
      </c>
      <c r="E31" s="3454" t="s">
        <v>770</v>
      </c>
      <c r="F31" s="2311" t="str">
        <f>IF(项目基本情况!B11="企业","——",IF(M47="住宅",IF(F6*F7*F8/12/(1+'数据-取费表'!F30)&gt;100000,4%,2.5%),IF(F6*F7*F8/12/(1+'数据-取费表'!F30)&gt;100000,12%,7%)))</f>
        <v>——</v>
      </c>
      <c r="G31" s="1380"/>
      <c r="H31" s="2804" t="s">
        <v>2310</v>
      </c>
      <c r="I31" s="1394"/>
      <c r="J31" s="1395"/>
      <c r="K31" s="2471"/>
      <c r="L31" s="2694"/>
      <c r="M31" s="2695"/>
    </row>
    <row r="32" spans="1:37" ht="18" customHeight="1">
      <c r="A32" s="978" t="s">
        <v>397</v>
      </c>
      <c r="B32" s="301" t="s">
        <v>723</v>
      </c>
      <c r="C32" s="21">
        <f ca="1">IF(项目基本情况!B11="自然人","——",ROUND(C6*F32/(1+'数据-取费表'!C42),2))</f>
        <v>209.01</v>
      </c>
      <c r="D32" s="3454" t="s">
        <v>724</v>
      </c>
      <c r="E32" s="301" t="s">
        <v>712</v>
      </c>
      <c r="F32" s="330">
        <f>'数据-取费表'!B41</f>
        <v>5.6000000000000001E-2</v>
      </c>
      <c r="G32" s="1380"/>
      <c r="H32" s="2693"/>
      <c r="I32" s="1394"/>
      <c r="J32" s="1395"/>
      <c r="K32" s="2471"/>
      <c r="L32" s="2694"/>
      <c r="M32" s="2695"/>
    </row>
    <row r="33" spans="1:18" ht="18" customHeight="1">
      <c r="A33" s="978" t="s">
        <v>399</v>
      </c>
      <c r="B33" s="301" t="s">
        <v>727</v>
      </c>
      <c r="C33" s="21">
        <f ca="1">IF(项目基本情况!B11="自然人","——",IF(D33="按租金收入计税",ROUND(C6*F33/(1+'数据-取费表'!C42),2),IF(D33="按房产原值计税",ROUND(C29*F33*0.7,2),INDIRECT("'数据-取费表'!Aj"&amp;$G$1))))</f>
        <v>447.89</v>
      </c>
      <c r="D33" s="1366" t="s">
        <v>3342</v>
      </c>
      <c r="E33" s="301" t="s">
        <v>712</v>
      </c>
      <c r="F33" s="321">
        <f>IF(D33="按票据","——",IF(D33="按租金收入计税",'数据-取费表'!B51,'数据-取费表'!B50))</f>
        <v>0.12</v>
      </c>
      <c r="G33" s="1380"/>
      <c r="H33" s="2696"/>
      <c r="I33" s="1394"/>
      <c r="J33" s="1395"/>
      <c r="K33" s="2697"/>
      <c r="L33" s="2696"/>
      <c r="M33" s="2696"/>
    </row>
    <row r="34" spans="1:18" ht="18" customHeight="1">
      <c r="A34" s="1065" t="s">
        <v>680</v>
      </c>
      <c r="B34" s="154" t="s">
        <v>730</v>
      </c>
      <c r="C34" s="22">
        <f ca="1">IF(项目基本情况!B11="自然人","——",ROUND(F34*F35/10000,2))</f>
        <v>1.21</v>
      </c>
      <c r="D34" s="323" t="s">
        <v>731</v>
      </c>
      <c r="E34" s="301" t="s">
        <v>732</v>
      </c>
      <c r="F34" s="324">
        <f>'数据-取费表'!B52</f>
        <v>3</v>
      </c>
      <c r="G34" s="1380"/>
      <c r="H34" s="2693"/>
      <c r="I34" s="1394"/>
      <c r="J34" s="1395"/>
      <c r="K34" s="2698"/>
      <c r="L34" s="2699"/>
      <c r="M34" s="2699"/>
    </row>
    <row r="35" spans="1:18" ht="18" customHeight="1">
      <c r="A35" s="1099"/>
      <c r="B35" s="1097"/>
      <c r="C35" s="26"/>
      <c r="D35" s="326"/>
      <c r="E35" s="301" t="s">
        <v>736</v>
      </c>
      <c r="F35" s="302">
        <f ca="1">INDIRECT("'数据-取费表'!r"&amp;$G$1)</f>
        <v>4042.34</v>
      </c>
      <c r="G35" s="1380"/>
      <c r="H35" s="2693"/>
      <c r="I35" s="1394"/>
      <c r="J35" s="1395"/>
      <c r="K35" s="2697"/>
      <c r="L35" s="2696"/>
      <c r="M35" s="2696"/>
    </row>
    <row r="36" spans="1:18" ht="18" customHeight="1">
      <c r="A36" s="1098" t="s">
        <v>402</v>
      </c>
      <c r="B36" s="301" t="s">
        <v>738</v>
      </c>
      <c r="C36" s="21">
        <f ca="1">ROUND(C29*F36,2)</f>
        <v>228.58</v>
      </c>
      <c r="D36" s="3454" t="s">
        <v>771</v>
      </c>
      <c r="E36" s="301" t="s">
        <v>712</v>
      </c>
      <c r="F36" s="327">
        <f ca="1">INDIRECT("'数据-取费表'!Ak"&amp;$G$1)</f>
        <v>0.01</v>
      </c>
      <c r="G36" s="1380"/>
      <c r="H36" s="2696"/>
      <c r="I36" s="1394"/>
      <c r="J36" s="1395"/>
      <c r="K36" s="2540"/>
      <c r="L36" s="2696"/>
      <c r="M36" s="2696"/>
    </row>
    <row r="37" spans="1:18" ht="18" customHeight="1">
      <c r="A37" s="978" t="s">
        <v>437</v>
      </c>
      <c r="B37" s="301" t="s">
        <v>742</v>
      </c>
      <c r="C37" s="21">
        <f ca="1">ROUND(C13*F37,2)</f>
        <v>21.26</v>
      </c>
      <c r="D37" s="3454" t="s">
        <v>743</v>
      </c>
      <c r="E37" s="301" t="s">
        <v>744</v>
      </c>
      <c r="F37" s="329">
        <f ca="1">INDIRECT("'数据-取费表'!Al"&amp;$G$1)</f>
        <v>1E-3</v>
      </c>
      <c r="G37" s="1380"/>
      <c r="H37" s="2696"/>
      <c r="I37" s="1394"/>
      <c r="J37" s="1395"/>
      <c r="K37" s="2540"/>
      <c r="L37" s="2696"/>
      <c r="M37" s="2696"/>
    </row>
    <row r="38" spans="1:18" ht="18" customHeight="1" thickBot="1">
      <c r="A38" s="1085" t="s">
        <v>683</v>
      </c>
      <c r="B38" s="1086" t="s">
        <v>728</v>
      </c>
      <c r="C38" s="1087">
        <f ca="1">ROUND(C5*F38,2)</f>
        <v>39.24</v>
      </c>
      <c r="D38" s="1088" t="s">
        <v>748</v>
      </c>
      <c r="E38" s="1086" t="s">
        <v>744</v>
      </c>
      <c r="F38" s="1082">
        <f ca="1">INDIRECT("'数据-取费表'!Am"&amp;$G$1)</f>
        <v>0.01</v>
      </c>
      <c r="G38" s="1380"/>
      <c r="H38" s="2696"/>
      <c r="I38" s="1394"/>
      <c r="J38" s="1395"/>
      <c r="K38" s="2700"/>
      <c r="L38" s="2696"/>
      <c r="M38" s="2696"/>
    </row>
    <row r="39" spans="1:18" ht="24.6" customHeight="1" thickTop="1">
      <c r="A39" s="1075" t="s">
        <v>394</v>
      </c>
      <c r="B39" s="1090" t="s">
        <v>772</v>
      </c>
      <c r="C39" s="309">
        <f ca="1">C5-C30</f>
        <v>2977</v>
      </c>
      <c r="D39" s="1091" t="s">
        <v>773</v>
      </c>
      <c r="E39" s="1092"/>
      <c r="F39" s="1093"/>
      <c r="G39" s="1380"/>
      <c r="H39" s="2696"/>
      <c r="I39" s="1394"/>
      <c r="J39" s="1395"/>
      <c r="K39" s="2700"/>
      <c r="L39" s="2696"/>
      <c r="M39" s="2696"/>
    </row>
    <row r="40" spans="1:18" ht="18" customHeight="1">
      <c r="A40" s="298" t="s">
        <v>395</v>
      </c>
      <c r="B40" s="299" t="s">
        <v>774</v>
      </c>
      <c r="C40" s="300">
        <f ca="1">ROUND(C39*(1-((1+F42)/(1+F40))^F41)/(F40-F42),0)</f>
        <v>57988</v>
      </c>
      <c r="D40" s="323" t="s">
        <v>758</v>
      </c>
      <c r="E40" s="301" t="s">
        <v>759</v>
      </c>
      <c r="F40" s="311">
        <f ca="1">INDIRECT("'数据-取费表'!I"&amp;$G$1)</f>
        <v>5.5E-2</v>
      </c>
      <c r="G40" s="1380"/>
      <c r="H40" s="1457"/>
      <c r="I40" s="1394"/>
      <c r="J40" s="1395"/>
      <c r="K40" s="2700"/>
      <c r="L40" s="1457"/>
      <c r="M40" s="1457"/>
    </row>
    <row r="41" spans="1:18" ht="18" customHeight="1">
      <c r="A41" s="303"/>
      <c r="B41" s="304"/>
      <c r="C41" s="305"/>
      <c r="D41" s="331" t="s">
        <v>775</v>
      </c>
      <c r="E41" s="301" t="s">
        <v>763</v>
      </c>
      <c r="F41" s="332">
        <f ca="1">IF(INDIRECT("'数据-取费表'!af"&amp;$G$1)=0,INDIRECT("'数据-取费表'!ae"&amp;$G$1),INDIRECT("'数据-取费表'!af"&amp;$G$1))</f>
        <v>27.83</v>
      </c>
      <c r="G41" s="1380"/>
      <c r="H41" s="1187"/>
      <c r="I41" s="1394"/>
      <c r="J41" s="1395"/>
      <c r="K41" s="2540"/>
      <c r="L41" s="1187"/>
      <c r="M41" s="1187"/>
    </row>
    <row r="42" spans="1:18" ht="18" customHeight="1">
      <c r="A42" s="307"/>
      <c r="B42" s="308"/>
      <c r="C42" s="309"/>
      <c r="D42" s="326"/>
      <c r="E42" s="301" t="s">
        <v>766</v>
      </c>
      <c r="F42" s="311">
        <f ca="1">INDIRECT("'数据-取费表'!v"&amp;$G$1)</f>
        <v>0.03</v>
      </c>
      <c r="G42" s="1380"/>
      <c r="H42" s="1187"/>
      <c r="I42" s="1394"/>
      <c r="J42" s="1395"/>
      <c r="K42" s="2540"/>
      <c r="L42" s="1187"/>
      <c r="M42" s="1187"/>
    </row>
    <row r="43" spans="1:18" ht="18" customHeight="1" thickBot="1">
      <c r="A43" s="333" t="s">
        <v>396</v>
      </c>
      <c r="B43" s="334" t="s">
        <v>776</v>
      </c>
      <c r="C43" s="335">
        <f ca="1">ROUND(C40*10000/F43,0)</f>
        <v>18129</v>
      </c>
      <c r="D43" s="336" t="s">
        <v>777</v>
      </c>
      <c r="E43" s="337" t="s">
        <v>778</v>
      </c>
      <c r="F43" s="338">
        <f ca="1">INDIRECT("'数据-取费表'!k"&amp;$G$1)</f>
        <v>31986.760000000002</v>
      </c>
      <c r="G43" s="1380"/>
      <c r="H43" s="1187"/>
      <c r="I43" s="1187"/>
      <c r="J43" s="1187"/>
      <c r="K43" s="2540"/>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8" thickBot="1">
      <c r="A46" s="1400" t="s">
        <v>809</v>
      </c>
      <c r="C46" s="1401">
        <f ca="1">C68-C40</f>
        <v>-61523</v>
      </c>
      <c r="D46" s="1402" t="str">
        <f>C2</f>
        <v>万元</v>
      </c>
      <c r="E46" s="1396"/>
      <c r="F46" s="1396"/>
      <c r="I46" s="1403" t="s">
        <v>810</v>
      </c>
      <c r="J46" s="1404"/>
      <c r="K46" s="1405"/>
      <c r="L46" s="1406">
        <f ca="1">IF(M47="住宅",0,IF(L48&gt;J51,L60,J60))</f>
        <v>1436</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t="s">
        <v>3434</v>
      </c>
      <c r="K47" s="1412" t="s">
        <v>816</v>
      </c>
      <c r="L47" s="1413">
        <f ca="1">INDIRECT("'数据-取费表'!d"&amp;$G$1)</f>
        <v>40</v>
      </c>
      <c r="M47" s="1376" t="str">
        <f>IF(ISNUMBER(FIND("住宅",C1)),"住宅","非住宅")</f>
        <v>非住宅</v>
      </c>
      <c r="O47" s="1414" t="s">
        <v>403</v>
      </c>
      <c r="P47" s="1415" t="s">
        <v>817</v>
      </c>
      <c r="Q47" s="1416">
        <f ca="1">C40+J29</f>
        <v>57988</v>
      </c>
      <c r="R47" s="1416" t="s">
        <v>818</v>
      </c>
    </row>
    <row r="48" spans="1:18" s="1380" customFormat="1" ht="40.200000000000003" thickBot="1">
      <c r="A48" s="1106" t="s">
        <v>438</v>
      </c>
      <c r="B48" s="299" t="s">
        <v>692</v>
      </c>
      <c r="C48" s="3468">
        <f ca="1">C49+C53+C55</f>
        <v>0</v>
      </c>
      <c r="D48" s="1108"/>
      <c r="E48" s="1109"/>
      <c r="F48" s="958"/>
      <c r="G48" s="720"/>
      <c r="H48" s="721"/>
      <c r="I48" s="1417" t="s">
        <v>819</v>
      </c>
      <c r="J48" s="1418" t="s">
        <v>3435</v>
      </c>
      <c r="K48" s="1419" t="s">
        <v>820</v>
      </c>
      <c r="L48" s="1420">
        <f ca="1">INDIRECT("'数据-取费表'!f"&amp;$G$1)</f>
        <v>27.83</v>
      </c>
      <c r="O48" s="1414" t="s">
        <v>404</v>
      </c>
      <c r="P48" s="1415" t="s">
        <v>821</v>
      </c>
      <c r="Q48" s="1416">
        <f ca="1">J60</f>
        <v>1436</v>
      </c>
      <c r="R48" s="1416" t="s">
        <v>822</v>
      </c>
    </row>
    <row r="49" spans="1:18" s="1380" customFormat="1" ht="13.8" thickBot="1">
      <c r="A49" s="971" t="s">
        <v>439</v>
      </c>
      <c r="B49" s="1367" t="s">
        <v>779</v>
      </c>
      <c r="C49" s="1110">
        <f ca="1">ROUND(F49*F51*F50*(1-F52)/10000,0)</f>
        <v>0</v>
      </c>
      <c r="D49" s="1051" t="s">
        <v>2108</v>
      </c>
      <c r="E49" s="1368" t="s">
        <v>780</v>
      </c>
      <c r="F49" s="1056"/>
      <c r="G49" s="1421"/>
      <c r="H49" s="721"/>
      <c r="I49" s="1417" t="s">
        <v>823</v>
      </c>
      <c r="J49" s="1422">
        <v>2019</v>
      </c>
      <c r="K49" s="1419" t="s">
        <v>824</v>
      </c>
      <c r="L49" s="1423"/>
      <c r="O49" s="1424" t="s">
        <v>405</v>
      </c>
      <c r="P49" s="1415" t="s">
        <v>825</v>
      </c>
      <c r="Q49" s="1416">
        <f ca="1">C29</f>
        <v>22858</v>
      </c>
      <c r="R49" s="1416" t="s">
        <v>818</v>
      </c>
    </row>
    <row r="50" spans="1:18" s="1380" customFormat="1" ht="13.8" thickBot="1">
      <c r="A50" s="972"/>
      <c r="B50" s="975"/>
      <c r="C50" s="1114"/>
      <c r="D50" s="949"/>
      <c r="E50" s="1052" t="s">
        <v>697</v>
      </c>
      <c r="F50" s="1053">
        <f ca="1">F7</f>
        <v>31986.760000000002</v>
      </c>
      <c r="H50" s="721"/>
      <c r="I50" s="1417" t="s">
        <v>826</v>
      </c>
      <c r="J50" s="1425">
        <f>SUMPRODUCT((I63:I65=J47)*(J62:L62=J48)*(J63:L65))</f>
        <v>60</v>
      </c>
      <c r="K50" s="1419" t="s">
        <v>827</v>
      </c>
      <c r="L50" s="1423"/>
      <c r="M50" s="1426"/>
      <c r="O50" s="1424" t="s">
        <v>406</v>
      </c>
      <c r="P50" s="1415" t="s">
        <v>828</v>
      </c>
      <c r="Q50" s="1427">
        <f ca="1">J58</f>
        <v>0.47</v>
      </c>
      <c r="R50" s="1416"/>
    </row>
    <row r="51" spans="1:18" s="1380" customFormat="1" ht="13.8" thickBot="1">
      <c r="A51" s="973"/>
      <c r="B51" s="975"/>
      <c r="C51" s="976"/>
      <c r="D51" s="949"/>
      <c r="E51" s="977" t="s">
        <v>698</v>
      </c>
      <c r="F51" s="302">
        <f ca="1">F8</f>
        <v>365</v>
      </c>
      <c r="I51" s="1428" t="s">
        <v>829</v>
      </c>
      <c r="J51" s="1429">
        <f>IF(J49="",J50,J49+J50-YEAR('数据-取费表'!B2))</f>
        <v>56</v>
      </c>
      <c r="K51" s="1430" t="s">
        <v>830</v>
      </c>
      <c r="L51" s="1431">
        <f ca="1">ROUND(-PV(INDIRECT("'数据-取费表'!h"&amp;$G$1),J51,(C39-C13*C76),0),0)</f>
        <v>23885</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c r="O52" s="1424" t="s">
        <v>408</v>
      </c>
      <c r="P52" s="1415" t="s">
        <v>834</v>
      </c>
      <c r="Q52" s="1416">
        <f ca="1">J53</f>
        <v>27.83</v>
      </c>
      <c r="R52" s="1416" t="s">
        <v>835</v>
      </c>
    </row>
    <row r="53" spans="1:18" s="1380" customFormat="1" ht="36.6" thickBot="1">
      <c r="A53" s="1148" t="s">
        <v>440</v>
      </c>
      <c r="B53" s="1369" t="s">
        <v>700</v>
      </c>
      <c r="C53" s="315">
        <f ca="1">ROUND(IF(F53="押一",C49/12*F11,IF(F53="押二",C49/12*2*F11,IF(F53="押三",C49/12*3*F11,C54*F11))),0)</f>
        <v>0</v>
      </c>
      <c r="D53" s="1362" t="s">
        <v>2116</v>
      </c>
      <c r="E53" s="312" t="s">
        <v>701</v>
      </c>
      <c r="F53" s="1112"/>
      <c r="I53" s="1435" t="s">
        <v>836</v>
      </c>
      <c r="J53" s="2164">
        <f ca="1">IF(M47="住宅",IF(D1="——",MAX(J51,L48),MAX(J51,L48-'数据-取费表'!B24)),IF(D1="——",MIN(J51,L48),MIN(J51,L48-'数据-取费表'!B24)))</f>
        <v>27.83</v>
      </c>
      <c r="K53" s="3680" t="s">
        <v>837</v>
      </c>
      <c r="L53" s="3681"/>
      <c r="O53" s="1414" t="s">
        <v>409</v>
      </c>
      <c r="P53" s="1415" t="s">
        <v>838</v>
      </c>
      <c r="Q53" s="1416">
        <f ca="1">Q47+Q48</f>
        <v>59424</v>
      </c>
      <c r="R53" s="1416" t="s">
        <v>410</v>
      </c>
    </row>
    <row r="54" spans="1:18" s="1380" customFormat="1" ht="24.6" thickBot="1">
      <c r="A54" s="1149"/>
      <c r="B54" s="1363" t="s">
        <v>679</v>
      </c>
      <c r="C54" s="955"/>
      <c r="D54" s="1362"/>
      <c r="E54" s="346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3461"/>
      <c r="F55" s="1436"/>
      <c r="I55" s="1439" t="s">
        <v>840</v>
      </c>
      <c r="J55" s="1440">
        <f ca="1">ROUND(IF(J47="钢混",J57/J50,1-(1-2%)*(J50-J57)/J50),3)</f>
        <v>0.47</v>
      </c>
      <c r="K55" s="1441" t="s">
        <v>841</v>
      </c>
      <c r="L55" s="1442"/>
      <c r="O55" s="1407" t="s">
        <v>811</v>
      </c>
      <c r="P55" s="1408" t="s">
        <v>812</v>
      </c>
      <c r="Q55" s="1409" t="s">
        <v>813</v>
      </c>
      <c r="R55" s="1409" t="s">
        <v>814</v>
      </c>
    </row>
    <row r="56" spans="1:18" s="1380" customFormat="1" ht="37.200000000000003" thickTop="1" thickBot="1">
      <c r="A56" s="953">
        <v>2</v>
      </c>
      <c r="B56" s="954" t="s">
        <v>704</v>
      </c>
      <c r="C56" s="231">
        <f ca="1">C13</f>
        <v>21258</v>
      </c>
      <c r="D56" s="1443"/>
      <c r="E56" s="1444"/>
      <c r="F56" s="1436"/>
      <c r="I56" s="1445" t="s">
        <v>842</v>
      </c>
      <c r="J56" s="1446" t="s">
        <v>3436</v>
      </c>
      <c r="K56" s="1417" t="s">
        <v>843</v>
      </c>
      <c r="L56" s="1420" t="str">
        <f ca="1">IF(L48&lt;J51,"——",L48-J53)</f>
        <v>——</v>
      </c>
      <c r="O56" s="1414" t="s">
        <v>403</v>
      </c>
      <c r="P56" s="1415" t="s">
        <v>817</v>
      </c>
      <c r="Q56" s="1416">
        <f ca="1">C40+J29</f>
        <v>57988</v>
      </c>
      <c r="R56" s="1416" t="s">
        <v>818</v>
      </c>
    </row>
    <row r="57" spans="1:18" s="1380" customFormat="1" ht="24.6" thickBot="1">
      <c r="A57" s="1447"/>
      <c r="B57" s="946" t="s">
        <v>767</v>
      </c>
      <c r="C57" s="237">
        <f ca="1">C29</f>
        <v>22858</v>
      </c>
      <c r="D57" s="1448"/>
      <c r="E57" s="1449"/>
      <c r="F57" s="1450"/>
      <c r="I57" s="1451" t="s">
        <v>844</v>
      </c>
      <c r="J57" s="1452">
        <f ca="1">IF(OR(M47="住宅",J51&lt;L48,J56="是"),"——",J51-L48)</f>
        <v>28.17</v>
      </c>
      <c r="K57" s="1417" t="s">
        <v>845</v>
      </c>
      <c r="L57" s="1420" t="str">
        <f ca="1">IF(L48&lt;J51,"——",IF(L55="比较法",L49,IF(L55="基准地价",L50,L51)))</f>
        <v>——</v>
      </c>
      <c r="O57" s="1414" t="s">
        <v>404</v>
      </c>
      <c r="P57" s="1415" t="s">
        <v>846</v>
      </c>
      <c r="Q57" s="1416">
        <f ca="1">L60</f>
        <v>0</v>
      </c>
      <c r="R57" s="1416" t="s">
        <v>847</v>
      </c>
    </row>
    <row r="58" spans="1:18" s="1380" customFormat="1" ht="24.6" thickBot="1">
      <c r="A58" s="314" t="s">
        <v>393</v>
      </c>
      <c r="B58" s="954" t="s">
        <v>714</v>
      </c>
      <c r="C58" s="315">
        <f ca="1">ROUND(C59+C64+C65+C66,0)</f>
        <v>251</v>
      </c>
      <c r="D58" s="956" t="s">
        <v>715</v>
      </c>
      <c r="E58" s="957"/>
      <c r="F58" s="958"/>
      <c r="I58" s="1451" t="s">
        <v>848</v>
      </c>
      <c r="J58" s="1453">
        <f ca="1">IF(J55&lt;0.4,0.4,J55)</f>
        <v>0.47</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10743</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30">
        <f t="shared" ref="F60:F66" si="0">F32</f>
        <v>5.6000000000000001E-2</v>
      </c>
      <c r="I60" s="1454" t="s">
        <v>853</v>
      </c>
      <c r="J60" s="1455">
        <f ca="1">IF(OR(M47="住宅",J51&lt;L48,J56="是"),"0",ROUND(J59/(1+J52)^J53,0))</f>
        <v>1436</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IF(项目基本情况!B11="自然人","——",IF(D61="按租金收入计税",ROUND(C49*F61/(1+'数据-取费表'!C42),2),IF(D61="按房产原值计税",ROUND(C57*F61*0.7,2),INDIRECT("'数据-取费表'!Aj"&amp;$G$1))))</f>
        <v>0</v>
      </c>
      <c r="D61" s="1366" t="s">
        <v>3342</v>
      </c>
      <c r="E61" s="946" t="s">
        <v>783</v>
      </c>
      <c r="F61" s="321">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1.21</v>
      </c>
      <c r="D62" s="961" t="s">
        <v>786</v>
      </c>
      <c r="E62" s="946" t="s">
        <v>787</v>
      </c>
      <c r="F62" s="324">
        <f t="shared" si="0"/>
        <v>3</v>
      </c>
      <c r="I62" s="1458" t="s">
        <v>858</v>
      </c>
      <c r="J62" s="1459" t="s">
        <v>859</v>
      </c>
      <c r="K62" s="1459" t="s">
        <v>860</v>
      </c>
      <c r="L62" s="1459" t="s">
        <v>861</v>
      </c>
      <c r="M62" s="1460" t="s">
        <v>862</v>
      </c>
      <c r="O62" s="1414" t="s">
        <v>409</v>
      </c>
      <c r="P62" s="1415" t="s">
        <v>863</v>
      </c>
      <c r="Q62" s="1416">
        <f ca="1">Q56+Q57</f>
        <v>57988</v>
      </c>
      <c r="R62" s="1416" t="s">
        <v>410</v>
      </c>
    </row>
    <row r="63" spans="1:18" s="1380" customFormat="1" ht="13.8" thickBot="1">
      <c r="A63" s="325"/>
      <c r="B63" s="952"/>
      <c r="C63" s="26"/>
      <c r="D63" s="962"/>
      <c r="E63" s="946" t="s">
        <v>788</v>
      </c>
      <c r="F63" s="302">
        <f t="shared" ca="1" si="0"/>
        <v>4042.34</v>
      </c>
      <c r="I63" s="1458" t="s">
        <v>864</v>
      </c>
      <c r="J63" s="1459">
        <v>70</v>
      </c>
      <c r="K63" s="1459">
        <v>50</v>
      </c>
      <c r="L63" s="1459">
        <v>80</v>
      </c>
      <c r="M63" s="1461">
        <v>0.02</v>
      </c>
      <c r="O63" s="1399" t="s">
        <v>865</v>
      </c>
      <c r="P63" s="1377"/>
      <c r="Q63" s="1377"/>
      <c r="R63" s="1377"/>
    </row>
    <row r="64" spans="1:18" s="1380" customFormat="1" ht="13.8" thickBot="1">
      <c r="A64" s="978" t="s">
        <v>789</v>
      </c>
      <c r="B64" s="946" t="s">
        <v>738</v>
      </c>
      <c r="C64" s="21">
        <f ca="1">ROUND(C57*F64,2)</f>
        <v>228.58</v>
      </c>
      <c r="D64" s="960" t="s">
        <v>791</v>
      </c>
      <c r="E64" s="946" t="s">
        <v>783</v>
      </c>
      <c r="F64" s="327">
        <f t="shared" ca="1" si="0"/>
        <v>0.01</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21.26</v>
      </c>
      <c r="D65" s="960" t="s">
        <v>743</v>
      </c>
      <c r="E65" s="946" t="s">
        <v>744</v>
      </c>
      <c r="F65" s="329">
        <f t="shared" ca="1" si="0"/>
        <v>1E-3</v>
      </c>
      <c r="I65" s="1458" t="s">
        <v>867</v>
      </c>
      <c r="J65" s="1459">
        <v>40</v>
      </c>
      <c r="K65" s="1459">
        <v>30</v>
      </c>
      <c r="L65" s="1459">
        <v>50</v>
      </c>
      <c r="M65" s="1461">
        <v>0.02</v>
      </c>
      <c r="O65" s="1414" t="s">
        <v>403</v>
      </c>
      <c r="P65" s="1415" t="s">
        <v>868</v>
      </c>
      <c r="Q65" s="1416">
        <f ca="1">C40+J29</f>
        <v>57988</v>
      </c>
      <c r="R65" s="1416" t="s">
        <v>818</v>
      </c>
    </row>
    <row r="66" spans="1:18" s="1380" customFormat="1" ht="16.2" thickBot="1">
      <c r="A66" s="978" t="s">
        <v>793</v>
      </c>
      <c r="B66" s="946" t="s">
        <v>728</v>
      </c>
      <c r="C66" s="21">
        <f ca="1">ROUND(C48*F66,2)</f>
        <v>0</v>
      </c>
      <c r="D66" s="960" t="s">
        <v>794</v>
      </c>
      <c r="E66" s="946" t="s">
        <v>712</v>
      </c>
      <c r="F66" s="311">
        <f t="shared" ca="1" si="0"/>
        <v>0.01</v>
      </c>
      <c r="O66" s="1414" t="s">
        <v>404</v>
      </c>
      <c r="P66" s="1415" t="s">
        <v>846</v>
      </c>
      <c r="Q66" s="1416">
        <f ca="1">L60</f>
        <v>0</v>
      </c>
      <c r="R66" s="1416" t="s">
        <v>869</v>
      </c>
    </row>
    <row r="67" spans="1:18" s="1380" customFormat="1" ht="24.6" thickBot="1">
      <c r="A67" s="953" t="s">
        <v>394</v>
      </c>
      <c r="B67" s="963" t="s">
        <v>752</v>
      </c>
      <c r="C67" s="315">
        <f ca="1">C48-C58</f>
        <v>-251</v>
      </c>
      <c r="D67" s="959" t="s">
        <v>753</v>
      </c>
      <c r="E67" s="964"/>
      <c r="F67" s="965"/>
      <c r="O67" s="1424" t="s">
        <v>405</v>
      </c>
      <c r="P67" s="1415" t="s">
        <v>850</v>
      </c>
      <c r="Q67" s="1462">
        <f ca="1">L51</f>
        <v>23885</v>
      </c>
      <c r="R67" s="1416" t="s">
        <v>870</v>
      </c>
    </row>
    <row r="68" spans="1:18" s="1380" customFormat="1" ht="16.2" thickBot="1">
      <c r="A68" s="943" t="s">
        <v>395</v>
      </c>
      <c r="B68" s="944" t="s">
        <v>774</v>
      </c>
      <c r="C68" s="300">
        <f ca="1">ROUND(C67*(1-((1+F70)/(1+F68))^F69)/(F68-F70),0)</f>
        <v>-3535</v>
      </c>
      <c r="D68" s="961" t="s">
        <v>758</v>
      </c>
      <c r="E68" s="946" t="s">
        <v>759</v>
      </c>
      <c r="F68" s="311">
        <f ca="1">F40</f>
        <v>5.5E-2</v>
      </c>
      <c r="O68" s="1424" t="s">
        <v>406</v>
      </c>
      <c r="P68" s="1463" t="s">
        <v>871</v>
      </c>
      <c r="Q68" s="1416">
        <f ca="1">ROUND(Q69-Q70*Q71,0)</f>
        <v>1383</v>
      </c>
      <c r="R68" s="1416" t="s">
        <v>414</v>
      </c>
    </row>
    <row r="69" spans="1:18" s="1380" customFormat="1" ht="13.8" thickBot="1">
      <c r="A69" s="947"/>
      <c r="B69" s="948"/>
      <c r="C69" s="305"/>
      <c r="D69" s="966" t="s">
        <v>762</v>
      </c>
      <c r="E69" s="946" t="s">
        <v>763</v>
      </c>
      <c r="F69" s="332">
        <f ca="1">F41</f>
        <v>27.83</v>
      </c>
      <c r="O69" s="1424" t="s">
        <v>411</v>
      </c>
      <c r="P69" s="1463" t="s">
        <v>872</v>
      </c>
      <c r="Q69" s="1416">
        <f ca="1">C39</f>
        <v>2977</v>
      </c>
      <c r="R69" s="1416" t="s">
        <v>818</v>
      </c>
    </row>
    <row r="70" spans="1:18" s="1380" customFormat="1" ht="13.8" thickBot="1">
      <c r="A70" s="950"/>
      <c r="B70" s="951"/>
      <c r="C70" s="309"/>
      <c r="D70" s="962"/>
      <c r="E70" s="946" t="s">
        <v>766</v>
      </c>
      <c r="F70" s="1050"/>
      <c r="O70" s="1424" t="s">
        <v>412</v>
      </c>
      <c r="P70" s="1463" t="s">
        <v>873</v>
      </c>
      <c r="Q70" s="1416">
        <f ca="1">C13</f>
        <v>21258</v>
      </c>
      <c r="R70" s="1416" t="s">
        <v>818</v>
      </c>
    </row>
    <row r="71" spans="1:18" s="1380" customFormat="1" ht="13.8" thickBot="1">
      <c r="A71" s="967" t="s">
        <v>396</v>
      </c>
      <c r="B71" s="968" t="s">
        <v>776</v>
      </c>
      <c r="C71" s="335">
        <f ca="1">ROUND(C68*10000/F71,0)</f>
        <v>-1105</v>
      </c>
      <c r="D71" s="969" t="s">
        <v>777</v>
      </c>
      <c r="E71" s="970" t="s">
        <v>778</v>
      </c>
      <c r="F71" s="338">
        <f ca="1">F43</f>
        <v>31986.760000000002</v>
      </c>
      <c r="O71" s="1424" t="s">
        <v>413</v>
      </c>
      <c r="P71" s="1463" t="s">
        <v>874</v>
      </c>
      <c r="Q71" s="1427">
        <f ca="1">C76</f>
        <v>7.4999999999999997E-2</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2"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9" t="s">
        <v>795</v>
      </c>
      <c r="C75" s="340">
        <f ca="1">ROUND(C13*C76,0)</f>
        <v>1594</v>
      </c>
      <c r="D75" s="1380"/>
      <c r="E75" s="1380"/>
      <c r="F75" s="1380"/>
      <c r="K75" s="1398"/>
      <c r="L75" s="1380"/>
      <c r="O75" s="1414" t="s">
        <v>409</v>
      </c>
      <c r="P75" s="1415" t="s">
        <v>838</v>
      </c>
      <c r="Q75" s="1416">
        <f ca="1">Q65+Q66</f>
        <v>57988</v>
      </c>
      <c r="R75" s="1416" t="s">
        <v>410</v>
      </c>
    </row>
    <row r="76" spans="1:18">
      <c r="B76" s="341" t="s">
        <v>796</v>
      </c>
      <c r="C76" s="342">
        <f ca="1">INDIRECT("'数据-取费表'!j"&amp;$G$1)</f>
        <v>7.4999999999999997E-2</v>
      </c>
      <c r="I76" s="1380"/>
      <c r="J76" s="1380"/>
      <c r="K76" s="1398"/>
      <c r="L76" s="1380"/>
    </row>
    <row r="77" spans="1:18">
      <c r="B77" s="343" t="s">
        <v>797</v>
      </c>
      <c r="C77" s="344"/>
      <c r="I77" s="1380"/>
      <c r="J77" s="1380"/>
      <c r="K77" s="1398"/>
      <c r="L77" s="1380"/>
    </row>
    <row r="78" spans="1:18">
      <c r="B78" s="269" t="s">
        <v>798</v>
      </c>
      <c r="C78" s="345"/>
    </row>
    <row r="79" spans="1:18">
      <c r="B79" s="339" t="s">
        <v>799</v>
      </c>
      <c r="C79" s="273">
        <f ca="1">1-C80</f>
        <v>0.46499999999999997</v>
      </c>
    </row>
    <row r="80" spans="1:18">
      <c r="B80" s="339" t="s">
        <v>800</v>
      </c>
      <c r="C80" s="273">
        <f ca="1">ROUND(C75/C39,3)</f>
        <v>0.53500000000000003</v>
      </c>
    </row>
    <row r="81" spans="2:3">
      <c r="B81" s="269" t="s">
        <v>801</v>
      </c>
      <c r="C81" s="237"/>
    </row>
    <row r="82" spans="2:3">
      <c r="B82" s="272" t="s">
        <v>802</v>
      </c>
      <c r="C82" s="274">
        <f ca="1">1-C83</f>
        <v>0.63300000000000001</v>
      </c>
    </row>
    <row r="83" spans="2:3">
      <c r="B83" s="272" t="s">
        <v>803</v>
      </c>
      <c r="C83" s="273">
        <f ca="1">ROUND(C13/C40,3)</f>
        <v>0.36699999999999999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90" priority="4">
      <formula>$L$48&gt;$J$51</formula>
    </cfRule>
  </conditionalFormatting>
  <conditionalFormatting sqref="I55 I60">
    <cfRule type="expression" dxfId="189" priority="5">
      <formula>$J$51&gt;$L$48</formula>
    </cfRule>
  </conditionalFormatting>
  <conditionalFormatting sqref="C11">
    <cfRule type="expression" dxfId="188" priority="3">
      <formula>$F$10="自定义"</formula>
    </cfRule>
  </conditionalFormatting>
  <conditionalFormatting sqref="J11">
    <cfRule type="expression" dxfId="187" priority="2">
      <formula>$M$10="自定义"</formula>
    </cfRule>
  </conditionalFormatting>
  <conditionalFormatting sqref="C54">
    <cfRule type="expression" dxfId="18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D17" sqref="D17"/>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t="s">
        <v>3408</v>
      </c>
      <c r="D1" s="1743"/>
      <c r="E1" s="1743"/>
      <c r="F1" s="1745" t="s">
        <v>1263</v>
      </c>
      <c r="G1" s="1557"/>
      <c r="H1" s="1746" t="str">
        <f>IF(G1="现房","——","估价对象范围")</f>
        <v>估价对象范围</v>
      </c>
      <c r="I1" s="1747"/>
    </row>
    <row r="2" spans="1:12" ht="21.75" customHeight="1" thickBot="1">
      <c r="A2" s="3631" t="str">
        <f>项目基本情况!S2</f>
        <v>北京市房地产</v>
      </c>
      <c r="B2" s="3632"/>
      <c r="C2" s="3632"/>
      <c r="D2" s="3632"/>
      <c r="E2" s="3632"/>
      <c r="F2" s="3632"/>
      <c r="G2" s="3632"/>
      <c r="H2" s="3632"/>
      <c r="I2" s="3633"/>
    </row>
    <row r="3" spans="1:12" ht="13.2">
      <c r="A3" s="3635" t="s">
        <v>1264</v>
      </c>
      <c r="B3" s="3636"/>
      <c r="C3" s="3636"/>
      <c r="D3" s="3636"/>
      <c r="E3" s="3636"/>
      <c r="F3" s="3636"/>
      <c r="G3" s="3636"/>
      <c r="H3" s="3636"/>
      <c r="I3" s="3636"/>
    </row>
    <row r="4" spans="1:12" ht="14.4">
      <c r="A4" s="1750" t="s">
        <v>1265</v>
      </c>
      <c r="B4" s="1751" t="s">
        <v>1266</v>
      </c>
      <c r="C4" s="1752" t="s">
        <v>3423</v>
      </c>
      <c r="D4" s="1752" t="s">
        <v>3429</v>
      </c>
      <c r="E4" s="3640" t="s">
        <v>1267</v>
      </c>
      <c r="F4" s="3641"/>
      <c r="G4" s="3641"/>
      <c r="H4" s="3641"/>
      <c r="I4" s="3642"/>
      <c r="K4" s="145" t="str">
        <f>IF(ISNUMBER(FIND("比较法",'结果表-地下商业2'!C4)),"比较法",IF(ISNUMBER(FIND("成本法",'结果表-地下商业2'!C4)),"成本法",IF(ISNUMBER(FIND("假设开发法",'结果表-地下商业2'!C4)),"假设开发法",IF(ISNUMBER(FIND("收益法",'结果表-地下商业2'!C4)),"收益法","基准地价系数修正法"))))</f>
        <v>成本法</v>
      </c>
      <c r="L4" s="145" t="str">
        <f>IF(ISNUMBER(FIND("比较法",'结果表-地下商业2'!D4)),"比较法",IF(ISNUMBER(FIND("成本法",'结果表-地下商业2'!D4)),"成本法",IF(ISNUMBER(FIND("假设开发法",'结果表-地下商业2'!D4)),"假设开发法",IF(ISNUMBER(FIND("收益法",'结果表-地下商业2'!D4)),"收益法","基准地价系数修正法"))))</f>
        <v>收益法</v>
      </c>
    </row>
    <row r="5" spans="1:12" ht="13.2">
      <c r="A5" s="3579" t="s">
        <v>1268</v>
      </c>
      <c r="B5" s="3634">
        <v>25</v>
      </c>
      <c r="C5" s="3637"/>
      <c r="D5" s="3625"/>
      <c r="E5" s="130" t="s">
        <v>1269</v>
      </c>
      <c r="F5" s="1753"/>
      <c r="G5" s="1753"/>
      <c r="H5" s="1753"/>
      <c r="I5" s="1369"/>
    </row>
    <row r="6" spans="1:12" ht="13.2">
      <c r="A6" s="3579"/>
      <c r="B6" s="3634"/>
      <c r="C6" s="3639"/>
      <c r="D6" s="3625"/>
      <c r="E6" s="130" t="s">
        <v>1270</v>
      </c>
      <c r="F6" s="1753"/>
      <c r="G6" s="1753"/>
      <c r="H6" s="1753"/>
      <c r="I6" s="1369"/>
    </row>
    <row r="7" spans="1:12" ht="13.2">
      <c r="A7" s="3579"/>
      <c r="B7" s="3634"/>
      <c r="C7" s="3638"/>
      <c r="D7" s="3625"/>
      <c r="E7" s="130" t="s">
        <v>1271</v>
      </c>
      <c r="F7" s="1753"/>
      <c r="G7" s="1753"/>
      <c r="H7" s="1753"/>
      <c r="I7" s="1369"/>
    </row>
    <row r="8" spans="1:12" ht="13.2">
      <c r="A8" s="3579" t="s">
        <v>1272</v>
      </c>
      <c r="B8" s="3634">
        <v>15</v>
      </c>
      <c r="C8" s="3637"/>
      <c r="D8" s="3625"/>
      <c r="E8" s="130" t="s">
        <v>1273</v>
      </c>
      <c r="F8" s="1753"/>
      <c r="G8" s="1753"/>
      <c r="H8" s="1753"/>
      <c r="I8" s="1369"/>
    </row>
    <row r="9" spans="1:12" ht="13.2">
      <c r="A9" s="3579"/>
      <c r="B9" s="3634"/>
      <c r="C9" s="3638"/>
      <c r="D9" s="3625"/>
      <c r="E9" s="130" t="s">
        <v>1274</v>
      </c>
      <c r="F9" s="1753"/>
      <c r="G9" s="1753"/>
      <c r="H9" s="1753"/>
      <c r="I9" s="1369"/>
    </row>
    <row r="10" spans="1:12" ht="13.2">
      <c r="A10" s="3579" t="s">
        <v>1275</v>
      </c>
      <c r="B10" s="3634">
        <v>15</v>
      </c>
      <c r="C10" s="3637"/>
      <c r="D10" s="3625"/>
      <c r="E10" s="130" t="s">
        <v>1276</v>
      </c>
      <c r="F10" s="1753"/>
      <c r="G10" s="1753"/>
      <c r="H10" s="1753"/>
      <c r="I10" s="1369"/>
    </row>
    <row r="11" spans="1:12" ht="13.2">
      <c r="A11" s="3579"/>
      <c r="B11" s="3634"/>
      <c r="C11" s="3638"/>
      <c r="D11" s="3625"/>
      <c r="E11" s="130" t="s">
        <v>1277</v>
      </c>
      <c r="F11" s="1753"/>
      <c r="G11" s="1753"/>
      <c r="H11" s="1753"/>
      <c r="I11" s="1369"/>
    </row>
    <row r="12" spans="1:12" ht="13.2">
      <c r="A12" s="3579" t="s">
        <v>1278</v>
      </c>
      <c r="B12" s="3634">
        <v>15</v>
      </c>
      <c r="C12" s="3637"/>
      <c r="D12" s="3625"/>
      <c r="E12" s="130" t="s">
        <v>1279</v>
      </c>
      <c r="F12" s="1753"/>
      <c r="G12" s="1753"/>
      <c r="H12" s="1753"/>
      <c r="I12" s="1369"/>
    </row>
    <row r="13" spans="1:12" ht="13.2">
      <c r="A13" s="3579"/>
      <c r="B13" s="3634"/>
      <c r="C13" s="3638"/>
      <c r="D13" s="3625"/>
      <c r="E13" s="130" t="s">
        <v>1280</v>
      </c>
      <c r="F13" s="1753"/>
      <c r="G13" s="1753"/>
      <c r="H13" s="1753"/>
      <c r="I13" s="1369"/>
    </row>
    <row r="14" spans="1:12" ht="13.2">
      <c r="A14" s="3579" t="s">
        <v>1281</v>
      </c>
      <c r="B14" s="3634">
        <v>30</v>
      </c>
      <c r="C14" s="3637">
        <v>4</v>
      </c>
      <c r="D14" s="3625">
        <v>6</v>
      </c>
      <c r="E14" s="130" t="s">
        <v>1282</v>
      </c>
      <c r="F14" s="1753"/>
      <c r="G14" s="1753"/>
      <c r="H14" s="1753"/>
      <c r="I14" s="1369"/>
    </row>
    <row r="15" spans="1:12" ht="13.2">
      <c r="A15" s="3579"/>
      <c r="B15" s="3634"/>
      <c r="C15" s="3639"/>
      <c r="D15" s="3625"/>
      <c r="E15" s="130" t="s">
        <v>1283</v>
      </c>
      <c r="F15" s="1753"/>
      <c r="G15" s="1753"/>
      <c r="H15" s="1753"/>
      <c r="I15" s="1369"/>
    </row>
    <row r="16" spans="1:12" ht="13.2">
      <c r="A16" s="3579"/>
      <c r="B16" s="3634"/>
      <c r="C16" s="3638"/>
      <c r="D16" s="3625"/>
      <c r="E16" s="130" t="s">
        <v>1284</v>
      </c>
      <c r="F16" s="1753"/>
      <c r="G16" s="1753"/>
      <c r="H16" s="1753"/>
      <c r="I16" s="1369"/>
    </row>
    <row r="17" spans="1:36" ht="14.4">
      <c r="A17" s="1754" t="s">
        <v>1285</v>
      </c>
      <c r="B17" s="56"/>
      <c r="C17" s="131">
        <f>SUM(C5:C16)</f>
        <v>4</v>
      </c>
      <c r="D17" s="131">
        <f>SUM(D5:D16)</f>
        <v>6</v>
      </c>
      <c r="E17" s="128"/>
      <c r="F17" s="128"/>
      <c r="G17" s="128"/>
      <c r="H17" s="128"/>
      <c r="I17" s="128"/>
      <c r="K17" s="301"/>
      <c r="L17" s="301" t="s">
        <v>1286</v>
      </c>
      <c r="M17" s="301" t="s">
        <v>1287</v>
      </c>
    </row>
    <row r="18" spans="1:36" ht="31.95" customHeight="1" thickBot="1">
      <c r="A18" s="1755" t="s">
        <v>1288</v>
      </c>
      <c r="B18" s="1756"/>
      <c r="C18" s="132">
        <f>ROUND(C17/SUM(C17:D17),2)</f>
        <v>0.4</v>
      </c>
      <c r="D18" s="132">
        <f>1-C18</f>
        <v>0.6</v>
      </c>
      <c r="E18" s="3656" t="s">
        <v>2131</v>
      </c>
      <c r="F18" s="3657"/>
      <c r="G18" s="3657"/>
      <c r="H18" s="3657"/>
      <c r="I18" s="3657"/>
      <c r="K18" s="301" t="s">
        <v>1289</v>
      </c>
      <c r="L18" s="301">
        <f>IF(C1="",'数据-汇总表'!E3,SUMIF(项目类型,C1,'数据-汇总表'!E17:E26)+SUMIF(项目类型,C1,'数据-汇总表'!I17:I26))</f>
        <v>16756.23</v>
      </c>
      <c r="M18" s="301">
        <f>IF(C1="",'数据-汇总表'!E3,SUMIF(项目类型,C1,'数据-汇总表'!E17:E26))</f>
        <v>16756.23</v>
      </c>
    </row>
    <row r="19" spans="1:36" ht="14.4">
      <c r="A19" s="1757" t="s">
        <v>1290</v>
      </c>
      <c r="B19" s="1758" t="s">
        <v>1291</v>
      </c>
      <c r="C19" s="133">
        <f ca="1">SUMIF(INDIRECT("'"&amp;C4&amp;"'"&amp;"!A:A"),'结果表-地下商业2'!B19,INDIRECT("'"&amp;C4&amp;"'"&amp;"!B:B"))</f>
        <v>22609</v>
      </c>
      <c r="D19" s="134">
        <f ca="1">SUMIF(INDIRECT("'"&amp;D4&amp;"'"&amp;"!A:A"),'结果表-地下商业2'!B19,INDIRECT("'"&amp;D4&amp;"'"&amp;"!B:B"))</f>
        <v>29970</v>
      </c>
      <c r="E19" s="1757" t="s">
        <v>1292</v>
      </c>
      <c r="F19" s="1758" t="s">
        <v>1291</v>
      </c>
      <c r="G19" s="135">
        <f ca="1">ROUND(C19*$C$18+D19*$D$18,0)</f>
        <v>27026</v>
      </c>
      <c r="H19" s="1759" t="s">
        <v>1293</v>
      </c>
      <c r="I19" s="128"/>
      <c r="K19" s="301" t="s">
        <v>1294</v>
      </c>
      <c r="L19" s="301">
        <f>IF(C1="",'数据-汇总表'!D3,SUMIF(项目类型,C1,'数据-汇总表'!D17:D26)+SUMIF(项目类型,C1,'数据-汇总表'!H17:H27))</f>
        <v>2117.5700000000002</v>
      </c>
      <c r="M19" s="301">
        <f>IF(C1="",'数据-汇总表'!D3,SUMIF(项目类型,C1,'数据-汇总表'!D17:D26))</f>
        <v>2117.5700000000002</v>
      </c>
    </row>
    <row r="20" spans="1:36" ht="14.4">
      <c r="A20" s="1760"/>
      <c r="B20" s="1022" t="s">
        <v>1295</v>
      </c>
      <c r="C20" s="136">
        <f ca="1">SUMIF(INDIRECT("'"&amp;C4&amp;"'"&amp;"!A:A"),'结果表-地下商业2'!B20,INDIRECT("'"&amp;C4&amp;"'"&amp;"!B:B"))</f>
        <v>13493</v>
      </c>
      <c r="D20" s="137">
        <f ca="1">SUMIF(INDIRECT("'"&amp;D4&amp;"'"&amp;"!A:A"),'结果表-地下商业2'!B20,INDIRECT("'"&amp;D4&amp;"'"&amp;"!B:B"))</f>
        <v>17886</v>
      </c>
      <c r="E20" s="1760"/>
      <c r="F20" s="1022" t="s">
        <v>1295</v>
      </c>
      <c r="G20" s="138">
        <f ca="1">ROUND(C20*$C$18+D20*$D$18,0)</f>
        <v>16129</v>
      </c>
      <c r="H20" s="804" t="s">
        <v>1296</v>
      </c>
      <c r="I20" s="128"/>
    </row>
    <row r="21" spans="1:36" ht="15" customHeight="1" thickBot="1">
      <c r="A21" s="824"/>
      <c r="B21" s="1761" t="s">
        <v>1297</v>
      </c>
      <c r="C21" s="717">
        <f ca="1">ROUND(C19*10000/L19,0)</f>
        <v>106769</v>
      </c>
      <c r="D21" s="718">
        <f ca="1">ROUND(D19*10000/L19,0)</f>
        <v>141530</v>
      </c>
      <c r="E21" s="824"/>
      <c r="F21" s="1761" t="s">
        <v>1297</v>
      </c>
      <c r="G21" s="139">
        <f ca="1">ROUND(G19*10000/L19,0)</f>
        <v>127627</v>
      </c>
      <c r="H21" s="1762" t="s">
        <v>1296</v>
      </c>
      <c r="I21" s="128"/>
    </row>
    <row r="22" spans="1:36" ht="15" thickBot="1">
      <c r="A22" s="1684" t="s">
        <v>1298</v>
      </c>
      <c r="B22" s="1763"/>
      <c r="C22" s="1764"/>
      <c r="D22" s="719">
        <f ca="1">IF(C19&lt;D19,D19/C19-1,C19/D19-1)</f>
        <v>0.32557830952275646</v>
      </c>
      <c r="E22" s="128"/>
      <c r="F22" s="128"/>
      <c r="G22" s="128"/>
      <c r="H22" s="128"/>
      <c r="I22" s="128"/>
    </row>
    <row r="23" spans="1:36" ht="13.8" thickBot="1">
      <c r="A23" s="1743"/>
      <c r="B23" s="1743"/>
      <c r="C23" s="1743"/>
      <c r="D23" s="1743"/>
      <c r="E23" s="128"/>
      <c r="F23" s="128"/>
      <c r="G23" s="128"/>
      <c r="H23" s="128"/>
      <c r="I23" s="128"/>
    </row>
    <row r="24" spans="1:36" ht="14.4">
      <c r="A24" s="3649" t="s">
        <v>1299</v>
      </c>
      <c r="B24" s="1758" t="s">
        <v>1291</v>
      </c>
      <c r="C24" s="135">
        <f>IF(B30=0,0,D30)</f>
        <v>0</v>
      </c>
      <c r="D24" s="1765"/>
      <c r="E24" s="128"/>
      <c r="F24" s="128"/>
      <c r="G24" s="128"/>
      <c r="H24" s="128"/>
      <c r="I24" s="128"/>
    </row>
    <row r="25" spans="1:36" ht="14.4">
      <c r="A25" s="3650"/>
      <c r="B25" s="1022" t="s">
        <v>1295</v>
      </c>
      <c r="C25" s="140">
        <f>IF(B30=0,0,C30)</f>
        <v>0</v>
      </c>
      <c r="D25" s="1766"/>
      <c r="E25" s="128"/>
      <c r="F25" s="128"/>
      <c r="G25" s="128"/>
      <c r="H25" s="128"/>
      <c r="I25" s="128"/>
    </row>
    <row r="26" spans="1:36" ht="13.5" customHeight="1">
      <c r="A26" s="1767" t="s">
        <v>1300</v>
      </c>
      <c r="B26" s="141" t="s">
        <v>1301</v>
      </c>
      <c r="C26" s="141" t="s">
        <v>1302</v>
      </c>
      <c r="D26" s="142" t="s">
        <v>1303</v>
      </c>
      <c r="E26" s="128"/>
      <c r="F26" s="128"/>
      <c r="G26" s="128"/>
      <c r="H26" s="128"/>
      <c r="I26" s="128"/>
    </row>
    <row r="27" spans="1:36" ht="13.8">
      <c r="A27" s="1767"/>
      <c r="B27" s="141">
        <v>0</v>
      </c>
      <c r="C27" s="141">
        <v>0</v>
      </c>
      <c r="D27" s="142">
        <f>ROUND(C27*B27/10000,0)</f>
        <v>0</v>
      </c>
      <c r="E27" s="128"/>
      <c r="F27" s="128"/>
      <c r="G27" s="128"/>
      <c r="H27" s="128"/>
      <c r="I27" s="128"/>
    </row>
    <row r="28" spans="1:36" ht="13.8">
      <c r="A28" s="1767"/>
      <c r="B28" s="141"/>
      <c r="C28" s="141"/>
      <c r="D28" s="142"/>
      <c r="E28" s="128"/>
      <c r="F28" s="128"/>
      <c r="G28" s="128"/>
      <c r="H28" s="128"/>
      <c r="I28" s="128"/>
    </row>
    <row r="29" spans="1:36" ht="13.8">
      <c r="A29" s="1767"/>
      <c r="B29" s="141"/>
      <c r="C29" s="141"/>
      <c r="D29" s="142"/>
      <c r="E29" s="128"/>
      <c r="F29" s="128"/>
      <c r="G29" s="128"/>
      <c r="H29" s="128"/>
      <c r="I29" s="128"/>
    </row>
    <row r="30" spans="1:36" ht="15" thickBot="1">
      <c r="A30" s="141" t="s">
        <v>1304</v>
      </c>
      <c r="B30" s="141"/>
      <c r="C30" s="141"/>
      <c r="D30" s="141"/>
      <c r="E30" s="2299" t="s">
        <v>2132</v>
      </c>
      <c r="F30" s="128"/>
      <c r="G30" s="128"/>
      <c r="H30" s="128"/>
      <c r="I30" s="128"/>
    </row>
    <row r="31" spans="1:36" s="2305" customFormat="1" ht="26.4"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5.6" thickTop="1" thickBot="1">
      <c r="A32" s="1769" t="s">
        <v>1305</v>
      </c>
      <c r="B32" s="1770"/>
      <c r="C32" s="143">
        <f ca="1">IF(D32="总价",G19-C24,G20-C25)</f>
        <v>27026</v>
      </c>
      <c r="D32" s="1771" t="s">
        <v>3442</v>
      </c>
      <c r="E32" s="128"/>
      <c r="F32" s="128"/>
      <c r="G32" s="128"/>
      <c r="H32" s="128"/>
      <c r="I32" s="128"/>
    </row>
    <row r="33" spans="1:15" ht="14.4">
      <c r="A33" s="782" t="s">
        <v>1306</v>
      </c>
      <c r="B33" s="1772"/>
      <c r="C33" s="1773"/>
      <c r="D33" s="1774"/>
      <c r="E33" s="1775" t="s">
        <v>1307</v>
      </c>
      <c r="F33" s="1776" t="str">
        <f>IF(D32="楼面单价","取值（单价）","取值（总价）")</f>
        <v>取值（总价）</v>
      </c>
      <c r="G33" s="128"/>
      <c r="H33" s="128"/>
      <c r="I33" s="128"/>
    </row>
    <row r="34" spans="1:15" ht="14.4">
      <c r="A34" s="1777"/>
      <c r="B34" s="1778" t="s">
        <v>1308</v>
      </c>
      <c r="C34" s="147" t="e">
        <f ca="1">IF(C33="自定义",F34,C32-C35)</f>
        <v>#REF!</v>
      </c>
      <c r="D34" s="857" t="e">
        <f ca="1">IF(C33="自定义",ROUND(C34/C32,3),IF(C33="收益比率",SUMIF(INDIRECT("'"&amp;D33&amp;"'"&amp;"!b:b"),"土地收益比率",INDIRECT("'"&amp;D33&amp;"'"&amp;"!c:c")),SUMIF(INDIRECT("'"&amp;D33&amp;"'"&amp;"!b:b"),"土地成本比率",INDIRECT("'"&amp;D33&amp;"'"&amp;"!c:c"))))</f>
        <v>#REF!</v>
      </c>
      <c r="E34" s="1779" t="s">
        <v>1309</v>
      </c>
      <c r="F34" s="1326"/>
      <c r="G34" s="128"/>
      <c r="H34" s="128"/>
      <c r="I34" s="128"/>
    </row>
    <row r="35" spans="1:15" ht="15" thickBot="1">
      <c r="A35" s="1780"/>
      <c r="B35" s="1781"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1311</v>
      </c>
      <c r="F35" s="153"/>
      <c r="G35" s="128"/>
      <c r="H35" s="128"/>
      <c r="I35" s="128"/>
    </row>
    <row r="36" spans="1:15" ht="15" thickBot="1">
      <c r="A36" s="3626" t="s">
        <v>1312</v>
      </c>
      <c r="B36" s="1783" t="s">
        <v>1313</v>
      </c>
      <c r="C36" s="144"/>
      <c r="D36" s="1784"/>
      <c r="E36" s="1785"/>
      <c r="F36" s="1786"/>
      <c r="G36" s="128"/>
      <c r="H36" s="128"/>
      <c r="I36" s="128"/>
    </row>
    <row r="37" spans="1:15" ht="15" thickBot="1">
      <c r="A37" s="3627"/>
      <c r="B37" s="1670" t="s">
        <v>1314</v>
      </c>
      <c r="C37" s="146"/>
      <c r="D37" s="1135"/>
      <c r="E37" s="1135"/>
      <c r="F37" s="1786"/>
      <c r="G37" s="128"/>
      <c r="H37" s="128"/>
      <c r="I37" s="128"/>
    </row>
    <row r="38" spans="1:15" ht="15" thickBot="1">
      <c r="A38" s="3628"/>
      <c r="B38" s="1787" t="s">
        <v>1315</v>
      </c>
      <c r="C38" s="672"/>
      <c r="D38" s="1788" t="s">
        <v>1316</v>
      </c>
      <c r="E38" s="1135"/>
      <c r="F38" s="1786"/>
      <c r="G38" s="128"/>
      <c r="H38" s="128"/>
      <c r="I38" s="128"/>
    </row>
    <row r="39" spans="1:15" ht="14.4">
      <c r="A39" s="1760" t="s">
        <v>1317</v>
      </c>
      <c r="B39" s="1789" t="s">
        <v>1318</v>
      </c>
      <c r="C39" s="1790" t="s">
        <v>1319</v>
      </c>
      <c r="D39" s="1790" t="s">
        <v>1320</v>
      </c>
      <c r="E39" s="1791" t="s">
        <v>1321</v>
      </c>
      <c r="F39" s="1786"/>
      <c r="G39" s="128"/>
      <c r="H39" s="128"/>
      <c r="I39" s="128"/>
    </row>
    <row r="40" spans="1:15" ht="13.8">
      <c r="A40" s="1792" t="s">
        <v>1322</v>
      </c>
      <c r="B40" s="148"/>
      <c r="C40" s="149"/>
      <c r="D40" s="149"/>
      <c r="E40" s="150"/>
      <c r="F40" s="1786"/>
      <c r="G40" s="128"/>
      <c r="H40" s="128"/>
      <c r="I40" s="128"/>
    </row>
    <row r="41" spans="1:15" ht="13.8">
      <c r="A41" s="1792" t="s">
        <v>1323</v>
      </c>
      <c r="B41" s="148"/>
      <c r="C41" s="149"/>
      <c r="D41" s="149"/>
      <c r="E41" s="150"/>
      <c r="F41" s="1786"/>
      <c r="G41" s="128"/>
      <c r="H41" s="128"/>
      <c r="I41" s="128"/>
    </row>
    <row r="42" spans="1:15" ht="14.4" thickBot="1">
      <c r="A42" s="1793"/>
      <c r="B42" s="151"/>
      <c r="C42" s="152"/>
      <c r="D42" s="152"/>
      <c r="E42" s="153"/>
      <c r="F42" s="1786"/>
      <c r="G42" s="128"/>
      <c r="H42" s="128"/>
      <c r="I42" s="128"/>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46" t="s">
        <v>1326</v>
      </c>
      <c r="B45" s="3647"/>
      <c r="C45" s="3648"/>
      <c r="D45" s="154">
        <f ca="1">ROUND(H101*F45,0)</f>
        <v>27026</v>
      </c>
      <c r="E45" s="155" t="s">
        <v>1327</v>
      </c>
      <c r="F45" s="156">
        <v>1</v>
      </c>
      <c r="G45" s="157" t="s">
        <v>1328</v>
      </c>
      <c r="H45" s="128"/>
      <c r="I45" s="128"/>
      <c r="J45" s="3566" t="s">
        <v>1329</v>
      </c>
      <c r="K45" s="3566"/>
      <c r="L45" s="3566"/>
      <c r="M45" s="3566"/>
      <c r="N45" s="3566"/>
      <c r="O45" s="3566"/>
    </row>
    <row r="46" spans="1:15" ht="14.25" customHeight="1">
      <c r="A46" s="3643" t="s">
        <v>1330</v>
      </c>
      <c r="B46" s="3644"/>
      <c r="C46" s="3644"/>
      <c r="D46" s="3644"/>
      <c r="E46" s="3644"/>
      <c r="F46" s="3644"/>
      <c r="G46" s="3645"/>
      <c r="H46" s="1802"/>
      <c r="I46" s="158"/>
      <c r="J46" s="3463">
        <v>1</v>
      </c>
      <c r="K46" s="3567" t="s">
        <v>1331</v>
      </c>
      <c r="L46" s="3567"/>
      <c r="M46" s="3568"/>
      <c r="N46" s="3568"/>
      <c r="O46" s="3568"/>
    </row>
    <row r="47" spans="1:15" ht="12" customHeight="1">
      <c r="A47" s="159" t="s">
        <v>1332</v>
      </c>
      <c r="B47" s="160"/>
      <c r="C47" s="161"/>
      <c r="D47" s="1083" t="s">
        <v>1333</v>
      </c>
      <c r="E47" s="301" t="s">
        <v>1334</v>
      </c>
      <c r="F47" s="162" t="s">
        <v>1335</v>
      </c>
      <c r="G47" s="2542" t="s">
        <v>1336</v>
      </c>
      <c r="H47" s="2543"/>
      <c r="I47" s="158"/>
      <c r="J47" s="3463">
        <v>2</v>
      </c>
      <c r="K47" s="3567" t="s">
        <v>1337</v>
      </c>
      <c r="L47" s="3567"/>
      <c r="M47" s="3569">
        <f>'数据-取费表'!B2</f>
        <v>44995</v>
      </c>
      <c r="N47" s="3569"/>
      <c r="O47" s="3569"/>
    </row>
    <row r="48" spans="1:15" ht="26.4">
      <c r="A48" s="3629" t="s">
        <v>1338</v>
      </c>
      <c r="B48" s="3630"/>
      <c r="C48" s="3630"/>
      <c r="D48" s="3465" t="b">
        <f>IF(H48="情况1",0,IF(H48="情况2",D52,IF(H48="情况3",D53,IF(H48="情况4",D54))))</f>
        <v>0</v>
      </c>
      <c r="E48" s="3454" t="str">
        <f>IF(H48="情况4","(销售额-原购置价)×税（费）率","销售额×税（费）率")</f>
        <v>销售额×税（费）率</v>
      </c>
      <c r="F48" s="2544">
        <f>IF(H48="情况1","免征",'数据-取费表'!B41)</f>
        <v>5.6000000000000001E-2</v>
      </c>
      <c r="G48" s="2545" t="s">
        <v>1339</v>
      </c>
      <c r="H48" s="2546"/>
      <c r="I48" s="1802"/>
      <c r="J48" s="3463">
        <v>3</v>
      </c>
      <c r="K48" s="3567" t="s">
        <v>1340</v>
      </c>
      <c r="L48" s="3567"/>
      <c r="M48" s="3570">
        <f ca="1">H101</f>
        <v>27026</v>
      </c>
      <c r="N48" s="3570"/>
      <c r="O48" s="3570"/>
    </row>
    <row r="49" spans="1:35" ht="25.5" customHeight="1">
      <c r="A49" s="3458" t="s">
        <v>1341</v>
      </c>
      <c r="B49" s="3615" t="s">
        <v>1342</v>
      </c>
      <c r="C49" s="3615"/>
      <c r="D49" s="1586">
        <v>0</v>
      </c>
      <c r="E49" s="323" t="s">
        <v>1343</v>
      </c>
      <c r="F49" s="3448" t="s">
        <v>28</v>
      </c>
      <c r="G49" s="3598"/>
      <c r="H49" s="2306" t="s">
        <v>2134</v>
      </c>
      <c r="I49" s="2307"/>
      <c r="J49" s="3463">
        <v>4</v>
      </c>
      <c r="K49" s="3567" t="str">
        <f>IF(项目基本情况!E8="房地产抵押价值","房地产抵押价值","抵押担保权已注销时的房地产抵押价值")</f>
        <v>房地产抵押价值</v>
      </c>
      <c r="L49" s="3567"/>
      <c r="M49" s="3570">
        <f ca="1">IF(项目基本情况!E8="房地产抵押价值",H107,H109)</f>
        <v>27026</v>
      </c>
      <c r="N49" s="3570"/>
      <c r="O49" s="3570"/>
    </row>
    <row r="50" spans="1:35" ht="25.5" customHeight="1">
      <c r="A50" s="2547"/>
      <c r="B50" s="3615" t="s">
        <v>1344</v>
      </c>
      <c r="C50" s="3615"/>
      <c r="D50" s="2548"/>
      <c r="E50" s="331"/>
      <c r="F50" s="3448"/>
      <c r="G50" s="3599"/>
      <c r="H50" s="2308" t="s">
        <v>2135</v>
      </c>
      <c r="I50" s="2307"/>
      <c r="J50" s="3566" t="s">
        <v>1345</v>
      </c>
      <c r="K50" s="3566"/>
      <c r="L50" s="3566"/>
      <c r="M50" s="3566"/>
      <c r="N50" s="3566"/>
      <c r="O50" s="3566"/>
    </row>
    <row r="51" spans="1:35" ht="20.399999999999999" customHeight="1">
      <c r="A51" s="2549"/>
      <c r="B51" s="3615" t="s">
        <v>1346</v>
      </c>
      <c r="C51" s="3615"/>
      <c r="D51" s="1083"/>
      <c r="E51" s="326"/>
      <c r="F51" s="3448"/>
      <c r="G51" s="3600"/>
      <c r="H51" s="2308" t="s">
        <v>2136</v>
      </c>
      <c r="I51" s="2307"/>
      <c r="J51" s="3462" t="s">
        <v>1347</v>
      </c>
      <c r="K51" s="3567" t="s">
        <v>1348</v>
      </c>
      <c r="L51" s="3567"/>
      <c r="M51" s="3462" t="s">
        <v>1349</v>
      </c>
      <c r="N51" s="3462" t="s">
        <v>1350</v>
      </c>
      <c r="O51" s="3462" t="s">
        <v>1351</v>
      </c>
    </row>
    <row r="52" spans="1:35" ht="24" customHeight="1">
      <c r="A52" s="3453" t="s">
        <v>1352</v>
      </c>
      <c r="B52" s="3615" t="s">
        <v>1353</v>
      </c>
      <c r="C52" s="3615"/>
      <c r="D52" s="1083">
        <f ca="1">ROUND(D45*'数据-取费表'!B41/(1+'数据-取费表'!C42),0)</f>
        <v>1441</v>
      </c>
      <c r="E52" s="3454" t="s">
        <v>1354</v>
      </c>
      <c r="F52" s="2550">
        <f>'数据-取费表'!B41</f>
        <v>5.6000000000000001E-2</v>
      </c>
      <c r="G52" s="2551"/>
      <c r="H52" s="2540"/>
      <c r="I52" s="1803"/>
      <c r="J52" s="3463">
        <v>1</v>
      </c>
      <c r="K52" s="3592" t="s">
        <v>1355</v>
      </c>
      <c r="L52" s="3592"/>
      <c r="M52" s="2521" t="b">
        <f>D48</f>
        <v>0</v>
      </c>
      <c r="N52" s="3463" t="str">
        <f>E48</f>
        <v>销售额×税（费）率</v>
      </c>
      <c r="O52" s="2522">
        <f>F48</f>
        <v>5.6000000000000001E-2</v>
      </c>
    </row>
    <row r="53" spans="1:35" ht="12" customHeight="1">
      <c r="A53" s="3453" t="s">
        <v>1356</v>
      </c>
      <c r="B53" s="3616" t="s">
        <v>2291</v>
      </c>
      <c r="C53" s="3617"/>
      <c r="D53" s="1083">
        <f ca="1">ROUND(D45*'数据-取费表'!B41/(1+'数据-取费表'!C42),0)</f>
        <v>1441</v>
      </c>
      <c r="E53" s="3454" t="s">
        <v>1354</v>
      </c>
      <c r="F53" s="2550">
        <f>'数据-取费表'!B41</f>
        <v>5.6000000000000001E-2</v>
      </c>
      <c r="G53" s="2551"/>
      <c r="H53" s="2540"/>
      <c r="I53" s="1803"/>
      <c r="J53" s="3463">
        <v>2</v>
      </c>
      <c r="K53" s="3592" t="s">
        <v>1357</v>
      </c>
      <c r="L53" s="3592"/>
      <c r="M53" s="2521">
        <f t="shared" ref="M53:O54" ca="1" si="0">D55</f>
        <v>14</v>
      </c>
      <c r="N53" s="3463" t="str">
        <f t="shared" si="0"/>
        <v>销售额×税（费）率</v>
      </c>
      <c r="O53" s="2522" t="str">
        <f t="shared" si="0"/>
        <v>免征</v>
      </c>
    </row>
    <row r="54" spans="1:35" ht="12" customHeight="1">
      <c r="A54" s="3453" t="s">
        <v>1358</v>
      </c>
      <c r="B54" s="3616" t="s">
        <v>2292</v>
      </c>
      <c r="C54" s="3617"/>
      <c r="D54" s="1083">
        <f ca="1">C68</f>
        <v>1441</v>
      </c>
      <c r="E54" s="326" t="s">
        <v>1359</v>
      </c>
      <c r="F54" s="2550">
        <f>'数据-取费表'!B41</f>
        <v>5.6000000000000001E-2</v>
      </c>
      <c r="G54" s="2551"/>
      <c r="H54" s="2552"/>
      <c r="I54" s="1803"/>
      <c r="J54" s="3463">
        <v>3</v>
      </c>
      <c r="K54" s="3592" t="s">
        <v>1360</v>
      </c>
      <c r="L54" s="3592"/>
      <c r="M54" s="2521">
        <f t="shared" ca="1" si="0"/>
        <v>15297</v>
      </c>
      <c r="N54" s="3463" t="str">
        <f t="shared" si="0"/>
        <v>增值额×税（费）率</v>
      </c>
      <c r="O54" s="2523" t="str">
        <f t="shared" si="0"/>
        <v>免征</v>
      </c>
    </row>
    <row r="55" spans="1:35" ht="24" customHeight="1">
      <c r="A55" s="3652" t="s">
        <v>1361</v>
      </c>
      <c r="B55" s="3630"/>
      <c r="C55" s="3630"/>
      <c r="D55" s="3465">
        <f ca="1">IF(H55="个人住宅",0,ROUND(D45*I55,0))</f>
        <v>14</v>
      </c>
      <c r="E55" s="3454" t="s">
        <v>1362</v>
      </c>
      <c r="F55" s="2550" t="str">
        <f>IF(H55="正常",I55,"免征")</f>
        <v>免征</v>
      </c>
      <c r="G55" s="2551"/>
      <c r="H55" s="2546"/>
      <c r="I55" s="164">
        <f>'数据-取费表'!B49</f>
        <v>5.0000000000000001E-4</v>
      </c>
      <c r="J55" s="3463">
        <f>IF(H59="非个人房产","",4)</f>
        <v>4</v>
      </c>
      <c r="K55" s="3592" t="str">
        <f>IF(H59="非个人房产","——","个人所得税")</f>
        <v>个人所得税</v>
      </c>
      <c r="L55" s="3592"/>
      <c r="M55" s="2524">
        <f ca="1">D59</f>
        <v>257</v>
      </c>
      <c r="N55" s="3464" t="str">
        <f>E59</f>
        <v>差额计税</v>
      </c>
      <c r="O55" s="2525">
        <f>F59</f>
        <v>0.01</v>
      </c>
    </row>
    <row r="56" spans="1:35" ht="25.2">
      <c r="A56" s="3652" t="s">
        <v>1363</v>
      </c>
      <c r="B56" s="3630"/>
      <c r="C56" s="3630"/>
      <c r="D56" s="3465">
        <f ca="1">IF(H56="个人住宅",D57,D58)</f>
        <v>15297</v>
      </c>
      <c r="E56" s="3454" t="s">
        <v>1364</v>
      </c>
      <c r="F56" s="2550" t="str">
        <f>IF(H56="正常",F58,"免征")</f>
        <v>免征</v>
      </c>
      <c r="G56" s="2553" t="s">
        <v>1365</v>
      </c>
      <c r="H56" s="2554"/>
      <c r="I56" s="1804"/>
      <c r="J56" s="3463" t="str">
        <f>IF(项目基本情况!K6="上海银行",IF(J55="",4,J55+1),"")</f>
        <v/>
      </c>
      <c r="K56" s="3573" t="str">
        <f>IF(项目基本情况!K6="上海银行","其他处置费用","")</f>
        <v/>
      </c>
      <c r="L56" s="3574"/>
      <c r="M56" s="2521" t="str">
        <f>IF(项目基本情况!K6="上海银行",M69,"")</f>
        <v/>
      </c>
      <c r="N56" s="3573" t="str">
        <f>IF(项目基本情况!K6="上海银行","包含处置中涉及的律师、诉讼、拍卖、评估等费用","")</f>
        <v/>
      </c>
      <c r="O56" s="3576"/>
    </row>
    <row r="57" spans="1:35" ht="13.2">
      <c r="A57" s="3453" t="s">
        <v>1341</v>
      </c>
      <c r="B57" s="3616" t="s">
        <v>1366</v>
      </c>
      <c r="C57" s="3617"/>
      <c r="D57" s="1586">
        <v>0</v>
      </c>
      <c r="E57" s="323" t="s">
        <v>1343</v>
      </c>
      <c r="F57" s="301"/>
      <c r="G57" s="2551"/>
      <c r="H57" s="2555"/>
      <c r="I57" s="1804"/>
      <c r="J57" s="3592">
        <f>IF(AND(J55="",J56=""),4,IF(项目基本情况!K6="上海银行",'结果表-地下商业2'!J56+1,'结果表-地下商业2'!J55+1))</f>
        <v>5</v>
      </c>
      <c r="K57" s="3592" t="s">
        <v>1367</v>
      </c>
      <c r="L57" s="2526" t="s">
        <v>1368</v>
      </c>
      <c r="M57" s="2527"/>
      <c r="N57" s="2528">
        <f ca="1">SUMIF(M52:M56,"&lt;9e307")</f>
        <v>15568</v>
      </c>
      <c r="O57" s="2529"/>
      <c r="P57" s="2686">
        <f ca="1">N57/M49</f>
        <v>0.57603788943979872</v>
      </c>
    </row>
    <row r="58" spans="1:35" ht="25.2">
      <c r="A58" s="3453" t="s">
        <v>1352</v>
      </c>
      <c r="B58" s="3616" t="s">
        <v>1369</v>
      </c>
      <c r="C58" s="3615"/>
      <c r="D58" s="3465">
        <f ca="1">IF(H58="转让取得",C81,C97)</f>
        <v>15297</v>
      </c>
      <c r="E58" s="3454" t="s">
        <v>1364</v>
      </c>
      <c r="F58" s="301" t="s">
        <v>28</v>
      </c>
      <c r="G58" s="2551"/>
      <c r="H58" s="2554"/>
      <c r="I58" s="1804"/>
      <c r="J58" s="3592"/>
      <c r="K58" s="3592"/>
      <c r="L58" s="2526" t="s">
        <v>1370</v>
      </c>
      <c r="M58" s="2530"/>
      <c r="N58" s="2531" t="str">
        <f ca="1">NUMBERSTRING(INT(N57*10000),2)&amp;"元整"</f>
        <v>壹亿伍仟伍佰陆拾捌万元整</v>
      </c>
      <c r="O58" s="2532"/>
    </row>
    <row r="59" spans="1:35" ht="24.6" thickBot="1">
      <c r="A59" s="3596" t="s">
        <v>1371</v>
      </c>
      <c r="B59" s="3597"/>
      <c r="C59" s="3597"/>
      <c r="D59" s="2556">
        <f ca="1">IF(H59="非个人房产","——",IF(H59="个人住宅（满五唯一有凭证）",0,IF(H59="个人其他（无凭证）",ROUND(D45*F59,0),ROUND(C67*F59,0))))</f>
        <v>257</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594">
        <f>J57+1</f>
        <v>6</v>
      </c>
      <c r="K59" s="3592" t="s">
        <v>1372</v>
      </c>
      <c r="L59" s="3463" t="s">
        <v>1368</v>
      </c>
      <c r="M59" s="2533"/>
      <c r="N59" s="2534">
        <f ca="1">M49-N57</f>
        <v>11458</v>
      </c>
      <c r="O59" s="2535"/>
    </row>
    <row r="60" spans="1:35" ht="12" customHeight="1">
      <c r="A60" s="1805"/>
      <c r="B60" s="1743"/>
      <c r="C60" s="1743"/>
      <c r="D60" s="1743"/>
      <c r="E60" s="1574"/>
      <c r="F60" s="1804"/>
      <c r="G60" s="1804"/>
      <c r="H60" s="1806"/>
      <c r="I60" s="128"/>
      <c r="J60" s="3595"/>
      <c r="K60" s="3592"/>
      <c r="L60" s="2526" t="s">
        <v>1370</v>
      </c>
      <c r="M60" s="2530"/>
      <c r="N60" s="2531" t="str">
        <f ca="1">NUMBERSTRING(INT(N59*10000),2)&amp;"元整"</f>
        <v>壹亿壹仟肆佰伍拾捌万元整</v>
      </c>
      <c r="O60" s="2532"/>
    </row>
    <row r="61" spans="1:35" ht="13.8" thickBot="1">
      <c r="A61" s="3651" t="s">
        <v>1373</v>
      </c>
      <c r="B61" s="3651"/>
      <c r="C61" s="3651"/>
      <c r="D61" s="3651"/>
      <c r="E61" s="3651"/>
      <c r="F61" s="1804"/>
      <c r="G61" s="1804"/>
      <c r="H61" s="1806"/>
      <c r="I61" s="128"/>
      <c r="J61" s="3463">
        <f>J59+1</f>
        <v>7</v>
      </c>
      <c r="K61" s="3592" t="s">
        <v>1374</v>
      </c>
      <c r="L61" s="3592"/>
      <c r="M61" s="2536"/>
      <c r="N61" s="2537">
        <f ca="1">ROUND(N59*10000/'数据-汇总表'!E3,0)</f>
        <v>1155</v>
      </c>
      <c r="O61" s="2538"/>
    </row>
    <row r="62" spans="1:35" ht="13.2">
      <c r="A62" s="3611" t="s">
        <v>1375</v>
      </c>
      <c r="B62" s="3612"/>
      <c r="C62" s="3457"/>
      <c r="D62" s="3457" t="s">
        <v>1376</v>
      </c>
      <c r="E62" s="165" t="s">
        <v>1377</v>
      </c>
      <c r="F62" s="1804"/>
      <c r="G62" s="1804"/>
      <c r="H62" s="1806"/>
      <c r="I62" s="128"/>
    </row>
    <row r="63" spans="1:35" ht="13.2">
      <c r="A63" s="172" t="s">
        <v>330</v>
      </c>
      <c r="B63" s="166" t="s">
        <v>1378</v>
      </c>
      <c r="C63" s="2560">
        <f ca="1">ROUND((C64+C65)/(1+'数据-取费表'!C42),0)</f>
        <v>25739</v>
      </c>
      <c r="D63" s="166"/>
      <c r="E63" s="167"/>
      <c r="F63" s="1804"/>
      <c r="G63" s="1804"/>
      <c r="H63" s="1806"/>
      <c r="I63" s="128"/>
      <c r="J63" s="3575" t="s">
        <v>1379</v>
      </c>
      <c r="K63" s="3466" t="s">
        <v>1380</v>
      </c>
      <c r="L63" s="3466">
        <f ca="1">IF(M49&gt;10000,M49*0.5%,IF(AND(M49&gt;1000,M49&lt;=10000),M49*1%,IF(AND(M49&gt;100,M49&lt;=1000),M49*3%,IF(AND(M49&gt;10,M49&lt;=100),M49*5%,M49*8%))))</f>
        <v>135.13</v>
      </c>
      <c r="M63" s="301">
        <f ca="1">ROUND(L63,1)</f>
        <v>135.1</v>
      </c>
      <c r="N63" s="2539"/>
      <c r="Z63" s="1748"/>
      <c r="AI63" s="1749"/>
    </row>
    <row r="64" spans="1:35" ht="14.25" customHeight="1">
      <c r="A64" s="168" t="s">
        <v>325</v>
      </c>
      <c r="B64" s="169" t="s">
        <v>1381</v>
      </c>
      <c r="C64" s="2561">
        <f ca="1">D45</f>
        <v>27026</v>
      </c>
      <c r="D64" s="169" t="s">
        <v>26</v>
      </c>
      <c r="E64" s="171"/>
      <c r="F64" s="1804"/>
      <c r="G64" s="1804"/>
      <c r="H64" s="1806"/>
      <c r="I64" s="128"/>
      <c r="J64" s="3575"/>
      <c r="K64" s="3466" t="s">
        <v>1382</v>
      </c>
      <c r="L64" s="3466">
        <f ca="1">IF(M49&gt;2000,M49*0.5%,IF(AND(M49&gt;1000,M49&lt;=2000),M49*0.6%,IF(AND(M49&gt;500,M49&lt;=1000),M49*0.7%,IF(AND(M49&gt;200,M49&lt;=500),M49*0.8%,IF(AND(M49&gt;100,M49&lt;=200),M49*0.9%,IF(AND(M49&gt;50,M49&lt;=100),M49*1%,IF(AND(M49&gt;20,M49&lt;=50),M49*1.5%,IF(AND(M49&gt;10,M49&lt;=20),M49*2%,IF(AND(M49&gt;1,M49&lt;=10),M49*2.5%)))))))))</f>
        <v>135.13</v>
      </c>
      <c r="M64" s="301">
        <f t="shared" ref="M64:M65" ca="1" si="1">ROUND(L64,1)</f>
        <v>135.1</v>
      </c>
      <c r="N64" s="2540" t="s">
        <v>1383</v>
      </c>
      <c r="Z64" s="1748"/>
      <c r="AI64" s="1749"/>
    </row>
    <row r="65" spans="1:35" ht="14.25" customHeight="1">
      <c r="A65" s="168" t="s">
        <v>326</v>
      </c>
      <c r="B65" s="169" t="s">
        <v>1384</v>
      </c>
      <c r="C65" s="2562"/>
      <c r="D65" s="169"/>
      <c r="E65" s="171"/>
      <c r="F65" s="1804"/>
      <c r="G65" s="1804"/>
      <c r="H65" s="1806"/>
      <c r="I65" s="128"/>
      <c r="J65" s="3575"/>
      <c r="K65" s="3466" t="s">
        <v>1385</v>
      </c>
      <c r="L65" s="3466">
        <f ca="1">IF(M49&gt;1000,M49*0.1%,IF(AND(M49&gt;500,M49&lt;=1000),M49*0.5%,IF(AND(M49&gt;50,M49&lt;=500),M49*1%,IF(AND(M49&gt;1,M49&lt;=50),M49*1.5%))))</f>
        <v>27.026</v>
      </c>
      <c r="M65" s="301">
        <f t="shared" ca="1" si="1"/>
        <v>27</v>
      </c>
      <c r="N65" s="2540" t="s">
        <v>1383</v>
      </c>
      <c r="Z65" s="1748"/>
      <c r="AI65" s="1749"/>
    </row>
    <row r="66" spans="1:35" ht="14.25" customHeight="1">
      <c r="A66" s="172" t="s">
        <v>327</v>
      </c>
      <c r="B66" s="173" t="s">
        <v>1386</v>
      </c>
      <c r="C66" s="2563"/>
      <c r="D66" s="173" t="s">
        <v>26</v>
      </c>
      <c r="E66" s="1334" t="s">
        <v>671</v>
      </c>
      <c r="F66" s="1804"/>
      <c r="G66" s="1804"/>
      <c r="H66" s="1806"/>
      <c r="I66" s="128"/>
      <c r="J66" s="3575"/>
      <c r="K66" s="3466" t="s">
        <v>1387</v>
      </c>
      <c r="L66" s="3466">
        <f ca="1">M49*0.5%</f>
        <v>135.13</v>
      </c>
      <c r="M66" s="301">
        <f ca="1">IF(L66&gt;0.5,0.5,ROUND(L66,0))</f>
        <v>0.5</v>
      </c>
      <c r="N66" s="2540" t="s">
        <v>1388</v>
      </c>
      <c r="Z66" s="1748"/>
      <c r="AI66" s="1749"/>
    </row>
    <row r="67" spans="1:35" ht="14.25" customHeight="1">
      <c r="A67" s="172" t="s">
        <v>328</v>
      </c>
      <c r="B67" s="173" t="s">
        <v>1389</v>
      </c>
      <c r="C67" s="2564">
        <f ca="1">C63-C66</f>
        <v>25739</v>
      </c>
      <c r="D67" s="169" t="s">
        <v>26</v>
      </c>
      <c r="E67" s="171"/>
      <c r="F67" s="1804"/>
      <c r="G67" s="1804"/>
      <c r="H67" s="1806"/>
      <c r="I67" s="128"/>
      <c r="J67" s="3575"/>
      <c r="K67" s="3466" t="s">
        <v>1390</v>
      </c>
      <c r="L67" s="3466">
        <f ca="1">IF(M49&gt;=10000,(8.25+(M49-10000)*0.01%),IF(AND(M49&gt;=8000,M49&lt;10000),(7.85+(M49-8000)*0.02%),IF(AND(M49&gt;=5000,M49&lt;8000),(6.65+(M49-5000)*0.04%),IF(AND(M49&gt;=2000,M49&lt;5000),(4.25+(PM49-2000)*0.08%),IF(AND(M49&gt;=1000,M49&lt;2000),(2.75+(M49-1000)*0.15%),IF(AND(M49&gt;=100,M49&lt;1000),(0.5+(M49-100)*0.25%),IF(AND(M49&gt;0,M49&lt;100),M49*0.5%)))))))</f>
        <v>9.9526000000000003</v>
      </c>
      <c r="M67" s="301">
        <f ca="1">ROUND(L67*0.9,1)</f>
        <v>9</v>
      </c>
      <c r="N67" s="2539"/>
      <c r="Z67" s="1748"/>
      <c r="AI67" s="1749"/>
    </row>
    <row r="68" spans="1:35" ht="14.25" customHeight="1" thickBot="1">
      <c r="A68" s="175" t="s">
        <v>329</v>
      </c>
      <c r="B68" s="176" t="s">
        <v>1391</v>
      </c>
      <c r="C68" s="2565">
        <f ca="1">IF(C67&lt;=0,0,ROUND(C67*D68,0))</f>
        <v>1441</v>
      </c>
      <c r="D68" s="2566">
        <f>'数据-取费表'!B41</f>
        <v>5.6000000000000001E-2</v>
      </c>
      <c r="E68" s="177"/>
      <c r="F68" s="1804"/>
      <c r="G68" s="1804"/>
      <c r="H68" s="1806"/>
      <c r="I68" s="128"/>
      <c r="J68" s="3575"/>
      <c r="K68" s="3466" t="s">
        <v>1392</v>
      </c>
      <c r="L68" s="3466">
        <f ca="1">IF(M49&gt;10000,M49*0.5%,IF(AND(M49&gt;5000,M49&lt;=10000),M49*1%,IF(AND(M49&gt;1000,M49&lt;=5000),M49*2%,IF(AND(M49&gt;200,M49&lt;=1000),M49*3%,M49*5%))))</f>
        <v>135.13</v>
      </c>
      <c r="M68" s="301">
        <f ca="1">ROUND(L68,1)</f>
        <v>135.1</v>
      </c>
      <c r="N68" s="2539"/>
      <c r="Z68" s="1748"/>
      <c r="AI68" s="1749"/>
    </row>
    <row r="69" spans="1:35" s="1768" customFormat="1" ht="16.5" customHeight="1">
      <c r="A69" s="1807"/>
      <c r="B69" s="1808"/>
      <c r="C69" s="1809"/>
      <c r="D69" s="1810"/>
      <c r="E69" s="1811"/>
      <c r="F69" s="1574"/>
      <c r="G69" s="1574"/>
      <c r="H69" s="1573"/>
      <c r="I69" s="1743"/>
      <c r="J69" s="3575"/>
      <c r="K69" s="3466" t="s">
        <v>1393</v>
      </c>
      <c r="L69" s="3466"/>
      <c r="M69" s="301">
        <f ca="1">ROUND(SUM(M63:M68),0)</f>
        <v>442</v>
      </c>
      <c r="N69" s="2541">
        <f ca="1">M69/M49</f>
        <v>1.6354621475616074E-2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9" t="s">
        <v>1394</v>
      </c>
      <c r="B70" s="3620"/>
      <c r="C70" s="3620"/>
      <c r="D70" s="3620"/>
      <c r="E70" s="3620"/>
      <c r="F70" s="3620"/>
      <c r="G70" s="3620"/>
      <c r="H70" s="3620"/>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611" t="s">
        <v>1375</v>
      </c>
      <c r="B71" s="3612"/>
      <c r="C71" s="3457"/>
      <c r="D71" s="3457" t="s">
        <v>1376</v>
      </c>
      <c r="E71" s="178" t="s">
        <v>1377</v>
      </c>
      <c r="F71" s="179"/>
      <c r="G71" s="179"/>
      <c r="H71" s="180"/>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2" t="s">
        <v>330</v>
      </c>
      <c r="B72" s="173" t="s">
        <v>1395</v>
      </c>
      <c r="C72" s="2564">
        <f ca="1">ROUND(D45/(1+'数据-取费表'!C42),0)</f>
        <v>25739</v>
      </c>
      <c r="D72" s="169" t="s">
        <v>26</v>
      </c>
      <c r="E72" s="3456"/>
      <c r="F72" s="3449"/>
      <c r="G72" s="3449"/>
      <c r="H72" s="181"/>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2" t="s">
        <v>327</v>
      </c>
      <c r="B73" s="162" t="s">
        <v>1396</v>
      </c>
      <c r="C73" s="2564">
        <f ca="1">C74+C78</f>
        <v>154</v>
      </c>
      <c r="D73" s="169" t="s">
        <v>26</v>
      </c>
      <c r="E73" s="3456"/>
      <c r="F73" s="3449"/>
      <c r="G73" s="3449"/>
      <c r="H73" s="181"/>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8" t="s">
        <v>325</v>
      </c>
      <c r="B74" s="169" t="s">
        <v>1397</v>
      </c>
      <c r="C74" s="169">
        <f>ROUND(IF(G77="2016年5月1日后购买",C75/(1+'数据-取费表'!C42)+C76+C77,C75+C76+C77),0)</f>
        <v>0</v>
      </c>
      <c r="D74" s="169" t="s">
        <v>26</v>
      </c>
      <c r="E74" s="3456"/>
      <c r="F74" s="3449"/>
      <c r="G74" s="3449"/>
      <c r="H74" s="181"/>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8" t="s">
        <v>331</v>
      </c>
      <c r="B75" s="169" t="s">
        <v>1398</v>
      </c>
      <c r="C75" s="2567"/>
      <c r="D75" s="169" t="s">
        <v>26</v>
      </c>
      <c r="E75" s="183" t="s">
        <v>1399</v>
      </c>
      <c r="F75" s="2568"/>
      <c r="G75" s="183"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8" t="s">
        <v>332</v>
      </c>
      <c r="B76" s="184" t="s">
        <v>1401</v>
      </c>
      <c r="C76" s="169">
        <f>IF(F75="购房发票",ROUND(C75*H75*D76,0),0)</f>
        <v>0</v>
      </c>
      <c r="D76" s="2570">
        <v>0.05</v>
      </c>
      <c r="E76" s="3616" t="s">
        <v>1402</v>
      </c>
      <c r="F76" s="3615"/>
      <c r="G76" s="3615"/>
      <c r="H76" s="3618"/>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8" t="s">
        <v>333</v>
      </c>
      <c r="B77" s="169" t="s">
        <v>1403</v>
      </c>
      <c r="C77" s="169">
        <f>ROUND(IF(G77="个人住宅",0,IF(G77="2016年5月1日前购买",C75*D77,C75*D77/(1+'数据-取费表'!C42))),0)</f>
        <v>0</v>
      </c>
      <c r="D77" s="2571">
        <f>'数据-取费表'!B48+'数据-取费表'!B49</f>
        <v>3.0499999999999999E-2</v>
      </c>
      <c r="E77" s="3465" t="s">
        <v>1404</v>
      </c>
      <c r="F77" s="185"/>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8" t="s">
        <v>326</v>
      </c>
      <c r="B78" s="169" t="s">
        <v>1405</v>
      </c>
      <c r="C78" s="2572">
        <f ca="1">ROUND(D45*D78/(1+'数据-取费表'!C42),0)</f>
        <v>154</v>
      </c>
      <c r="D78" s="2573">
        <f>'数据-取费表'!B43</f>
        <v>6.000000000000001E-3</v>
      </c>
      <c r="E78" s="3608" t="s">
        <v>1406</v>
      </c>
      <c r="F78" s="3609"/>
      <c r="G78" s="3609"/>
      <c r="H78" s="3610"/>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2" t="s">
        <v>328</v>
      </c>
      <c r="B79" s="173" t="s">
        <v>1407</v>
      </c>
      <c r="C79" s="2564">
        <f ca="1">C72-C73</f>
        <v>25585</v>
      </c>
      <c r="D79" s="169" t="s">
        <v>26</v>
      </c>
      <c r="E79" s="3456"/>
      <c r="F79" s="3449"/>
      <c r="G79" s="3449"/>
      <c r="H79" s="181"/>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2" t="s">
        <v>335</v>
      </c>
      <c r="B80" s="173" t="s">
        <v>1408</v>
      </c>
      <c r="C80" s="2574">
        <f ca="1">IF(C79&lt;=0,0,C79/C73)</f>
        <v>166.13636363636363</v>
      </c>
      <c r="D80" s="169"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1"/>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5" t="s">
        <v>336</v>
      </c>
      <c r="B81" s="176" t="s">
        <v>1409</v>
      </c>
      <c r="C81" s="2575">
        <f ca="1">ROUND(IF(C79&lt;=0,0,IF(C80&gt;=200%,C79*60%-C73*35%,IF(C80&gt;=100%,C79*50%-C73*15%,IF(C80&gt;=50%,C79*40%-C73*5%,IF(C80&lt;50%,C79*30%,0))))),0)</f>
        <v>15297</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9" t="s">
        <v>1410</v>
      </c>
      <c r="B83" s="3620"/>
      <c r="C83" s="3620"/>
      <c r="D83" s="3620"/>
      <c r="E83" s="3620"/>
      <c r="F83" s="3620"/>
      <c r="G83" s="3620"/>
      <c r="H83" s="3620"/>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611" t="s">
        <v>1375</v>
      </c>
      <c r="B84" s="3612"/>
      <c r="C84" s="3457"/>
      <c r="D84" s="3457" t="s">
        <v>1376</v>
      </c>
      <c r="E84" s="178" t="s">
        <v>1377</v>
      </c>
      <c r="F84" s="179"/>
      <c r="G84" s="179"/>
      <c r="H84" s="190"/>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2" t="s">
        <v>330</v>
      </c>
      <c r="B85" s="173" t="s">
        <v>1395</v>
      </c>
      <c r="C85" s="2564">
        <f ca="1">ROUND(D45/(1+'数据-取费表'!C42),0)</f>
        <v>25739</v>
      </c>
      <c r="D85" s="169" t="s">
        <v>26</v>
      </c>
      <c r="E85" s="3456"/>
      <c r="F85" s="3449"/>
      <c r="G85" s="3449"/>
      <c r="H85" s="191"/>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2" t="s">
        <v>327</v>
      </c>
      <c r="B86" s="162" t="s">
        <v>1396</v>
      </c>
      <c r="C86" s="2564">
        <f ca="1">IF(H88="仅含出让金",C87+C90+C91+C92+C93+C94,C87+C91+C92+C93+C94)</f>
        <v>154</v>
      </c>
      <c r="D86" s="2577"/>
      <c r="E86" s="3456"/>
      <c r="F86" s="3449"/>
      <c r="G86" s="3449"/>
      <c r="H86" s="191"/>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8" t="s">
        <v>325</v>
      </c>
      <c r="B87" s="169" t="s">
        <v>1411</v>
      </c>
      <c r="C87" s="2572">
        <f>C88+C89</f>
        <v>0</v>
      </c>
      <c r="D87" s="2573"/>
      <c r="E87" s="3450"/>
      <c r="F87" s="3451"/>
      <c r="G87" s="3451"/>
      <c r="H87" s="3455"/>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8" t="s">
        <v>331</v>
      </c>
      <c r="B88" s="169" t="s">
        <v>1412</v>
      </c>
      <c r="C88" s="2578"/>
      <c r="D88" s="2573"/>
      <c r="E88" s="192" t="s">
        <v>1413</v>
      </c>
      <c r="F88" s="3451"/>
      <c r="G88" s="193" t="s">
        <v>1414</v>
      </c>
      <c r="H88" s="1820"/>
      <c r="I88" s="1817"/>
      <c r="J88" s="2517"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8" t="s">
        <v>332</v>
      </c>
      <c r="B89" s="169" t="s">
        <v>1403</v>
      </c>
      <c r="C89" s="2572">
        <f>ROUND(C88*D89,0)</f>
        <v>0</v>
      </c>
      <c r="D89" s="2573">
        <f>'数据-取费表'!B48+'数据-取费表'!B49</f>
        <v>3.0499999999999999E-2</v>
      </c>
      <c r="E89" s="192" t="s">
        <v>1415</v>
      </c>
      <c r="F89" s="3451"/>
      <c r="G89" s="3451"/>
      <c r="H89" s="3455"/>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8" t="s">
        <v>326</v>
      </c>
      <c r="B90" s="169" t="s">
        <v>1416</v>
      </c>
      <c r="C90" s="2578"/>
      <c r="D90" s="2573"/>
      <c r="E90" s="192" t="str">
        <f>IF(H88="-","土地取得成本中已包含该笔费用"," ")</f>
        <v xml:space="preserve"> </v>
      </c>
      <c r="F90" s="3451"/>
      <c r="G90" s="3577" t="s">
        <v>2129</v>
      </c>
      <c r="H90" s="3578"/>
      <c r="I90" s="1817"/>
      <c r="J90" s="2517"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8" t="s">
        <v>1417</v>
      </c>
      <c r="B91" s="169" t="s">
        <v>1418</v>
      </c>
      <c r="C91" s="2572">
        <f>IF(H91="——",成本法!C33,I91)</f>
        <v>0</v>
      </c>
      <c r="D91" s="2573"/>
      <c r="E91" s="3608" t="s">
        <v>1419</v>
      </c>
      <c r="F91" s="3609"/>
      <c r="G91" s="360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8" t="s">
        <v>1420</v>
      </c>
      <c r="B92" s="169" t="s">
        <v>1421</v>
      </c>
      <c r="C92" s="2572">
        <f>ROUND((C87+C90+C91)*D92,0)</f>
        <v>0</v>
      </c>
      <c r="D92" s="2579"/>
      <c r="E92" s="3608" t="s">
        <v>1422</v>
      </c>
      <c r="F92" s="3609"/>
      <c r="G92" s="3609"/>
      <c r="H92" s="3610"/>
      <c r="I92" s="1817"/>
      <c r="J92" s="2518"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8" t="s">
        <v>1423</v>
      </c>
      <c r="B93" s="169" t="s">
        <v>1405</v>
      </c>
      <c r="C93" s="2572">
        <f ca="1">ROUND(D45*D93/(1+'数据-取费表'!C42),0)</f>
        <v>154</v>
      </c>
      <c r="D93" s="2573">
        <f>'数据-取费表'!B43</f>
        <v>6.000000000000001E-3</v>
      </c>
      <c r="E93" s="3608" t="s">
        <v>1406</v>
      </c>
      <c r="F93" s="3609"/>
      <c r="G93" s="3609"/>
      <c r="H93" s="3610"/>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8" t="s">
        <v>1424</v>
      </c>
      <c r="B94" s="169" t="s">
        <v>1425</v>
      </c>
      <c r="C94" s="2578">
        <f>ROUND((C87+C90+C91)*D94,0)</f>
        <v>0</v>
      </c>
      <c r="D94" s="2573">
        <v>0.2</v>
      </c>
      <c r="E94" s="3653" t="s">
        <v>1426</v>
      </c>
      <c r="F94" s="3654"/>
      <c r="G94" s="3654"/>
      <c r="H94" s="3655"/>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2" t="s">
        <v>328</v>
      </c>
      <c r="B95" s="173" t="s">
        <v>1407</v>
      </c>
      <c r="C95" s="2564">
        <f ca="1">ROUND(C85-C86,0)</f>
        <v>25585</v>
      </c>
      <c r="D95" s="169" t="s">
        <v>26</v>
      </c>
      <c r="E95" s="3456"/>
      <c r="F95" s="3449"/>
      <c r="G95" s="3449"/>
      <c r="H95" s="191"/>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2" t="s">
        <v>335</v>
      </c>
      <c r="B96" s="173" t="s">
        <v>1408</v>
      </c>
      <c r="C96" s="2574">
        <f ca="1">IF(C95&lt;=0,0,C95/C86)</f>
        <v>166.13636363636363</v>
      </c>
      <c r="D96" s="169"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1"/>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5" t="s">
        <v>336</v>
      </c>
      <c r="B97" s="176" t="s">
        <v>1409</v>
      </c>
      <c r="C97" s="2575">
        <f ca="1">ROUND(IF(C95&lt;=0,0,IF(C96&gt;=200%,C95*60%-C86*35%,IF(C96&gt;=100%,C95*50%-C86*15%,IF(C96&gt;=50%,C95*40%-C86*5%,IF(C96&lt;50%,C95*30%,0))))),0)</f>
        <v>15297</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8"/>
    </row>
    <row r="99" spans="1:35" ht="21.75" customHeight="1" thickBot="1">
      <c r="A99" s="1796" t="s">
        <v>1427</v>
      </c>
      <c r="B99" s="1743"/>
      <c r="C99" s="1743"/>
      <c r="D99" s="1743"/>
      <c r="E99" s="1574"/>
      <c r="F99" s="1574"/>
      <c r="G99" s="1574"/>
      <c r="H99" s="1573"/>
      <c r="I99" s="128"/>
    </row>
    <row r="100" spans="1:35" ht="18.75" customHeight="1">
      <c r="A100" s="3558" t="s">
        <v>1428</v>
      </c>
      <c r="B100" s="3559"/>
      <c r="C100" s="3559"/>
      <c r="D100" s="3593"/>
      <c r="E100" s="3559" t="s">
        <v>1429</v>
      </c>
      <c r="F100" s="3559"/>
      <c r="G100" s="3559"/>
      <c r="H100" s="3593"/>
      <c r="I100" s="128"/>
    </row>
    <row r="101" spans="1:35" ht="18.75" customHeight="1">
      <c r="A101" s="3601" t="s">
        <v>1430</v>
      </c>
      <c r="B101" s="3602"/>
      <c r="C101" s="2581" t="str">
        <f>C4</f>
        <v>成本法-地下商业2</v>
      </c>
      <c r="D101" s="2582" t="str">
        <f>D4</f>
        <v>收益法-地下商业2</v>
      </c>
      <c r="E101" s="3571" t="s">
        <v>1431</v>
      </c>
      <c r="F101" s="3572"/>
      <c r="G101" s="1823" t="s">
        <v>1432</v>
      </c>
      <c r="H101" s="2591">
        <f ca="1">H118</f>
        <v>27026</v>
      </c>
      <c r="I101" s="128"/>
    </row>
    <row r="102" spans="1:35" ht="18.75" customHeight="1">
      <c r="A102" s="3603" t="s">
        <v>1433</v>
      </c>
      <c r="B102" s="2580" t="s">
        <v>1432</v>
      </c>
      <c r="C102" s="2581">
        <f ca="1">IF(D32="楼面单价",ROUND(C19,0),C19)</f>
        <v>22609</v>
      </c>
      <c r="D102" s="2582">
        <f ca="1">IF(D32="楼面单价",ROUND(D19,0),D19)</f>
        <v>29970</v>
      </c>
      <c r="E102" s="3571"/>
      <c r="F102" s="3572"/>
      <c r="G102" s="1823" t="s">
        <v>1434</v>
      </c>
      <c r="H102" s="2551">
        <f ca="1">I118</f>
        <v>16129</v>
      </c>
      <c r="I102" s="128"/>
    </row>
    <row r="103" spans="1:35" ht="42.75" customHeight="1">
      <c r="A103" s="3603"/>
      <c r="B103" s="2580" t="s">
        <v>1434</v>
      </c>
      <c r="C103" s="2583">
        <f ca="1">C20</f>
        <v>13493</v>
      </c>
      <c r="D103" s="2584">
        <f ca="1">D20</f>
        <v>17886</v>
      </c>
      <c r="E103" s="3564" t="s">
        <v>1435</v>
      </c>
      <c r="F103" s="3565"/>
      <c r="G103" s="1824" t="s">
        <v>1436</v>
      </c>
      <c r="H103" s="2591">
        <f>IF(D36="正常操作",H104+H105+H106,H105+H106)</f>
        <v>0</v>
      </c>
      <c r="I103" s="128"/>
    </row>
    <row r="104" spans="1:35" ht="18.75" customHeight="1">
      <c r="A104" s="3603" t="s">
        <v>1437</v>
      </c>
      <c r="B104" s="2585" t="s">
        <v>1432</v>
      </c>
      <c r="C104" s="2586">
        <f ca="1">H118</f>
        <v>27026</v>
      </c>
      <c r="D104" s="2587"/>
      <c r="E104" s="1670" t="s">
        <v>1438</v>
      </c>
      <c r="F104" s="1662"/>
      <c r="G104" s="1824" t="s">
        <v>1436</v>
      </c>
      <c r="H104" s="2592">
        <f>IF(D36="同一抵押权人同一抵押物续贷",C36&amp;"（续贷，未扣减，详见特别提示）",C36)</f>
        <v>0</v>
      </c>
      <c r="I104" s="128"/>
    </row>
    <row r="105" spans="1:35" ht="18.75" customHeight="1" thickBot="1">
      <c r="A105" s="3613"/>
      <c r="B105" s="2588" t="s">
        <v>1434</v>
      </c>
      <c r="C105" s="2589">
        <f ca="1">I118</f>
        <v>16129</v>
      </c>
      <c r="D105" s="2590"/>
      <c r="E105" s="1670" t="s">
        <v>1439</v>
      </c>
      <c r="F105" s="1662"/>
      <c r="G105" s="1824" t="s">
        <v>1436</v>
      </c>
      <c r="H105" s="2593">
        <f>C37</f>
        <v>0</v>
      </c>
      <c r="I105" s="128"/>
    </row>
    <row r="106" spans="1:35" ht="18.75" customHeight="1">
      <c r="A106" s="1743" t="s">
        <v>1440</v>
      </c>
      <c r="B106" s="1743"/>
      <c r="C106" s="1743"/>
      <c r="D106" s="1743"/>
      <c r="E106" s="1825" t="s">
        <v>1441</v>
      </c>
      <c r="F106" s="1662"/>
      <c r="G106" s="1824" t="s">
        <v>1436</v>
      </c>
      <c r="H106" s="2593">
        <f>C38</f>
        <v>0</v>
      </c>
      <c r="I106" s="128"/>
    </row>
    <row r="107" spans="1:35" ht="18.75" customHeight="1">
      <c r="A107" s="128"/>
      <c r="B107" s="128"/>
      <c r="C107" s="128"/>
      <c r="D107" s="128"/>
      <c r="E107" s="3604" t="str">
        <f>IF(项目基本情况!E8="已注销","——","3.房地产抵押价值")</f>
        <v>3.房地产抵押价值</v>
      </c>
      <c r="F107" s="3572"/>
      <c r="G107" s="1823" t="s">
        <v>1432</v>
      </c>
      <c r="H107" s="2591">
        <f ca="1">IF(E107="——","——",H101-H103)</f>
        <v>27026</v>
      </c>
      <c r="I107" s="128"/>
    </row>
    <row r="108" spans="1:35" ht="18.75" customHeight="1">
      <c r="A108" s="128"/>
      <c r="B108" s="128"/>
      <c r="C108" s="128"/>
      <c r="D108" s="128"/>
      <c r="E108" s="3604"/>
      <c r="F108" s="3572"/>
      <c r="G108" s="1823" t="s">
        <v>1434</v>
      </c>
      <c r="H108" s="2551">
        <f ca="1">IF(H107=H101,H102,ROUND(H107*10000/'数据-汇总表'!E3,0))</f>
        <v>16129</v>
      </c>
      <c r="I108" s="128"/>
    </row>
    <row r="109" spans="1:35" ht="18.75" customHeight="1">
      <c r="A109" s="128"/>
      <c r="B109" s="128"/>
      <c r="C109" s="128"/>
      <c r="D109" s="128"/>
      <c r="E109" s="3604" t="str">
        <f>IF(项目基本情况!E8="已注销及未注销","4.抵押担保权已注销时的房地产抵押价值",IF(项目基本情况!E8="已注销","3.抵押担保权已注销时的房地产抵押价值","——"))</f>
        <v>——</v>
      </c>
      <c r="F109" s="3572"/>
      <c r="G109" s="1823" t="s">
        <v>1432</v>
      </c>
      <c r="H109" s="2594" t="str">
        <f>IF(E109="——","——",H101-H105-H106)</f>
        <v>——</v>
      </c>
      <c r="I109" s="128"/>
    </row>
    <row r="110" spans="1:35" ht="18.75" customHeight="1">
      <c r="A110" s="128"/>
      <c r="B110" s="128"/>
      <c r="C110" s="128"/>
      <c r="D110" s="128"/>
      <c r="E110" s="3604"/>
      <c r="F110" s="3572"/>
      <c r="G110" s="1823" t="s">
        <v>1434</v>
      </c>
      <c r="H110" s="2551" t="str">
        <f>IF(H109="——","——",ROUND(H109*10000/'数据-汇总表'!E3,0))</f>
        <v>——</v>
      </c>
      <c r="I110" s="128"/>
    </row>
    <row r="111" spans="1:35" ht="18.75" customHeight="1">
      <c r="A111" s="128"/>
      <c r="B111" s="128"/>
      <c r="C111" s="128"/>
      <c r="D111" s="128"/>
      <c r="E111" s="3605" t="str">
        <f>IF(项目基本情况!E9="抵押净值",IF(OR(项目基本情况!E8="已注销",项目基本情况!E8="房地产抵押价值"),"4.抵押净值","5.抵押净值"),"——")</f>
        <v>——</v>
      </c>
      <c r="F111" s="3591"/>
      <c r="G111" s="1823" t="s">
        <v>1432</v>
      </c>
      <c r="H111" s="2591" t="str">
        <f>IF(E111="——","——",N59)</f>
        <v>——</v>
      </c>
      <c r="I111" s="128"/>
    </row>
    <row r="112" spans="1:35" ht="18.75" customHeight="1" thickBot="1">
      <c r="A112" s="128"/>
      <c r="B112" s="128"/>
      <c r="C112" s="128"/>
      <c r="D112" s="128"/>
      <c r="E112" s="3606"/>
      <c r="F112" s="3607"/>
      <c r="G112" s="1826" t="s">
        <v>1434</v>
      </c>
      <c r="H112" s="2595" t="str">
        <f>IF(E111="——","——",N61)</f>
        <v>——</v>
      </c>
      <c r="I112" s="128"/>
    </row>
    <row r="113" spans="1:27" ht="18.75" customHeight="1">
      <c r="A113" s="128"/>
      <c r="B113" s="128"/>
      <c r="C113" s="128"/>
      <c r="D113" s="128"/>
      <c r="E113" s="3614" t="s">
        <v>1440</v>
      </c>
      <c r="F113" s="3614"/>
      <c r="G113" s="3614"/>
      <c r="H113" s="3614"/>
      <c r="I113" s="128"/>
    </row>
    <row r="114" spans="1:27" ht="3.75" customHeight="1">
      <c r="A114" s="1743"/>
      <c r="B114" s="1743"/>
      <c r="C114" s="1743"/>
      <c r="D114" s="1743"/>
      <c r="E114" s="1805"/>
      <c r="F114" s="1805"/>
      <c r="G114" s="1805"/>
      <c r="H114" s="1805"/>
      <c r="I114" s="1743"/>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3452" t="s">
        <v>1449</v>
      </c>
      <c r="E117" s="3452" t="s">
        <v>1450</v>
      </c>
      <c r="F117" s="3452" t="s">
        <v>1449</v>
      </c>
      <c r="G117" s="3452" t="s">
        <v>1451</v>
      </c>
      <c r="H117" s="3452" t="s">
        <v>1449</v>
      </c>
      <c r="I117" s="3452" t="s">
        <v>1451</v>
      </c>
    </row>
    <row r="118" spans="1:27" ht="24.75" customHeight="1">
      <c r="A118" s="2596" t="str">
        <f>项目基本情况!S2</f>
        <v>北京市房地产</v>
      </c>
      <c r="B118" s="3452">
        <f>M18</f>
        <v>16756.23</v>
      </c>
      <c r="C118" s="3452">
        <f>M19</f>
        <v>2117.5700000000002</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27026</v>
      </c>
      <c r="I118" s="3452">
        <f ca="1">ROUND(IF(D32="楼面单价",C32,H118*10000/B118),0)</f>
        <v>16129</v>
      </c>
    </row>
    <row r="119" spans="1:27" ht="18.75" customHeight="1">
      <c r="A119" s="3579" t="s">
        <v>1452</v>
      </c>
      <c r="B119" s="3579"/>
      <c r="C119" s="3579"/>
      <c r="D119" s="3585" t="e">
        <f ca="1">NUMBERSTRING(INT(D118*10000),2)&amp;"元整"</f>
        <v>#REF!</v>
      </c>
      <c r="E119" s="3586"/>
      <c r="F119" s="3585" t="e">
        <f ca="1">NUMBERSTRING(INT(F118*10000),2)&amp;"元整"</f>
        <v>#REF!</v>
      </c>
      <c r="G119" s="3586"/>
      <c r="H119" s="3585" t="str">
        <f ca="1">NUMBERSTRING(INT(H118*10000),2)&amp;"元整"</f>
        <v>贰亿柒仟零贰拾陆万元整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585" t="s">
        <v>1452</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27026</v>
      </c>
      <c r="E122" s="3581"/>
      <c r="F122" s="3581"/>
      <c r="G122" s="3581"/>
      <c r="H122" s="3581"/>
      <c r="I122" s="3582"/>
      <c r="AA122" s="723"/>
    </row>
    <row r="123" spans="1:27" ht="18.75" customHeight="1">
      <c r="A123" s="3579" t="s">
        <v>1452</v>
      </c>
      <c r="B123" s="3579"/>
      <c r="C123" s="3579"/>
      <c r="D123" s="3585" t="str">
        <f ca="1">NUMBERSTRING(INT(D122*10000),2)&amp;"元整"</f>
        <v>贰亿柒仟零贰拾陆万元整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1452</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1452</v>
      </c>
      <c r="B127" s="3579"/>
      <c r="C127" s="3579"/>
      <c r="D127" s="3585" t="e">
        <f>NUMBERSTRING(INT(D126*10000),2)&amp;"元整"</f>
        <v>#VALUE!</v>
      </c>
      <c r="E127" s="3587"/>
      <c r="F127" s="3587"/>
      <c r="G127" s="3587"/>
      <c r="H127" s="3587"/>
      <c r="I127" s="3586"/>
      <c r="AA127" s="723"/>
    </row>
    <row r="128" spans="1:27" ht="21.75" customHeight="1">
      <c r="A128" s="3588" t="s">
        <v>1453</v>
      </c>
      <c r="B128" s="3588"/>
      <c r="C128" s="3588"/>
      <c r="D128" s="3588"/>
      <c r="E128" s="3588"/>
      <c r="F128" s="3588"/>
      <c r="G128" s="3588"/>
      <c r="H128" s="3588"/>
      <c r="I128" s="3588"/>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29"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85" priority="10" stopIfTrue="1" operator="equal">
      <formula>25</formula>
    </cfRule>
  </conditionalFormatting>
  <conditionalFormatting sqref="C8:C9">
    <cfRule type="cellIs" dxfId="184" priority="9" stopIfTrue="1" operator="equal">
      <formula>15</formula>
    </cfRule>
  </conditionalFormatting>
  <conditionalFormatting sqref="C14:C16">
    <cfRule type="cellIs" dxfId="183" priority="8" stopIfTrue="1" operator="equal">
      <formula>30</formula>
    </cfRule>
  </conditionalFormatting>
  <conditionalFormatting sqref="D5:D7">
    <cfRule type="cellIs" dxfId="182" priority="7" stopIfTrue="1" operator="equal">
      <formula>25</formula>
    </cfRule>
  </conditionalFormatting>
  <conditionalFormatting sqref="D8:D9">
    <cfRule type="cellIs" dxfId="181" priority="6" stopIfTrue="1" operator="equal">
      <formula>15</formula>
    </cfRule>
  </conditionalFormatting>
  <conditionalFormatting sqref="C10:D13">
    <cfRule type="cellIs" dxfId="180" priority="5" stopIfTrue="1" operator="equal">
      <formula>15</formula>
    </cfRule>
  </conditionalFormatting>
  <conditionalFormatting sqref="D14:D16">
    <cfRule type="cellIs" dxfId="179" priority="4"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6" t="s">
        <v>3408</v>
      </c>
      <c r="C1" s="197"/>
      <c r="D1" s="197"/>
      <c r="E1" s="197"/>
      <c r="F1" s="197"/>
      <c r="G1" s="1122">
        <f>MATCH(B1,'数据-取费表'!A6:A16,0)+5</f>
        <v>9</v>
      </c>
    </row>
    <row r="2" spans="1:9" s="199" customFormat="1" ht="18" customHeight="1">
      <c r="A2" s="200" t="s">
        <v>1462</v>
      </c>
      <c r="B2" s="201">
        <f ca="1">IF(D2="——",C52,C52-E2)</f>
        <v>22609</v>
      </c>
      <c r="C2" s="198" t="s">
        <v>1463</v>
      </c>
      <c r="D2" s="1849" t="s">
        <v>43</v>
      </c>
      <c r="E2" s="1165" t="e">
        <f ca="1">SUMIF(INDIRECT("'"&amp;G2&amp;"'"&amp;"!A:A"),"承租人权益价值",INDIRECT("'"&amp;G2&amp;"'"&amp;"!c:c"))</f>
        <v>#REF!</v>
      </c>
      <c r="F2" s="1850" t="s">
        <v>1463</v>
      </c>
      <c r="G2" s="1851"/>
    </row>
    <row r="3" spans="1:9" s="199" customFormat="1" ht="18" customHeight="1" thickBot="1">
      <c r="A3" s="202" t="s">
        <v>1464</v>
      </c>
      <c r="B3" s="203">
        <f ca="1">ROUND(B2*10000/(IF(B1="",'数据-汇总表'!E3,INDIRECT("'数据-取费表'!k"&amp;$G$1))),0)</f>
        <v>13493</v>
      </c>
      <c r="C3" s="198" t="s">
        <v>1465</v>
      </c>
      <c r="D3" s="198"/>
      <c r="E3" s="198"/>
      <c r="F3" s="198"/>
      <c r="G3" s="198"/>
    </row>
    <row r="4" spans="1:9" s="207" customFormat="1" ht="16.2">
      <c r="A4" s="204" t="s">
        <v>1466</v>
      </c>
      <c r="B4" s="205"/>
      <c r="C4" s="205"/>
      <c r="D4" s="205"/>
      <c r="E4" s="205"/>
      <c r="F4" s="205"/>
      <c r="G4" s="206"/>
    </row>
    <row r="5" spans="1:9" s="213" customFormat="1" ht="13.5" customHeight="1">
      <c r="A5" s="254" t="s">
        <v>337</v>
      </c>
      <c r="B5" s="209" t="s">
        <v>1468</v>
      </c>
      <c r="C5" s="210">
        <f ca="1">C6+C7+C8</f>
        <v>7625</v>
      </c>
      <c r="D5" s="210" t="s">
        <v>1469</v>
      </c>
      <c r="E5" s="211" t="s">
        <v>1470</v>
      </c>
      <c r="F5" s="211" t="s">
        <v>1471</v>
      </c>
      <c r="G5" s="212"/>
    </row>
    <row r="6" spans="1:9" s="213" customFormat="1" ht="13.5" customHeight="1">
      <c r="A6" s="774" t="s">
        <v>1472</v>
      </c>
      <c r="B6" s="214" t="s">
        <v>1473</v>
      </c>
      <c r="C6" s="215">
        <f ca="1">ROUND(基准地价修正!C38*'成本法-地下商业2'!D10/10000,0)</f>
        <v>7074</v>
      </c>
      <c r="D6" s="216"/>
      <c r="E6" s="217"/>
      <c r="F6" s="217"/>
      <c r="G6" s="218"/>
    </row>
    <row r="7" spans="1:9" s="213" customFormat="1" ht="13.5" customHeight="1">
      <c r="A7" s="774" t="s">
        <v>347</v>
      </c>
      <c r="B7" s="214" t="s">
        <v>1475</v>
      </c>
      <c r="C7" s="219">
        <f ca="1">ROUND(C6*F7,0)</f>
        <v>216</v>
      </c>
      <c r="D7" s="219"/>
      <c r="E7" s="217"/>
      <c r="F7" s="220">
        <f>IF(项目基本情况!B8="出让",0,'数据-取费表'!B48+'数据-取费表'!B49)</f>
        <v>3.0499999999999999E-2</v>
      </c>
      <c r="G7" s="218"/>
    </row>
    <row r="8" spans="1:9" s="222" customFormat="1">
      <c r="A8" s="774" t="s">
        <v>1476</v>
      </c>
      <c r="B8" s="214" t="s">
        <v>1477</v>
      </c>
      <c r="C8" s="219">
        <f ca="1">IF(G8="已包含在土地购买价格中","0",IF(B1="",'数据-取费表'!B29,IF(G9="全部缴纳",C9+C10,H9)))</f>
        <v>335</v>
      </c>
      <c r="D8" s="221"/>
      <c r="E8" s="219"/>
      <c r="F8" s="220"/>
      <c r="G8" s="1852" t="s">
        <v>3438</v>
      </c>
    </row>
    <row r="9" spans="1:9" s="213" customFormat="1" ht="13.5" customHeight="1">
      <c r="A9" s="775" t="s">
        <v>355</v>
      </c>
      <c r="B9" s="223" t="s">
        <v>1478</v>
      </c>
      <c r="C9" s="224">
        <f ca="1">ROUND(D9*E9/10000,0)</f>
        <v>0</v>
      </c>
      <c r="D9" s="841">
        <f ca="1">IF(B1="",'数据-汇总表'!E5,IF(INDIRECT("'数据-取费表'!c"&amp;$G$1)="住宅",INDIRECT("'数据-取费表'!k"&amp;$G$1),0))</f>
        <v>0</v>
      </c>
      <c r="E9" s="224">
        <f>'数据-取费表'!B27</f>
        <v>160</v>
      </c>
      <c r="F9" s="220"/>
      <c r="G9" s="1853" t="s">
        <v>3439</v>
      </c>
      <c r="H9" s="1133"/>
      <c r="I9" s="1854" t="s">
        <v>1479</v>
      </c>
    </row>
    <row r="10" spans="1:9" s="213" customFormat="1" ht="13.5" customHeight="1">
      <c r="A10" s="775" t="s">
        <v>356</v>
      </c>
      <c r="B10" s="223" t="s">
        <v>1480</v>
      </c>
      <c r="C10" s="224">
        <f ca="1">ROUND(D10*E10/10000,0)</f>
        <v>335</v>
      </c>
      <c r="D10" s="841">
        <f ca="1">IF(B1="",'数据-汇总表'!E6,IF(INDIRECT("'数据-取费表'!c"&amp;$G$1)="住宅",INDIRECT("'数据-取费表'!s"&amp;$G$1),INDIRECT("'数据-取费表'!k"&amp;$G$1)+INDIRECT("'数据-取费表'!s"&amp;$G$1)))</f>
        <v>16756.23</v>
      </c>
      <c r="E10" s="224">
        <f>'数据-取费表'!B28</f>
        <v>200</v>
      </c>
      <c r="F10" s="220"/>
      <c r="G10" s="225"/>
    </row>
    <row r="11" spans="1:9" s="213" customFormat="1" ht="13.5" hidden="1" customHeight="1">
      <c r="A11" s="226" t="s">
        <v>4</v>
      </c>
      <c r="B11" s="214" t="s">
        <v>1481</v>
      </c>
      <c r="C11" s="210"/>
      <c r="D11" s="843"/>
      <c r="E11" s="217"/>
      <c r="F11" s="217"/>
      <c r="G11" s="218"/>
    </row>
    <row r="12" spans="1:9" s="213" customFormat="1" ht="13.5" hidden="1" customHeight="1">
      <c r="A12" s="226" t="s">
        <v>5</v>
      </c>
      <c r="B12" s="214" t="s">
        <v>1482</v>
      </c>
      <c r="C12" s="210">
        <v>0</v>
      </c>
      <c r="D12" s="843"/>
      <c r="E12" s="227"/>
      <c r="F12" s="220">
        <v>3.0499999999999999E-2</v>
      </c>
      <c r="G12" s="218"/>
    </row>
    <row r="13" spans="1:9" s="213" customFormat="1" ht="13.5" hidden="1" customHeight="1">
      <c r="A13" s="226" t="s">
        <v>6</v>
      </c>
      <c r="B13" s="214" t="s">
        <v>1483</v>
      </c>
      <c r="C13" s="210"/>
      <c r="D13" s="843"/>
      <c r="E13" s="217"/>
      <c r="F13" s="217"/>
      <c r="G13" s="218"/>
    </row>
    <row r="14" spans="1:9" s="213" customFormat="1" ht="13.5" hidden="1" customHeight="1">
      <c r="A14" s="226" t="s">
        <v>7</v>
      </c>
      <c r="B14" s="214" t="s">
        <v>1477</v>
      </c>
      <c r="C14" s="210"/>
      <c r="D14" s="843"/>
      <c r="E14" s="217"/>
      <c r="F14" s="217"/>
      <c r="G14" s="218" t="s">
        <v>1485</v>
      </c>
    </row>
    <row r="15" spans="1:9" s="213" customFormat="1" ht="13.5" hidden="1" customHeight="1">
      <c r="A15" s="226" t="s">
        <v>8</v>
      </c>
      <c r="B15" s="214" t="s">
        <v>1486</v>
      </c>
      <c r="C15" s="219"/>
      <c r="D15" s="843"/>
      <c r="E15" s="217"/>
      <c r="F15" s="217"/>
      <c r="G15" s="218" t="s">
        <v>1487</v>
      </c>
    </row>
    <row r="16" spans="1:9" s="213" customFormat="1" ht="13.5" hidden="1" customHeight="1">
      <c r="A16" s="226" t="s">
        <v>9</v>
      </c>
      <c r="B16" s="214" t="s">
        <v>1477</v>
      </c>
      <c r="C16" s="219"/>
      <c r="D16" s="843"/>
      <c r="E16" s="217"/>
      <c r="F16" s="217"/>
      <c r="G16" s="218"/>
    </row>
    <row r="17" spans="1:7" s="213" customFormat="1" ht="13.5" hidden="1" customHeight="1">
      <c r="A17" s="226" t="s">
        <v>10</v>
      </c>
      <c r="B17" s="214" t="s">
        <v>1488</v>
      </c>
      <c r="C17" s="228"/>
      <c r="D17" s="844"/>
      <c r="E17" s="228"/>
      <c r="F17" s="228"/>
      <c r="G17" s="218" t="s">
        <v>1487</v>
      </c>
    </row>
    <row r="18" spans="1:7" s="213" customFormat="1" ht="13.5" hidden="1" customHeight="1">
      <c r="A18" s="226" t="s">
        <v>11</v>
      </c>
      <c r="B18" s="214" t="s">
        <v>1489</v>
      </c>
      <c r="C18" s="219">
        <v>0</v>
      </c>
      <c r="D18" s="843"/>
      <c r="E18" s="217"/>
      <c r="F18" s="220">
        <v>3.0499999999999999E-2</v>
      </c>
      <c r="G18" s="218" t="s">
        <v>1490</v>
      </c>
    </row>
    <row r="19" spans="1:7" s="222" customFormat="1" ht="13.5" customHeight="1">
      <c r="A19" s="254" t="s">
        <v>1491</v>
      </c>
      <c r="B19" s="209" t="s">
        <v>1492</v>
      </c>
      <c r="C19" s="210" t="str">
        <f>IF(G19="已包含在土地取得成本中","0",ROUND(D19*E19/10000,0))</f>
        <v>0</v>
      </c>
      <c r="D19" s="845">
        <f ca="1">D9+D10</f>
        <v>16756.23</v>
      </c>
      <c r="E19" s="210">
        <f>'数据-取费表'!B31</f>
        <v>200</v>
      </c>
      <c r="F19" s="230"/>
      <c r="G19" s="1852" t="s">
        <v>3440</v>
      </c>
    </row>
    <row r="20" spans="1:7" s="213" customFormat="1" ht="13.5" customHeight="1">
      <c r="A20" s="254" t="s">
        <v>1493</v>
      </c>
      <c r="B20" s="209" t="s">
        <v>1494</v>
      </c>
      <c r="C20" s="231">
        <f ca="1">ROUND((C5+C19)*F20,0)</f>
        <v>229</v>
      </c>
      <c r="D20" s="231"/>
      <c r="E20" s="231"/>
      <c r="F20" s="232">
        <f>'数据-取费表'!B37</f>
        <v>0.03</v>
      </c>
      <c r="G20" s="233" t="s">
        <v>1495</v>
      </c>
    </row>
    <row r="21" spans="1:7" s="213" customFormat="1" ht="13.5" customHeight="1">
      <c r="A21" s="254" t="s">
        <v>1496</v>
      </c>
      <c r="B21" s="209" t="s">
        <v>1497</v>
      </c>
      <c r="C21" s="234">
        <f>F21</f>
        <v>0.03</v>
      </c>
      <c r="D21" s="235" t="s">
        <v>1498</v>
      </c>
      <c r="E21" s="231"/>
      <c r="F21" s="232">
        <f>'数据-取费表'!B38</f>
        <v>0.03</v>
      </c>
      <c r="G21" s="233" t="s">
        <v>1499</v>
      </c>
    </row>
    <row r="22" spans="1:7" s="213" customFormat="1" ht="13.5" customHeight="1">
      <c r="A22" s="254" t="s">
        <v>1500</v>
      </c>
      <c r="B22" s="209" t="s">
        <v>1501</v>
      </c>
      <c r="C22" s="1100">
        <f ca="1">ROUND(SUM(C23:C25),0)</f>
        <v>1003</v>
      </c>
      <c r="D22" s="234">
        <f ca="1">C26</f>
        <v>1.9E-3</v>
      </c>
      <c r="E22" s="235" t="s">
        <v>1498</v>
      </c>
      <c r="F22" s="236">
        <f ca="1">'数据-取费表'!B40</f>
        <v>4.1499999999999995E-2</v>
      </c>
      <c r="G22" s="233" t="str">
        <f>IF('数据-取费表'!B22&lt;=1,"单利计息","复利计息")</f>
        <v>复利计息</v>
      </c>
    </row>
    <row r="23" spans="1:7" s="213" customFormat="1" ht="13.5" customHeight="1">
      <c r="A23" s="776" t="s">
        <v>346</v>
      </c>
      <c r="B23" s="214" t="s">
        <v>1503</v>
      </c>
      <c r="C23" s="1101">
        <f ca="1">ROUND(IF('数据-取费表'!B22&lt;=1,C5*F22*'数据-取费表'!B23,C5*(POWER((1+F22),'数据-取费表'!B23)-1)),0)</f>
        <v>989</v>
      </c>
      <c r="D23" s="237"/>
      <c r="E23" s="237"/>
      <c r="F23" s="238"/>
      <c r="G23" s="239" t="s">
        <v>1504</v>
      </c>
    </row>
    <row r="24" spans="1:7" s="213" customFormat="1" ht="13.5" customHeight="1">
      <c r="A24" s="776" t="s">
        <v>347</v>
      </c>
      <c r="B24" s="214" t="s">
        <v>1506</v>
      </c>
      <c r="C24" s="1101">
        <f ca="1">ROUND(IF('数据-取费表'!B22&lt;=1,C19*F22*('数据-取费表'!B19/2+'数据-取费表'!B21),C19*(POWER((1+F22),('数据-取费表'!B19/2+'数据-取费表'!B21))-1)),0)</f>
        <v>0</v>
      </c>
      <c r="D24" s="237"/>
      <c r="E24" s="237"/>
      <c r="F24" s="238"/>
      <c r="G24" s="239" t="s">
        <v>1507</v>
      </c>
    </row>
    <row r="25" spans="1:7" s="213" customFormat="1" ht="24">
      <c r="A25" s="776" t="s">
        <v>348</v>
      </c>
      <c r="B25" s="214" t="s">
        <v>1509</v>
      </c>
      <c r="C25" s="1101">
        <f ca="1">ROUND(IF('数据-取费表'!B22&lt;=1,C20*F22*'数据-取费表'!B23/2,C20*(POWER((1+F22),'数据-取费表'!B23/2)-1)),0)</f>
        <v>14</v>
      </c>
      <c r="D25" s="237"/>
      <c r="E25" s="240"/>
      <c r="F25" s="238"/>
      <c r="G25" s="241" t="s">
        <v>1510</v>
      </c>
    </row>
    <row r="26" spans="1:7" s="213" customFormat="1">
      <c r="A26" s="776" t="s">
        <v>350</v>
      </c>
      <c r="B26" s="214" t="s">
        <v>1511</v>
      </c>
      <c r="C26" s="237">
        <f ca="1">ROUND(IF('数据-取费表'!B22&lt;=1,F21*F22*'数据-取费表'!B23/2,F21*(POWER((1+F22),'数据-取费表'!B23/2)-1)),4)</f>
        <v>1.9E-3</v>
      </c>
      <c r="D26" s="237"/>
      <c r="E26" s="240"/>
      <c r="F26" s="238"/>
      <c r="G26" s="242"/>
    </row>
    <row r="27" spans="1:7" s="213" customFormat="1" ht="26.4">
      <c r="A27" s="254" t="s">
        <v>1512</v>
      </c>
      <c r="B27" s="243" t="s">
        <v>1513</v>
      </c>
      <c r="C27" s="244">
        <f ca="1">C28</f>
        <v>1571</v>
      </c>
      <c r="D27" s="234">
        <f ca="1">C29</f>
        <v>6.0000000000000001E-3</v>
      </c>
      <c r="E27" s="235" t="s">
        <v>1514</v>
      </c>
      <c r="F27" s="245">
        <f ca="1">IF(B1="",'数据-取费表'!Q16,INDIRECT("'数据-取费表'!q"&amp;$G$1))</f>
        <v>0.2</v>
      </c>
      <c r="G27" s="246" t="s">
        <v>1515</v>
      </c>
    </row>
    <row r="28" spans="1:7" s="213" customFormat="1" ht="13.5" customHeight="1">
      <c r="A28" s="776" t="s">
        <v>346</v>
      </c>
      <c r="B28" s="247" t="s">
        <v>1516</v>
      </c>
      <c r="C28" s="248">
        <f ca="1">ROUND((C5+C19+C20)*F27*'数据-取费表'!B21/'数据-取费表'!B20,0)</f>
        <v>1571</v>
      </c>
      <c r="D28" s="234"/>
      <c r="E28" s="235"/>
      <c r="F28" s="245"/>
      <c r="G28" s="246"/>
    </row>
    <row r="29" spans="1:7" s="213" customFormat="1" ht="13.5" customHeight="1">
      <c r="A29" s="776" t="s">
        <v>347</v>
      </c>
      <c r="B29" s="247" t="s">
        <v>1517</v>
      </c>
      <c r="C29" s="237">
        <f ca="1">ROUND(C21*F27*'数据-取费表'!B21/'数据-取费表'!B20,4)</f>
        <v>6.0000000000000001E-3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11474</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8365</v>
      </c>
      <c r="D33" s="231"/>
      <c r="E33" s="211"/>
      <c r="F33" s="240"/>
      <c r="G33" s="233"/>
    </row>
    <row r="34" spans="1:7" s="257" customFormat="1" ht="13.5" customHeight="1">
      <c r="A34" s="776" t="s">
        <v>346</v>
      </c>
      <c r="B34" s="214" t="s">
        <v>1525</v>
      </c>
      <c r="C34" s="219">
        <f ca="1">IF(B1="",IF(F34=100%,'数据-取费表'!M16,'数据-取费表'!O16),IF(F34=100%,INDIRECT("'数据-取费表'!m"&amp;$G$1)+INDIRECT("'数据-取费表'!t"&amp;$G$1),INDIRECT("'数据-取费表'!o"&amp;$G$1)+INDIRECT("'数据-取费表'!aq"&amp;$G$1)))</f>
        <v>7540</v>
      </c>
      <c r="D34" s="216"/>
      <c r="E34" s="219"/>
      <c r="F34" s="256">
        <f ca="1">IF('数据-取费表'!B24=0,1,IF(B1="",'数据-取费表'!N16,INDIRECT("'数据-取费表'!n"&amp;$G$1)))</f>
        <v>1</v>
      </c>
      <c r="G34" s="218" t="s">
        <v>1526</v>
      </c>
    </row>
    <row r="35" spans="1:7" ht="13.5" customHeight="1">
      <c r="A35" s="776" t="s">
        <v>351</v>
      </c>
      <c r="B35" s="214" t="s">
        <v>1527</v>
      </c>
      <c r="C35" s="219">
        <f ca="1">ROUND(C34*F35,0)</f>
        <v>377</v>
      </c>
      <c r="D35" s="219"/>
      <c r="E35" s="219"/>
      <c r="F35" s="258">
        <f>'数据-取费表'!B33</f>
        <v>0.05</v>
      </c>
      <c r="G35" s="218" t="s">
        <v>1528</v>
      </c>
    </row>
    <row r="36" spans="1:7" ht="24">
      <c r="A36" s="776"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6" t="s">
        <v>353</v>
      </c>
      <c r="B37" s="214" t="s">
        <v>1531</v>
      </c>
      <c r="C37" s="248">
        <f ca="1">ROUND(E37*D37*F34/10000,0)</f>
        <v>335</v>
      </c>
      <c r="D37" s="216">
        <f ca="1">D19</f>
        <v>16756.23</v>
      </c>
      <c r="E37" s="248">
        <f>'数据-取费表'!B35</f>
        <v>200</v>
      </c>
      <c r="F37" s="258"/>
      <c r="G37" s="260" t="s">
        <v>1532</v>
      </c>
    </row>
    <row r="38" spans="1:7" ht="13.5" customHeight="1">
      <c r="A38" s="776" t="s">
        <v>354</v>
      </c>
      <c r="B38" s="214" t="s">
        <v>1533</v>
      </c>
      <c r="C38" s="219">
        <f ca="1">ROUND(C34*F38,0)</f>
        <v>113</v>
      </c>
      <c r="D38" s="219"/>
      <c r="E38" s="219"/>
      <c r="F38" s="258">
        <f>'数据-取费表'!B36</f>
        <v>1.4999999999999999E-2</v>
      </c>
      <c r="G38" s="218" t="s">
        <v>1528</v>
      </c>
    </row>
    <row r="39" spans="1:7" s="213" customFormat="1" ht="13.5" customHeight="1">
      <c r="A39" s="254" t="s">
        <v>1491</v>
      </c>
      <c r="B39" s="209" t="s">
        <v>1494</v>
      </c>
      <c r="C39" s="231">
        <f ca="1">ROUND(C33*F20,0)</f>
        <v>251</v>
      </c>
      <c r="D39" s="231"/>
      <c r="E39" s="231"/>
      <c r="F39" s="232">
        <f>F20</f>
        <v>0.03</v>
      </c>
      <c r="G39" s="233" t="s">
        <v>1536</v>
      </c>
    </row>
    <row r="40" spans="1:7" s="213" customFormat="1" ht="13.5" customHeight="1">
      <c r="A40" s="254" t="s">
        <v>1493</v>
      </c>
      <c r="B40" s="209" t="s">
        <v>1538</v>
      </c>
      <c r="C40" s="1323">
        <f>F21</f>
        <v>0.03</v>
      </c>
      <c r="D40" s="235" t="s">
        <v>1539</v>
      </c>
      <c r="E40" s="231"/>
      <c r="F40" s="232">
        <f>F21</f>
        <v>0.03</v>
      </c>
      <c r="G40" s="233" t="s">
        <v>1540</v>
      </c>
    </row>
    <row r="41" spans="1:7" s="213" customFormat="1" ht="13.5" customHeight="1">
      <c r="A41" s="254" t="s">
        <v>1496</v>
      </c>
      <c r="B41" s="209" t="s">
        <v>1501</v>
      </c>
      <c r="C41" s="231">
        <f ca="1">ROUND(SUM(C42:C43),0)</f>
        <v>542</v>
      </c>
      <c r="D41" s="234">
        <f ca="1">C44</f>
        <v>1.9E-3</v>
      </c>
      <c r="E41" s="235" t="s">
        <v>1539</v>
      </c>
      <c r="F41" s="236">
        <f ca="1">F22</f>
        <v>4.1499999999999995E-2</v>
      </c>
      <c r="G41" s="233" t="str">
        <f>IF('数据-取费表'!B22&lt;=1,"单利计息","复利计息")</f>
        <v>复利计息</v>
      </c>
    </row>
    <row r="42" spans="1:7" ht="13.5" customHeight="1">
      <c r="A42" s="776" t="s">
        <v>346</v>
      </c>
      <c r="B42" s="214" t="s">
        <v>1543</v>
      </c>
      <c r="C42" s="237">
        <f ca="1">ROUND(IF('数据-取费表'!B22&lt;=1,C33*F22*'数据-取费表'!B21/2,C33*(POWER((1+F22),'数据-取费表'!B21/2)-1)),0)</f>
        <v>526</v>
      </c>
      <c r="D42" s="237"/>
      <c r="E42" s="237"/>
      <c r="F42" s="238"/>
      <c r="G42" s="3677" t="s">
        <v>1544</v>
      </c>
    </row>
    <row r="43" spans="1:7" ht="13.5" customHeight="1">
      <c r="A43" s="776" t="s">
        <v>347</v>
      </c>
      <c r="B43" s="214" t="s">
        <v>1545</v>
      </c>
      <c r="C43" s="237">
        <f ca="1">ROUND(IF('数据-取费表'!B22&lt;=1,C39*F22*'数据-取费表'!B21/2,C39*(POWER((1+F22),'数据-取费表'!B21/2)-1)),0)</f>
        <v>16</v>
      </c>
      <c r="D43" s="237"/>
      <c r="E43" s="237"/>
      <c r="F43" s="238"/>
      <c r="G43" s="3678"/>
    </row>
    <row r="44" spans="1:7" ht="13.5" customHeight="1">
      <c r="A44" s="776" t="s">
        <v>348</v>
      </c>
      <c r="B44" s="214" t="s">
        <v>1509</v>
      </c>
      <c r="C44" s="237">
        <f ca="1">ROUND(IF('数据-取费表'!B22&lt;=1,C40*F22*'数据-取费表'!B21/2,C40*(POWER((1+F22),'数据-取费表'!B21/2)-1)),4)</f>
        <v>1.9E-3</v>
      </c>
      <c r="D44" s="237"/>
      <c r="E44" s="237"/>
      <c r="F44" s="238"/>
      <c r="G44" s="3679"/>
    </row>
    <row r="45" spans="1:7" s="213" customFormat="1" ht="13.5" customHeight="1">
      <c r="A45" s="254" t="s">
        <v>1500</v>
      </c>
      <c r="B45" s="243" t="s">
        <v>1513</v>
      </c>
      <c r="C45" s="244">
        <f ca="1">C46</f>
        <v>1723</v>
      </c>
      <c r="D45" s="234">
        <f ca="1">C47</f>
        <v>6.0000000000000001E-3</v>
      </c>
      <c r="E45" s="235" t="s">
        <v>1539</v>
      </c>
      <c r="F45" s="245">
        <f ca="1">F27</f>
        <v>0.2</v>
      </c>
      <c r="G45" s="246" t="s">
        <v>1548</v>
      </c>
    </row>
    <row r="46" spans="1:7" s="213" customFormat="1" ht="13.5" customHeight="1">
      <c r="A46" s="776" t="s">
        <v>346</v>
      </c>
      <c r="B46" s="247" t="s">
        <v>1549</v>
      </c>
      <c r="C46" s="248">
        <f ca="1">ROUND((C33+C39)*F27,0)</f>
        <v>1723</v>
      </c>
      <c r="D46" s="262"/>
      <c r="E46" s="235"/>
      <c r="F46" s="245"/>
      <c r="G46" s="246"/>
    </row>
    <row r="47" spans="1:7" s="213" customFormat="1" ht="13.5" customHeight="1">
      <c r="A47" s="776" t="s">
        <v>347</v>
      </c>
      <c r="B47" s="247" t="s">
        <v>1550</v>
      </c>
      <c r="C47" s="237">
        <f ca="1">ROUND(C40*F27,4)</f>
        <v>6.0000000000000001E-3</v>
      </c>
      <c r="D47" s="262"/>
      <c r="E47" s="235"/>
      <c r="F47" s="245"/>
      <c r="G47" s="246"/>
    </row>
    <row r="48" spans="1:7" s="213" customFormat="1" ht="13.5" customHeight="1">
      <c r="A48" s="254" t="s">
        <v>1512</v>
      </c>
      <c r="B48" s="209" t="s">
        <v>1551</v>
      </c>
      <c r="C48" s="1323">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11973</v>
      </c>
      <c r="D49" s="231"/>
      <c r="E49" s="231"/>
      <c r="F49" s="263"/>
      <c r="G49" s="233" t="s">
        <v>1554</v>
      </c>
    </row>
    <row r="50" spans="1:7" s="257" customFormat="1" ht="24">
      <c r="A50" s="254" t="s">
        <v>1555</v>
      </c>
      <c r="B50" s="209" t="s">
        <v>1556</v>
      </c>
      <c r="C50" s="231"/>
      <c r="D50" s="231"/>
      <c r="E50" s="231"/>
      <c r="F50" s="263">
        <f>IF('数据-取费表'!B24=0,'数据-取费表'!N16,1)</f>
        <v>0.93</v>
      </c>
      <c r="G50" s="246" t="s">
        <v>1557</v>
      </c>
    </row>
    <row r="51" spans="1:7" ht="16.5" customHeight="1">
      <c r="A51" s="254" t="s">
        <v>1558</v>
      </c>
      <c r="B51" s="209" t="s">
        <v>1559</v>
      </c>
      <c r="C51" s="231">
        <f ca="1">ROUND(C49*F50,0)</f>
        <v>11135</v>
      </c>
      <c r="D51" s="231"/>
      <c r="E51" s="231"/>
      <c r="F51" s="263"/>
      <c r="G51" s="233" t="s">
        <v>1560</v>
      </c>
    </row>
    <row r="52" spans="1:7" s="207" customFormat="1" ht="16.8" thickBot="1">
      <c r="A52" s="264" t="s">
        <v>1561</v>
      </c>
      <c r="B52" s="265"/>
      <c r="C52" s="266">
        <f ca="1">C31+C51</f>
        <v>22609</v>
      </c>
      <c r="D52" s="265"/>
      <c r="E52" s="265"/>
      <c r="F52" s="265"/>
      <c r="G52" s="267"/>
    </row>
    <row r="55" spans="1:7" ht="15">
      <c r="B55" s="269" t="s">
        <v>1562</v>
      </c>
      <c r="C55" s="270"/>
    </row>
    <row r="56" spans="1:7">
      <c r="B56" s="272" t="s">
        <v>802</v>
      </c>
      <c r="C56" s="274">
        <f ca="1">1-C57</f>
        <v>0.50700000000000001</v>
      </c>
    </row>
    <row r="57" spans="1:7">
      <c r="B57" s="272" t="s">
        <v>803</v>
      </c>
      <c r="C57" s="273">
        <f ca="1">ROUND(C51/C52,3)</f>
        <v>0.49299999999999999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J53" sqref="J53"/>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4" customWidth="1"/>
    <col min="12" max="12" width="16.33203125" style="257" customWidth="1"/>
    <col min="13" max="13" width="13" style="257"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7"/>
  </cols>
  <sheetData>
    <row r="1" spans="1:37" s="292" customFormat="1" ht="21.6">
      <c r="A1" s="1371" t="s">
        <v>877</v>
      </c>
      <c r="B1" s="711"/>
      <c r="C1" s="1375" t="s">
        <v>3408</v>
      </c>
      <c r="D1" s="1358" t="s">
        <v>43</v>
      </c>
      <c r="E1" s="1359" t="s">
        <v>678</v>
      </c>
      <c r="F1" s="1058">
        <f ca="1">J53</f>
        <v>27.83</v>
      </c>
      <c r="G1" s="1374">
        <f>MATCH(C1,'数据-取费表'!A6:A16,0)+5</f>
        <v>9</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29970</v>
      </c>
      <c r="C2" s="1383" t="s">
        <v>805</v>
      </c>
      <c r="D2" s="1383"/>
      <c r="E2" s="1384"/>
      <c r="F2" s="1385"/>
      <c r="G2" s="2702"/>
      <c r="H2" s="2691"/>
      <c r="I2" s="2691"/>
      <c r="J2" s="2691"/>
      <c r="K2" s="2692"/>
      <c r="L2" s="2691"/>
      <c r="M2" s="2691"/>
    </row>
    <row r="3" spans="1:37" ht="18" customHeight="1" thickBot="1">
      <c r="A3" s="1386" t="s">
        <v>806</v>
      </c>
      <c r="B3" s="1387">
        <f ca="1">IF(ISERROR(B2*10000/F43),0,ROUND(B2*10000/F43,0))</f>
        <v>17886</v>
      </c>
      <c r="C3" s="1383" t="s">
        <v>807</v>
      </c>
      <c r="D3" s="1383"/>
      <c r="E3" s="1384"/>
      <c r="F3" s="1385"/>
      <c r="G3" s="2702"/>
      <c r="H3" s="681" t="s">
        <v>876</v>
      </c>
      <c r="I3" s="1378"/>
      <c r="J3" s="1378"/>
      <c r="K3" s="1379"/>
      <c r="L3" s="1378"/>
      <c r="M3" s="1378"/>
    </row>
    <row r="4" spans="1:37" ht="18" customHeight="1">
      <c r="A4" s="294" t="s">
        <v>687</v>
      </c>
      <c r="B4" s="295" t="s">
        <v>688</v>
      </c>
      <c r="C4" s="295" t="s">
        <v>689</v>
      </c>
      <c r="D4" s="295" t="s">
        <v>690</v>
      </c>
      <c r="E4" s="296" t="s">
        <v>691</v>
      </c>
      <c r="F4" s="297"/>
      <c r="G4" s="1380"/>
      <c r="H4" s="294" t="s">
        <v>687</v>
      </c>
      <c r="I4" s="295" t="s">
        <v>688</v>
      </c>
      <c r="J4" s="295" t="s">
        <v>689</v>
      </c>
      <c r="K4" s="295" t="s">
        <v>690</v>
      </c>
      <c r="L4" s="296" t="s">
        <v>691</v>
      </c>
      <c r="M4" s="297"/>
    </row>
    <row r="5" spans="1:37" ht="18" customHeight="1">
      <c r="A5" s="298">
        <v>1</v>
      </c>
      <c r="B5" s="299" t="s">
        <v>692</v>
      </c>
      <c r="C5" s="1066">
        <f ca="1">C6+C10+C12</f>
        <v>1984</v>
      </c>
      <c r="D5" s="1360" t="s">
        <v>693</v>
      </c>
      <c r="E5" s="1067"/>
      <c r="F5" s="1068"/>
      <c r="G5" s="1380"/>
      <c r="H5" s="298">
        <v>1</v>
      </c>
      <c r="I5" s="299" t="s">
        <v>692</v>
      </c>
      <c r="J5" s="1066">
        <f ca="1">J6+J10+J12</f>
        <v>0</v>
      </c>
      <c r="K5" s="1360" t="s">
        <v>693</v>
      </c>
      <c r="L5" s="1067"/>
      <c r="M5" s="1068"/>
    </row>
    <row r="6" spans="1:37" ht="18" customHeight="1">
      <c r="A6" s="1065" t="s">
        <v>398</v>
      </c>
      <c r="B6" s="3682" t="s">
        <v>694</v>
      </c>
      <c r="C6" s="1070">
        <f ca="1">ROUND(F6*F8*F7*(1-F9)/10000,0)</f>
        <v>1982</v>
      </c>
      <c r="D6" s="154" t="s">
        <v>2109</v>
      </c>
      <c r="E6" s="301" t="s">
        <v>696</v>
      </c>
      <c r="F6" s="302">
        <f ca="1">INDIRECT("'数据-取费表'!u"&amp;$G$1)</f>
        <v>3.6</v>
      </c>
      <c r="G6" s="1380"/>
      <c r="H6" s="1065" t="s">
        <v>398</v>
      </c>
      <c r="I6" s="3682" t="s">
        <v>694</v>
      </c>
      <c r="J6" s="300">
        <f ca="1">ROUND(M6*M8*M7*(1-M9)/10000,0)</f>
        <v>0</v>
      </c>
      <c r="K6" s="154" t="s">
        <v>2108</v>
      </c>
      <c r="L6" s="301" t="s">
        <v>696</v>
      </c>
      <c r="M6" s="302">
        <f ca="1">INDIRECT("'数据-取费表'!z"&amp;$G$1)</f>
        <v>0</v>
      </c>
    </row>
    <row r="7" spans="1:37" ht="18" customHeight="1">
      <c r="A7" s="1069"/>
      <c r="B7" s="3683"/>
      <c r="C7" s="1071"/>
      <c r="D7" s="306"/>
      <c r="E7" s="3467" t="s">
        <v>697</v>
      </c>
      <c r="F7" s="302">
        <f ca="1">IF(INDIRECT("'数据-取费表'!ah"&amp;$G$1)="",INDIRECT("'数据-取费表'!k"&amp;$G$1),INDIRECT("'数据-取费表'!ah"&amp;$G$1))</f>
        <v>16756.23</v>
      </c>
      <c r="G7" s="1380"/>
      <c r="H7" s="303"/>
      <c r="I7" s="3683"/>
      <c r="J7" s="305"/>
      <c r="K7" s="306"/>
      <c r="L7" s="301" t="s">
        <v>697</v>
      </c>
      <c r="M7" s="302">
        <f ca="1">F7</f>
        <v>16756.23</v>
      </c>
    </row>
    <row r="8" spans="1:37" ht="18" customHeight="1">
      <c r="A8" s="303"/>
      <c r="B8" s="3683"/>
      <c r="C8" s="305"/>
      <c r="D8" s="306"/>
      <c r="E8" s="301" t="s">
        <v>698</v>
      </c>
      <c r="F8" s="302">
        <f ca="1">INDIRECT("'数据-取费表'!ai"&amp;$G$1)</f>
        <v>365</v>
      </c>
      <c r="G8" s="1380"/>
      <c r="H8" s="303"/>
      <c r="I8" s="3683"/>
      <c r="J8" s="305"/>
      <c r="K8" s="306"/>
      <c r="L8" s="301" t="s">
        <v>698</v>
      </c>
      <c r="M8" s="302">
        <f ca="1">INDIRECT("'数据-取费表'!ai"&amp;$G$1)</f>
        <v>365</v>
      </c>
    </row>
    <row r="9" spans="1:37" ht="18" customHeight="1">
      <c r="A9" s="303"/>
      <c r="B9" s="3684"/>
      <c r="C9" s="305"/>
      <c r="D9" s="306"/>
      <c r="E9" s="301" t="s">
        <v>699</v>
      </c>
      <c r="F9" s="311">
        <f ca="1">INDIRECT("'数据-取费表'!w"&amp;$G$1)</f>
        <v>0.1</v>
      </c>
      <c r="G9" s="1380"/>
      <c r="H9" s="303"/>
      <c r="I9" s="3684"/>
      <c r="J9" s="305"/>
      <c r="K9" s="306"/>
      <c r="L9" s="312" t="s">
        <v>699</v>
      </c>
      <c r="M9" s="313">
        <f ca="1">INDIRECT("'数据-取费表'!ab"&amp;$G$1)</f>
        <v>0</v>
      </c>
    </row>
    <row r="10" spans="1:37" ht="18" customHeight="1">
      <c r="A10" s="1065" t="s">
        <v>402</v>
      </c>
      <c r="B10" s="1361" t="s">
        <v>700</v>
      </c>
      <c r="C10" s="315">
        <f ca="1">ROUND(IF(F10="押一",C6/12*F11,IF(F10="押二",C6/12*2*F11,IF(F10="押三",C6/12*3*F11,C11*F11))),0)</f>
        <v>2</v>
      </c>
      <c r="D10" s="1362" t="s">
        <v>2116</v>
      </c>
      <c r="E10" s="312" t="s">
        <v>701</v>
      </c>
      <c r="F10" s="1112" t="s">
        <v>3437</v>
      </c>
      <c r="G10" s="1380"/>
      <c r="H10" s="1065" t="s">
        <v>402</v>
      </c>
      <c r="I10" s="1361" t="s">
        <v>700</v>
      </c>
      <c r="J10" s="300">
        <f ca="1">ROUND(IF(M10="押一",J6/12*M11,IF(M10="押二",J6/12*2*M11,IF(M10="押三",J6/12*3*M11,J11*M11))),0)</f>
        <v>0</v>
      </c>
      <c r="K10" s="1362" t="s">
        <v>2116</v>
      </c>
      <c r="L10" s="312" t="s">
        <v>701</v>
      </c>
      <c r="M10" s="1112"/>
    </row>
    <row r="11" spans="1:37" ht="18" customHeight="1">
      <c r="A11" s="307"/>
      <c r="B11" s="1363" t="s">
        <v>679</v>
      </c>
      <c r="C11" s="955"/>
      <c r="D11" s="1364"/>
      <c r="E11" s="312" t="s">
        <v>702</v>
      </c>
      <c r="F11" s="313">
        <f ca="1">'数据-取费表'!B39</f>
        <v>1.4999999999999999E-2</v>
      </c>
      <c r="G11" s="1380"/>
      <c r="H11" s="1073"/>
      <c r="I11" s="1363" t="s">
        <v>679</v>
      </c>
      <c r="J11" s="955"/>
      <c r="K11" s="682"/>
      <c r="L11" s="312"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9">
        <f ca="1">ROUND(C29*F13,0)</f>
        <v>11135</v>
      </c>
      <c r="D13" s="3446" t="s">
        <v>705</v>
      </c>
      <c r="E13" s="3446" t="s">
        <v>706</v>
      </c>
      <c r="F13" s="1078">
        <f ca="1">INDIRECT("'数据-取费表'!y"&amp;$G$1)</f>
        <v>0.93</v>
      </c>
      <c r="G13" s="1380"/>
      <c r="H13" s="1075">
        <v>2</v>
      </c>
      <c r="I13" s="1076" t="s">
        <v>704</v>
      </c>
      <c r="J13" s="1064">
        <f ca="1">ROUND(J14*J15,0)</f>
        <v>0</v>
      </c>
      <c r="K13" s="1083" t="s">
        <v>705</v>
      </c>
      <c r="L13" s="1388"/>
      <c r="M13" s="1389"/>
    </row>
    <row r="14" spans="1:37" ht="18" customHeight="1">
      <c r="A14" s="978" t="s">
        <v>397</v>
      </c>
      <c r="B14" s="301" t="s">
        <v>707</v>
      </c>
      <c r="C14" s="317">
        <f ca="1">INDIRECT("'数据-取费表'!m"&amp;$G$1)+INDIRECT("'数据-取费表'!t"&amp;$G$1)</f>
        <v>7540</v>
      </c>
      <c r="D14" s="3456" t="s">
        <v>708</v>
      </c>
      <c r="E14" s="3449"/>
      <c r="F14" s="318"/>
      <c r="G14" s="1380"/>
      <c r="H14" s="978" t="s">
        <v>398</v>
      </c>
      <c r="I14" s="301" t="s">
        <v>709</v>
      </c>
      <c r="J14" s="21">
        <f ca="1">C29</f>
        <v>11973</v>
      </c>
      <c r="K14" s="3465"/>
      <c r="L14" s="803"/>
      <c r="M14" s="804"/>
    </row>
    <row r="15" spans="1:37" s="1393" customFormat="1" ht="18" customHeight="1" thickBot="1">
      <c r="A15" s="978" t="s">
        <v>399</v>
      </c>
      <c r="B15" s="301" t="s">
        <v>710</v>
      </c>
      <c r="C15" s="21">
        <f ca="1">ROUND(C14*F15,0)</f>
        <v>377</v>
      </c>
      <c r="D15" s="3447" t="s">
        <v>711</v>
      </c>
      <c r="E15" s="3447" t="s">
        <v>712</v>
      </c>
      <c r="F15" s="320">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1" t="s">
        <v>713</v>
      </c>
      <c r="C16" s="21">
        <f ca="1">ROUND(INDIRECT("'数据-取费表'!m"&amp;$G$1)*F16,0)</f>
        <v>0</v>
      </c>
      <c r="D16" s="301" t="s">
        <v>711</v>
      </c>
      <c r="E16" s="301" t="s">
        <v>712</v>
      </c>
      <c r="F16" s="321">
        <f ca="1">IF(INDIRECT("'数据-取费表'!c"&amp;$G$1)="住宅",'数据-取费表'!B34,0)</f>
        <v>0</v>
      </c>
      <c r="G16" s="1380"/>
      <c r="H16" s="1075" t="s">
        <v>393</v>
      </c>
      <c r="I16" s="1076" t="s">
        <v>714</v>
      </c>
      <c r="J16" s="309">
        <f ca="1">ROUND(J17+J22+J23+J24,0)</f>
        <v>120</v>
      </c>
      <c r="K16" s="1083" t="s">
        <v>715</v>
      </c>
      <c r="L16" s="3459"/>
      <c r="M16" s="1068"/>
    </row>
    <row r="17" spans="1:37" s="1393" customFormat="1" ht="18" customHeight="1">
      <c r="A17" s="978" t="s">
        <v>681</v>
      </c>
      <c r="B17" s="301" t="s">
        <v>716</v>
      </c>
      <c r="C17" s="21">
        <f ca="1">ROUND(F17*(F43+INDIRECT("'数据-取费表'!S"&amp;$G$1))/10000,0)</f>
        <v>335</v>
      </c>
      <c r="D17" s="301" t="s">
        <v>717</v>
      </c>
      <c r="E17" s="301" t="s">
        <v>718</v>
      </c>
      <c r="F17" s="23">
        <f>'数据-取费表'!B35</f>
        <v>200</v>
      </c>
      <c r="G17" s="1392"/>
      <c r="H17" s="978" t="s">
        <v>398</v>
      </c>
      <c r="I17" s="301" t="s">
        <v>719</v>
      </c>
      <c r="J17" s="2312">
        <f ca="1">ROUND(IF(AND(项目基本情况!B11="自然人",项目基本情况!B10="北京市"),J6*M17/(1+'数据-取费表'!C42),J18+J19+J20),2)</f>
        <v>0.64</v>
      </c>
      <c r="K17" s="3456" t="s">
        <v>720</v>
      </c>
      <c r="L17" s="3454"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1" t="s">
        <v>722</v>
      </c>
      <c r="C18" s="21">
        <f ca="1">ROUND(C14*F18,0)</f>
        <v>113</v>
      </c>
      <c r="D18" s="301" t="s">
        <v>711</v>
      </c>
      <c r="E18" s="301" t="s">
        <v>712</v>
      </c>
      <c r="F18" s="321">
        <f>'数据-取费表'!B36</f>
        <v>1.4999999999999999E-2</v>
      </c>
      <c r="G18" s="1392"/>
      <c r="H18" s="978" t="s">
        <v>397</v>
      </c>
      <c r="I18" s="301" t="s">
        <v>723</v>
      </c>
      <c r="J18" s="21">
        <f ca="1">ROUND(J6*M18/(1+'数据-取费表'!C42),2)</f>
        <v>0</v>
      </c>
      <c r="K18" s="3454" t="s">
        <v>724</v>
      </c>
      <c r="L18" s="301" t="s">
        <v>712</v>
      </c>
      <c r="M18" s="321">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1" t="s">
        <v>725</v>
      </c>
      <c r="C19" s="21">
        <f ca="1">SUM(C14:C18)</f>
        <v>8365</v>
      </c>
      <c r="D19" s="130" t="s">
        <v>726</v>
      </c>
      <c r="E19" s="3469"/>
      <c r="F19" s="23"/>
      <c r="G19" s="1380"/>
      <c r="H19" s="978" t="s">
        <v>399</v>
      </c>
      <c r="I19" s="301" t="s">
        <v>727</v>
      </c>
      <c r="J19" s="21">
        <f ca="1">IF(K19="按租金收入计税",ROUND(J6*M19/(1+'数据-取费表'!C42),2),ROUND(C29*M19*0.7,2))</f>
        <v>0</v>
      </c>
      <c r="K19" s="1366" t="s">
        <v>3342</v>
      </c>
      <c r="L19" s="301" t="s">
        <v>712</v>
      </c>
      <c r="M19" s="321">
        <f>IF(K19="按租金收入计税",'数据-取费表'!B51,'数据-取费表'!B50)</f>
        <v>0.12</v>
      </c>
    </row>
    <row r="20" spans="1:37" s="1393" customFormat="1" ht="18" customHeight="1">
      <c r="A20" s="978" t="s">
        <v>402</v>
      </c>
      <c r="B20" s="301" t="s">
        <v>728</v>
      </c>
      <c r="C20" s="21">
        <f ca="1">ROUND(C19*F20,0)</f>
        <v>251</v>
      </c>
      <c r="D20" s="2424" t="s">
        <v>729</v>
      </c>
      <c r="E20" s="301" t="s">
        <v>712</v>
      </c>
      <c r="F20" s="321">
        <f>'数据-取费表'!B37</f>
        <v>0.03</v>
      </c>
      <c r="G20" s="1392"/>
      <c r="H20" s="978" t="s">
        <v>680</v>
      </c>
      <c r="I20" s="154" t="s">
        <v>730</v>
      </c>
      <c r="J20" s="22">
        <f ca="1">ROUND(M20*M21/10000,2)</f>
        <v>0.64</v>
      </c>
      <c r="K20" s="323" t="s">
        <v>731</v>
      </c>
      <c r="L20" s="301" t="s">
        <v>732</v>
      </c>
      <c r="M20" s="324">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1" t="s">
        <v>733</v>
      </c>
      <c r="C21" s="21" t="s">
        <v>15</v>
      </c>
      <c r="D21" s="2424" t="s">
        <v>734</v>
      </c>
      <c r="E21" s="301" t="s">
        <v>735</v>
      </c>
      <c r="F21" s="321">
        <f>'数据-取费表'!B38</f>
        <v>0.03</v>
      </c>
      <c r="G21" s="1392"/>
      <c r="H21" s="325"/>
      <c r="I21" s="310"/>
      <c r="J21" s="26"/>
      <c r="K21" s="326"/>
      <c r="L21" s="301" t="s">
        <v>736</v>
      </c>
      <c r="M21" s="302">
        <f ca="1">INDIRECT("'数据-取费表'!r"&amp;$G$1)</f>
        <v>2117.5700000000002</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3469"/>
      <c r="F22" s="23"/>
      <c r="G22" s="1380"/>
      <c r="H22" s="978" t="s">
        <v>402</v>
      </c>
      <c r="I22" s="301" t="s">
        <v>738</v>
      </c>
      <c r="J22" s="21">
        <f ca="1">ROUND(J14*M22,2)</f>
        <v>119.73</v>
      </c>
      <c r="K22" s="3454" t="s">
        <v>739</v>
      </c>
      <c r="L22" s="301" t="s">
        <v>712</v>
      </c>
      <c r="M22" s="327">
        <f ca="1">INDIRECT("'数据-取费表'!Ak"&amp;$G$1)</f>
        <v>0.01</v>
      </c>
    </row>
    <row r="23" spans="1:37" s="1393" customFormat="1" ht="18" customHeight="1">
      <c r="A23" s="978" t="s">
        <v>397</v>
      </c>
      <c r="B23" s="301" t="s">
        <v>740</v>
      </c>
      <c r="C23" s="21">
        <f ca="1">IF('数据-取费表'!B22&lt;=1,ROUND(C19*F24*F23/2,0)+ROUND(C20*F24*F23/2,0),ROUND(C19*(POWER((1+F24),F23/2)-1),0)+ROUND(C20*(POWER((1+F24),F23/2)-1),0))</f>
        <v>542</v>
      </c>
      <c r="D23" s="328" t="str">
        <f>IF(F23&lt;=1,"(建造成本+管理费用)×利率×(建设周期÷2)","(建造成本+管理费用)×((1+利率)^(建设周期÷2)-1)")</f>
        <v>(建造成本+管理费用)×((1+利率)^(建设周期÷2)-1)</v>
      </c>
      <c r="E23" s="301" t="s">
        <v>741</v>
      </c>
      <c r="F23" s="324">
        <f>'数据-取费表'!B20</f>
        <v>3</v>
      </c>
      <c r="G23" s="1392"/>
      <c r="H23" s="978" t="s">
        <v>437</v>
      </c>
      <c r="I23" s="301" t="s">
        <v>742</v>
      </c>
      <c r="J23" s="21">
        <f ca="1">ROUND(J13*M23,2)</f>
        <v>0</v>
      </c>
      <c r="K23" s="3454" t="s">
        <v>743</v>
      </c>
      <c r="L23" s="301" t="s">
        <v>744</v>
      </c>
      <c r="M23" s="329">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1" t="s">
        <v>746</v>
      </c>
      <c r="C24" s="21">
        <f ca="1">ROUND(IF('数据-取费表'!B22&lt;=1,F21*F24*F23/2,F21*(POWER((1+F24),F23/2)-1)),4)</f>
        <v>1.9E-3</v>
      </c>
      <c r="D24" s="328" t="str">
        <f>IF(F23&lt;=1,"销售费用×利率×(建设周期÷2)","销售费用×((1+利率)^(建设周期÷2)-1)")</f>
        <v>销售费用×((1+利率)^(建设周期÷2)-1)</v>
      </c>
      <c r="E24" s="301" t="s">
        <v>747</v>
      </c>
      <c r="F24" s="330">
        <f ca="1">'数据-取费表'!B40</f>
        <v>4.1499999999999995E-2</v>
      </c>
      <c r="G24" s="1392"/>
      <c r="H24" s="1085" t="s">
        <v>683</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1" t="s">
        <v>750</v>
      </c>
      <c r="C25" s="21"/>
      <c r="D25" s="130" t="s">
        <v>751</v>
      </c>
      <c r="E25" s="3469"/>
      <c r="F25" s="23"/>
      <c r="G25" s="1380"/>
      <c r="H25" s="1075" t="s">
        <v>394</v>
      </c>
      <c r="I25" s="1090" t="s">
        <v>752</v>
      </c>
      <c r="J25" s="309">
        <f ca="1">J5-J16</f>
        <v>-120</v>
      </c>
      <c r="K25" s="1091" t="s">
        <v>753</v>
      </c>
      <c r="L25" s="1092"/>
      <c r="M25" s="1093"/>
    </row>
    <row r="26" spans="1:37">
      <c r="A26" s="978" t="s">
        <v>397</v>
      </c>
      <c r="B26" s="301" t="s">
        <v>754</v>
      </c>
      <c r="C26" s="21">
        <f ca="1">ROUND((C19+C20)*F26,0)</f>
        <v>1723</v>
      </c>
      <c r="D26" s="2424" t="s">
        <v>755</v>
      </c>
      <c r="E26" s="312" t="s">
        <v>756</v>
      </c>
      <c r="F26" s="311">
        <f ca="1">INDIRECT("'数据-取费表'!q"&amp;$G$1)</f>
        <v>0.2</v>
      </c>
      <c r="G26" s="1380"/>
      <c r="H26" s="298" t="s">
        <v>395</v>
      </c>
      <c r="I26" s="299" t="s">
        <v>757</v>
      </c>
      <c r="J26" s="300">
        <f ca="1">IF(J5&lt;&gt;0,ROUND(J25*(1-((1+M28)/(1+M26))^M27)/(M26-M28),0),0)</f>
        <v>0</v>
      </c>
      <c r="K26" s="323" t="s">
        <v>758</v>
      </c>
      <c r="L26" s="301" t="s">
        <v>759</v>
      </c>
      <c r="M26" s="311">
        <f ca="1">INDIRECT("'数据-取费表'!I"&amp;$G$1)</f>
        <v>5.5E-2</v>
      </c>
    </row>
    <row r="27" spans="1:37" ht="18" customHeight="1">
      <c r="A27" s="978" t="s">
        <v>399</v>
      </c>
      <c r="B27" s="301" t="s">
        <v>760</v>
      </c>
      <c r="C27" s="21">
        <f ca="1">ROUND(F21*F26,4)</f>
        <v>6.0000000000000001E-3</v>
      </c>
      <c r="D27" s="2424" t="s">
        <v>761</v>
      </c>
      <c r="E27" s="3447"/>
      <c r="F27" s="320"/>
      <c r="G27" s="1380"/>
      <c r="H27" s="303"/>
      <c r="I27" s="304"/>
      <c r="J27" s="305"/>
      <c r="K27" s="331" t="s">
        <v>762</v>
      </c>
      <c r="L27" s="301" t="s">
        <v>763</v>
      </c>
      <c r="M27" s="332">
        <f ca="1">INDIRECT("'数据-取费表'!ag"&amp;$G$1)</f>
        <v>0</v>
      </c>
    </row>
    <row r="28" spans="1:37" s="1393" customFormat="1" ht="18" customHeight="1">
      <c r="A28" s="978" t="s">
        <v>400</v>
      </c>
      <c r="B28" s="301" t="s">
        <v>764</v>
      </c>
      <c r="C28" s="21">
        <f>ROUND(F28/(1+'数据-取费表'!C42),4)</f>
        <v>5.33E-2</v>
      </c>
      <c r="D28" s="2424" t="s">
        <v>765</v>
      </c>
      <c r="E28" s="301" t="s">
        <v>712</v>
      </c>
      <c r="F28" s="321">
        <f>'数据-取费表'!B41</f>
        <v>5.6000000000000001E-2</v>
      </c>
      <c r="G28" s="1392"/>
      <c r="H28" s="307"/>
      <c r="I28" s="308"/>
      <c r="J28" s="309"/>
      <c r="K28" s="326"/>
      <c r="L28" s="301" t="s">
        <v>766</v>
      </c>
      <c r="M28" s="311">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11973</v>
      </c>
      <c r="D29" s="1088"/>
      <c r="E29" s="1086"/>
      <c r="F29" s="1089"/>
      <c r="G29" s="1392"/>
      <c r="H29" s="333" t="s">
        <v>396</v>
      </c>
      <c r="I29" s="334" t="s">
        <v>768</v>
      </c>
      <c r="J29" s="335">
        <f ca="1">ROUND(J26/(1+F40)^F41,0)</f>
        <v>0</v>
      </c>
      <c r="K29" s="336" t="s">
        <v>769</v>
      </c>
      <c r="L29" s="337"/>
      <c r="M29" s="338">
        <f ca="1">INDIRECT("'数据-取费表'!k"&amp;$G$1)</f>
        <v>16756.23</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9">
        <f ca="1">ROUND(C31+C36+C37+C38,0)</f>
        <v>484</v>
      </c>
      <c r="D30" s="1083" t="s">
        <v>715</v>
      </c>
      <c r="E30" s="3459"/>
      <c r="F30" s="1068"/>
      <c r="G30" s="1380"/>
      <c r="H30" s="2693"/>
      <c r="I30" s="1394"/>
      <c r="J30" s="1395"/>
      <c r="K30" s="2471"/>
      <c r="L30" s="2694"/>
      <c r="M30" s="2695"/>
    </row>
    <row r="31" spans="1:37" ht="18" customHeight="1">
      <c r="A31" s="978" t="s">
        <v>398</v>
      </c>
      <c r="B31" s="301" t="s">
        <v>719</v>
      </c>
      <c r="C31" s="2312">
        <f ca="1">ROUND(IF(AND(项目基本情况!B11="自然人",项目基本情况!B10="北京市"),C6*F31/(1+'数据-取费表'!C42),C32+C33+C34),2)</f>
        <v>332.86</v>
      </c>
      <c r="D31" s="3456" t="s">
        <v>720</v>
      </c>
      <c r="E31" s="3454" t="s">
        <v>770</v>
      </c>
      <c r="F31" s="2311" t="str">
        <f>IF(项目基本情况!B11="企业","——",IF(M47="住宅",IF(F6*F7*F8/12/(1+'数据-取费表'!F30)&gt;100000,4%,2.5%),IF(F6*F7*F8/12/(1+'数据-取费表'!F30)&gt;100000,12%,7%)))</f>
        <v>——</v>
      </c>
      <c r="G31" s="1380"/>
      <c r="H31" s="2804" t="s">
        <v>2310</v>
      </c>
      <c r="I31" s="1394"/>
      <c r="J31" s="1395"/>
      <c r="K31" s="2471"/>
      <c r="L31" s="2694"/>
      <c r="M31" s="2695"/>
    </row>
    <row r="32" spans="1:37" ht="18" customHeight="1">
      <c r="A32" s="978" t="s">
        <v>397</v>
      </c>
      <c r="B32" s="301" t="s">
        <v>723</v>
      </c>
      <c r="C32" s="21">
        <f ca="1">IF(项目基本情况!B11="自然人","——",ROUND(C6*F32/(1+'数据-取费表'!C42),2))</f>
        <v>105.71</v>
      </c>
      <c r="D32" s="3454" t="s">
        <v>724</v>
      </c>
      <c r="E32" s="301" t="s">
        <v>712</v>
      </c>
      <c r="F32" s="330">
        <f>'数据-取费表'!B41</f>
        <v>5.6000000000000001E-2</v>
      </c>
      <c r="G32" s="1380"/>
      <c r="H32" s="2693"/>
      <c r="I32" s="1394"/>
      <c r="J32" s="1395"/>
      <c r="K32" s="2471"/>
      <c r="L32" s="2694"/>
      <c r="M32" s="2695"/>
    </row>
    <row r="33" spans="1:18" ht="18" customHeight="1">
      <c r="A33" s="978" t="s">
        <v>399</v>
      </c>
      <c r="B33" s="301" t="s">
        <v>727</v>
      </c>
      <c r="C33" s="21">
        <f ca="1">IF(项目基本情况!B11="自然人","——",IF(D33="按租金收入计税",ROUND(C6*F33/(1+'数据-取费表'!C42),2),IF(D33="按房产原值计税",ROUND(C29*F33*0.7,2),INDIRECT("'数据-取费表'!Aj"&amp;$G$1))))</f>
        <v>226.51</v>
      </c>
      <c r="D33" s="1366" t="s">
        <v>3342</v>
      </c>
      <c r="E33" s="301" t="s">
        <v>712</v>
      </c>
      <c r="F33" s="321">
        <f>IF(D33="按票据","——",IF(D33="按租金收入计税",'数据-取费表'!B51,'数据-取费表'!B50))</f>
        <v>0.12</v>
      </c>
      <c r="G33" s="1380"/>
      <c r="H33" s="2696"/>
      <c r="I33" s="1394"/>
      <c r="J33" s="1395"/>
      <c r="K33" s="2697"/>
      <c r="L33" s="2696"/>
      <c r="M33" s="2696"/>
    </row>
    <row r="34" spans="1:18" ht="18" customHeight="1">
      <c r="A34" s="1065" t="s">
        <v>680</v>
      </c>
      <c r="B34" s="154" t="s">
        <v>730</v>
      </c>
      <c r="C34" s="22">
        <f ca="1">IF(项目基本情况!B11="自然人","——",ROUND(F34*F35/10000,2))</f>
        <v>0.64</v>
      </c>
      <c r="D34" s="323" t="s">
        <v>731</v>
      </c>
      <c r="E34" s="301" t="s">
        <v>732</v>
      </c>
      <c r="F34" s="324">
        <f>'数据-取费表'!B52</f>
        <v>3</v>
      </c>
      <c r="G34" s="1380"/>
      <c r="H34" s="2693"/>
      <c r="I34" s="1394"/>
      <c r="J34" s="1395"/>
      <c r="K34" s="2698"/>
      <c r="L34" s="2699"/>
      <c r="M34" s="2699"/>
    </row>
    <row r="35" spans="1:18" ht="18" customHeight="1">
      <c r="A35" s="1099"/>
      <c r="B35" s="1097"/>
      <c r="C35" s="26"/>
      <c r="D35" s="326"/>
      <c r="E35" s="301" t="s">
        <v>736</v>
      </c>
      <c r="F35" s="302">
        <f ca="1">INDIRECT("'数据-取费表'!r"&amp;$G$1)</f>
        <v>2117.5700000000002</v>
      </c>
      <c r="G35" s="1380"/>
      <c r="H35" s="2693"/>
      <c r="I35" s="1394"/>
      <c r="J35" s="1395"/>
      <c r="K35" s="2697"/>
      <c r="L35" s="2696"/>
      <c r="M35" s="2696"/>
    </row>
    <row r="36" spans="1:18" ht="18" customHeight="1">
      <c r="A36" s="1098" t="s">
        <v>402</v>
      </c>
      <c r="B36" s="301" t="s">
        <v>738</v>
      </c>
      <c r="C36" s="21">
        <f ca="1">ROUND(C29*F36,2)</f>
        <v>119.73</v>
      </c>
      <c r="D36" s="3454" t="s">
        <v>771</v>
      </c>
      <c r="E36" s="301" t="s">
        <v>712</v>
      </c>
      <c r="F36" s="327">
        <f ca="1">INDIRECT("'数据-取费表'!Ak"&amp;$G$1)</f>
        <v>0.01</v>
      </c>
      <c r="G36" s="1380"/>
      <c r="H36" s="2696"/>
      <c r="I36" s="1394"/>
      <c r="J36" s="1395"/>
      <c r="K36" s="2540"/>
      <c r="L36" s="2696"/>
      <c r="M36" s="2696"/>
    </row>
    <row r="37" spans="1:18" ht="18" customHeight="1">
      <c r="A37" s="978" t="s">
        <v>437</v>
      </c>
      <c r="B37" s="301" t="s">
        <v>742</v>
      </c>
      <c r="C37" s="21">
        <f ca="1">ROUND(C13*F37,2)</f>
        <v>11.14</v>
      </c>
      <c r="D37" s="3454" t="s">
        <v>743</v>
      </c>
      <c r="E37" s="301" t="s">
        <v>744</v>
      </c>
      <c r="F37" s="329">
        <f ca="1">INDIRECT("'数据-取费表'!Al"&amp;$G$1)</f>
        <v>1E-3</v>
      </c>
      <c r="G37" s="1380"/>
      <c r="H37" s="2696"/>
      <c r="I37" s="1394"/>
      <c r="J37" s="1395"/>
      <c r="K37" s="2540"/>
      <c r="L37" s="2696"/>
      <c r="M37" s="2696"/>
    </row>
    <row r="38" spans="1:18" ht="18" customHeight="1" thickBot="1">
      <c r="A38" s="1085" t="s">
        <v>683</v>
      </c>
      <c r="B38" s="1086" t="s">
        <v>728</v>
      </c>
      <c r="C38" s="1087">
        <f ca="1">ROUND(C5*F38,2)</f>
        <v>19.84</v>
      </c>
      <c r="D38" s="1088" t="s">
        <v>748</v>
      </c>
      <c r="E38" s="1086" t="s">
        <v>744</v>
      </c>
      <c r="F38" s="1082">
        <f ca="1">INDIRECT("'数据-取费表'!Am"&amp;$G$1)</f>
        <v>0.01</v>
      </c>
      <c r="G38" s="1380"/>
      <c r="H38" s="2696"/>
      <c r="I38" s="1394"/>
      <c r="J38" s="1395"/>
      <c r="K38" s="2700"/>
      <c r="L38" s="2696"/>
      <c r="M38" s="2696"/>
    </row>
    <row r="39" spans="1:18" ht="24.6" customHeight="1" thickTop="1">
      <c r="A39" s="1075" t="s">
        <v>394</v>
      </c>
      <c r="B39" s="1090" t="s">
        <v>772</v>
      </c>
      <c r="C39" s="309">
        <f ca="1">C5-C30</f>
        <v>1500</v>
      </c>
      <c r="D39" s="1091" t="s">
        <v>773</v>
      </c>
      <c r="E39" s="1092"/>
      <c r="F39" s="1093"/>
      <c r="G39" s="1380"/>
      <c r="H39" s="2696"/>
      <c r="I39" s="1394"/>
      <c r="J39" s="1395"/>
      <c r="K39" s="2700"/>
      <c r="L39" s="2696"/>
      <c r="M39" s="2696"/>
    </row>
    <row r="40" spans="1:18" ht="18" customHeight="1">
      <c r="A40" s="298" t="s">
        <v>395</v>
      </c>
      <c r="B40" s="299" t="s">
        <v>774</v>
      </c>
      <c r="C40" s="300">
        <f ca="1">ROUND(C39*(1-((1+F42)/(1+F40))^F41)/(F40-F42),0)</f>
        <v>29218</v>
      </c>
      <c r="D40" s="323" t="s">
        <v>758</v>
      </c>
      <c r="E40" s="301" t="s">
        <v>759</v>
      </c>
      <c r="F40" s="311">
        <f ca="1">INDIRECT("'数据-取费表'!I"&amp;$G$1)</f>
        <v>5.5E-2</v>
      </c>
      <c r="G40" s="1380"/>
      <c r="H40" s="1457"/>
      <c r="I40" s="1394"/>
      <c r="J40" s="1395"/>
      <c r="K40" s="2700"/>
      <c r="L40" s="1457"/>
      <c r="M40" s="1457"/>
    </row>
    <row r="41" spans="1:18" ht="18" customHeight="1">
      <c r="A41" s="303"/>
      <c r="B41" s="304"/>
      <c r="C41" s="305"/>
      <c r="D41" s="331" t="s">
        <v>775</v>
      </c>
      <c r="E41" s="301" t="s">
        <v>763</v>
      </c>
      <c r="F41" s="332">
        <f ca="1">IF(INDIRECT("'数据-取费表'!af"&amp;$G$1)=0,INDIRECT("'数据-取费表'!ae"&amp;$G$1),INDIRECT("'数据-取费表'!af"&amp;$G$1))</f>
        <v>27.83</v>
      </c>
      <c r="G41" s="1380"/>
      <c r="H41" s="1187"/>
      <c r="I41" s="1394"/>
      <c r="J41" s="1395"/>
      <c r="K41" s="2540"/>
      <c r="L41" s="1187"/>
      <c r="M41" s="1187"/>
    </row>
    <row r="42" spans="1:18" ht="18" customHeight="1">
      <c r="A42" s="307"/>
      <c r="B42" s="308"/>
      <c r="C42" s="309"/>
      <c r="D42" s="326"/>
      <c r="E42" s="301" t="s">
        <v>766</v>
      </c>
      <c r="F42" s="311">
        <f ca="1">INDIRECT("'数据-取费表'!v"&amp;$G$1)</f>
        <v>0.03</v>
      </c>
      <c r="G42" s="1380"/>
      <c r="H42" s="1187"/>
      <c r="I42" s="1394"/>
      <c r="J42" s="1395"/>
      <c r="K42" s="2540"/>
      <c r="L42" s="1187"/>
      <c r="M42" s="1187"/>
    </row>
    <row r="43" spans="1:18" ht="18" customHeight="1" thickBot="1">
      <c r="A43" s="333" t="s">
        <v>396</v>
      </c>
      <c r="B43" s="334" t="s">
        <v>776</v>
      </c>
      <c r="C43" s="335">
        <f ca="1">ROUND(C40*10000/F43,0)</f>
        <v>17437</v>
      </c>
      <c r="D43" s="336" t="s">
        <v>777</v>
      </c>
      <c r="E43" s="337" t="s">
        <v>778</v>
      </c>
      <c r="F43" s="338">
        <f ca="1">INDIRECT("'数据-取费表'!k"&amp;$G$1)</f>
        <v>16756.23</v>
      </c>
      <c r="G43" s="1380"/>
      <c r="H43" s="1187"/>
      <c r="I43" s="1187"/>
      <c r="J43" s="1187"/>
      <c r="K43" s="2540"/>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8" thickBot="1">
      <c r="A46" s="1400" t="s">
        <v>809</v>
      </c>
      <c r="C46" s="1401">
        <f ca="1">C68-C40</f>
        <v>-31077</v>
      </c>
      <c r="D46" s="1402" t="str">
        <f>C2</f>
        <v>万元</v>
      </c>
      <c r="E46" s="1396"/>
      <c r="F46" s="1396"/>
      <c r="I46" s="1403" t="s">
        <v>810</v>
      </c>
      <c r="J46" s="1404"/>
      <c r="K46" s="1405"/>
      <c r="L46" s="1406">
        <f ca="1">IF(M47="住宅",0,IF(L48&gt;J51,L60,J60))</f>
        <v>752</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t="s">
        <v>3434</v>
      </c>
      <c r="K47" s="1412" t="s">
        <v>816</v>
      </c>
      <c r="L47" s="1413">
        <f ca="1">INDIRECT("'数据-取费表'!d"&amp;$G$1)</f>
        <v>40</v>
      </c>
      <c r="M47" s="1376" t="str">
        <f>IF(ISNUMBER(FIND("住宅",C1)),"住宅","非住宅")</f>
        <v>非住宅</v>
      </c>
      <c r="O47" s="1414" t="s">
        <v>403</v>
      </c>
      <c r="P47" s="1415" t="s">
        <v>817</v>
      </c>
      <c r="Q47" s="1416">
        <f ca="1">C40+J29</f>
        <v>29218</v>
      </c>
      <c r="R47" s="1416" t="s">
        <v>818</v>
      </c>
    </row>
    <row r="48" spans="1:18" s="1380" customFormat="1" ht="40.200000000000003" thickBot="1">
      <c r="A48" s="1106" t="s">
        <v>438</v>
      </c>
      <c r="B48" s="299" t="s">
        <v>692</v>
      </c>
      <c r="C48" s="3468">
        <f ca="1">C49+C53+C55</f>
        <v>0</v>
      </c>
      <c r="D48" s="1108"/>
      <c r="E48" s="1109"/>
      <c r="F48" s="958"/>
      <c r="G48" s="720"/>
      <c r="H48" s="721"/>
      <c r="I48" s="1417" t="s">
        <v>819</v>
      </c>
      <c r="J48" s="1418" t="s">
        <v>3435</v>
      </c>
      <c r="K48" s="1419" t="s">
        <v>820</v>
      </c>
      <c r="L48" s="1420">
        <f ca="1">INDIRECT("'数据-取费表'!f"&amp;$G$1)</f>
        <v>27.83</v>
      </c>
      <c r="O48" s="1414" t="s">
        <v>404</v>
      </c>
      <c r="P48" s="1415" t="s">
        <v>821</v>
      </c>
      <c r="Q48" s="1416">
        <f ca="1">J60</f>
        <v>752</v>
      </c>
      <c r="R48" s="1416" t="s">
        <v>822</v>
      </c>
    </row>
    <row r="49" spans="1:18" s="1380" customFormat="1" ht="13.8" thickBot="1">
      <c r="A49" s="971" t="s">
        <v>439</v>
      </c>
      <c r="B49" s="1367" t="s">
        <v>779</v>
      </c>
      <c r="C49" s="1110">
        <f ca="1">ROUND(F49*F51*F50*(1-F52)/10000,0)</f>
        <v>0</v>
      </c>
      <c r="D49" s="1051" t="s">
        <v>2108</v>
      </c>
      <c r="E49" s="1368" t="s">
        <v>780</v>
      </c>
      <c r="F49" s="1056"/>
      <c r="G49" s="1421"/>
      <c r="H49" s="721"/>
      <c r="I49" s="1417" t="s">
        <v>823</v>
      </c>
      <c r="J49" s="1422">
        <v>2019</v>
      </c>
      <c r="K49" s="1419" t="s">
        <v>824</v>
      </c>
      <c r="L49" s="1423"/>
      <c r="O49" s="1424" t="s">
        <v>405</v>
      </c>
      <c r="P49" s="1415" t="s">
        <v>825</v>
      </c>
      <c r="Q49" s="1416">
        <f ca="1">C29</f>
        <v>11973</v>
      </c>
      <c r="R49" s="1416" t="s">
        <v>818</v>
      </c>
    </row>
    <row r="50" spans="1:18" s="1380" customFormat="1" ht="13.8" thickBot="1">
      <c r="A50" s="972"/>
      <c r="B50" s="975"/>
      <c r="C50" s="1114"/>
      <c r="D50" s="949"/>
      <c r="E50" s="1052" t="s">
        <v>697</v>
      </c>
      <c r="F50" s="1053">
        <f ca="1">F7</f>
        <v>16756.23</v>
      </c>
      <c r="H50" s="721"/>
      <c r="I50" s="1417" t="s">
        <v>826</v>
      </c>
      <c r="J50" s="1425">
        <f>SUMPRODUCT((I63:I65=J47)*(J62:L62=J48)*(J63:L65))</f>
        <v>60</v>
      </c>
      <c r="K50" s="1419" t="s">
        <v>827</v>
      </c>
      <c r="L50" s="1423"/>
      <c r="M50" s="1426"/>
      <c r="O50" s="1424" t="s">
        <v>406</v>
      </c>
      <c r="P50" s="1415" t="s">
        <v>828</v>
      </c>
      <c r="Q50" s="1427">
        <f ca="1">J58</f>
        <v>0.47</v>
      </c>
      <c r="R50" s="1416"/>
    </row>
    <row r="51" spans="1:18" s="1380" customFormat="1" ht="13.8" thickBot="1">
      <c r="A51" s="973"/>
      <c r="B51" s="975"/>
      <c r="C51" s="976"/>
      <c r="D51" s="949"/>
      <c r="E51" s="977" t="s">
        <v>698</v>
      </c>
      <c r="F51" s="302">
        <f ca="1">F8</f>
        <v>365</v>
      </c>
      <c r="I51" s="1428" t="s">
        <v>829</v>
      </c>
      <c r="J51" s="1429">
        <f>IF(J49="",J50,J49+J50-YEAR('数据-取费表'!B2))</f>
        <v>56</v>
      </c>
      <c r="K51" s="1430" t="s">
        <v>830</v>
      </c>
      <c r="L51" s="1431">
        <f ca="1">ROUND(-PV(INDIRECT("'数据-取费表'!h"&amp;$G$1),J51,(C39-C13*C76),0),0)</f>
        <v>11486</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c r="O52" s="1424" t="s">
        <v>408</v>
      </c>
      <c r="P52" s="1415" t="s">
        <v>834</v>
      </c>
      <c r="Q52" s="1416">
        <f ca="1">J53</f>
        <v>27.83</v>
      </c>
      <c r="R52" s="1416" t="s">
        <v>835</v>
      </c>
    </row>
    <row r="53" spans="1:18" s="1380" customFormat="1" ht="36.6" thickBot="1">
      <c r="A53" s="1148" t="s">
        <v>440</v>
      </c>
      <c r="B53" s="1369" t="s">
        <v>700</v>
      </c>
      <c r="C53" s="315">
        <f ca="1">ROUND(IF(F53="押一",C49/12*F11,IF(F53="押二",C49/12*2*F11,IF(F53="押三",C49/12*3*F11,C54*F11))),0)</f>
        <v>0</v>
      </c>
      <c r="D53" s="1362" t="s">
        <v>2116</v>
      </c>
      <c r="E53" s="312" t="s">
        <v>701</v>
      </c>
      <c r="F53" s="1112"/>
      <c r="I53" s="1435" t="s">
        <v>836</v>
      </c>
      <c r="J53" s="2164">
        <f ca="1">IF(M47="住宅",IF(D1="——",MAX(J51,L48),MAX(J51,L48-'数据-取费表'!B24)),IF(D1="——",MIN(J51,L48),MIN(J51,L48-'数据-取费表'!B24)))</f>
        <v>27.83</v>
      </c>
      <c r="K53" s="3680" t="s">
        <v>837</v>
      </c>
      <c r="L53" s="3681"/>
      <c r="O53" s="1414" t="s">
        <v>409</v>
      </c>
      <c r="P53" s="1415" t="s">
        <v>838</v>
      </c>
      <c r="Q53" s="1416">
        <f ca="1">Q47+Q48</f>
        <v>29970</v>
      </c>
      <c r="R53" s="1416" t="s">
        <v>410</v>
      </c>
    </row>
    <row r="54" spans="1:18" s="1380" customFormat="1" ht="24.6" thickBot="1">
      <c r="A54" s="1149"/>
      <c r="B54" s="1363" t="s">
        <v>679</v>
      </c>
      <c r="C54" s="955"/>
      <c r="D54" s="1362"/>
      <c r="E54" s="346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3461"/>
      <c r="F55" s="1436"/>
      <c r="I55" s="1439" t="s">
        <v>840</v>
      </c>
      <c r="J55" s="1440">
        <f ca="1">ROUND(IF(J47="钢混",J57/J50,1-(1-2%)*(J50-J57)/J50),3)</f>
        <v>0.47</v>
      </c>
      <c r="K55" s="1441" t="s">
        <v>841</v>
      </c>
      <c r="L55" s="1442"/>
      <c r="O55" s="1407" t="s">
        <v>811</v>
      </c>
      <c r="P55" s="1408" t="s">
        <v>812</v>
      </c>
      <c r="Q55" s="1409" t="s">
        <v>813</v>
      </c>
      <c r="R55" s="1409" t="s">
        <v>814</v>
      </c>
    </row>
    <row r="56" spans="1:18" s="1380" customFormat="1" ht="37.200000000000003" thickTop="1" thickBot="1">
      <c r="A56" s="953">
        <v>2</v>
      </c>
      <c r="B56" s="954" t="s">
        <v>704</v>
      </c>
      <c r="C56" s="231">
        <f ca="1">C13</f>
        <v>11135</v>
      </c>
      <c r="D56" s="1443"/>
      <c r="E56" s="1444"/>
      <c r="F56" s="1436"/>
      <c r="I56" s="1445" t="s">
        <v>842</v>
      </c>
      <c r="J56" s="1446" t="s">
        <v>3436</v>
      </c>
      <c r="K56" s="1417" t="s">
        <v>843</v>
      </c>
      <c r="L56" s="1420" t="str">
        <f ca="1">IF(L48&lt;J51,"——",L48-J53)</f>
        <v>——</v>
      </c>
      <c r="O56" s="1414" t="s">
        <v>403</v>
      </c>
      <c r="P56" s="1415" t="s">
        <v>817</v>
      </c>
      <c r="Q56" s="1416">
        <f ca="1">C40+J29</f>
        <v>29218</v>
      </c>
      <c r="R56" s="1416" t="s">
        <v>818</v>
      </c>
    </row>
    <row r="57" spans="1:18" s="1380" customFormat="1" ht="24.6" thickBot="1">
      <c r="A57" s="1447"/>
      <c r="B57" s="946" t="s">
        <v>767</v>
      </c>
      <c r="C57" s="237">
        <f ca="1">C29</f>
        <v>11973</v>
      </c>
      <c r="D57" s="1448"/>
      <c r="E57" s="1449"/>
      <c r="F57" s="1450"/>
      <c r="I57" s="1451" t="s">
        <v>844</v>
      </c>
      <c r="J57" s="1452">
        <f ca="1">IF(OR(M47="住宅",J51&lt;L48,J56="是"),"——",J51-L48)</f>
        <v>28.17</v>
      </c>
      <c r="K57" s="1417" t="s">
        <v>845</v>
      </c>
      <c r="L57" s="1420" t="str">
        <f ca="1">IF(L48&lt;J51,"——",IF(L55="比较法",L49,IF(L55="基准地价",L50,L51)))</f>
        <v>——</v>
      </c>
      <c r="O57" s="1414" t="s">
        <v>404</v>
      </c>
      <c r="P57" s="1415" t="s">
        <v>846</v>
      </c>
      <c r="Q57" s="1416">
        <f ca="1">L60</f>
        <v>0</v>
      </c>
      <c r="R57" s="1416" t="s">
        <v>847</v>
      </c>
    </row>
    <row r="58" spans="1:18" s="1380" customFormat="1" ht="24.6" thickBot="1">
      <c r="A58" s="314" t="s">
        <v>393</v>
      </c>
      <c r="B58" s="954" t="s">
        <v>714</v>
      </c>
      <c r="C58" s="315">
        <f ca="1">ROUND(C59+C64+C65+C66,0)</f>
        <v>132</v>
      </c>
      <c r="D58" s="956" t="s">
        <v>715</v>
      </c>
      <c r="E58" s="957"/>
      <c r="F58" s="958"/>
      <c r="I58" s="1451" t="s">
        <v>848</v>
      </c>
      <c r="J58" s="1453">
        <f ca="1">IF(J55&lt;0.4,0.4,J55)</f>
        <v>0.47</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5627</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30">
        <f t="shared" ref="F60:F66" si="0">F32</f>
        <v>5.6000000000000001E-2</v>
      </c>
      <c r="I60" s="1454" t="s">
        <v>853</v>
      </c>
      <c r="J60" s="1455">
        <f ca="1">IF(OR(M47="住宅",J51&lt;L48,J56="是"),"0",ROUND(J59/(1+J52)^J53,0))</f>
        <v>752</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IF(项目基本情况!B11="自然人","——",IF(D61="按租金收入计税",ROUND(C49*F61/(1+'数据-取费表'!C42),2),IF(D61="按房产原值计税",ROUND(C57*F61*0.7,2),INDIRECT("'数据-取费表'!Aj"&amp;$G$1))))</f>
        <v>0</v>
      </c>
      <c r="D61" s="1366" t="s">
        <v>3342</v>
      </c>
      <c r="E61" s="946" t="s">
        <v>783</v>
      </c>
      <c r="F61" s="321">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0.64</v>
      </c>
      <c r="D62" s="961" t="s">
        <v>786</v>
      </c>
      <c r="E62" s="946" t="s">
        <v>787</v>
      </c>
      <c r="F62" s="324">
        <f t="shared" si="0"/>
        <v>3</v>
      </c>
      <c r="I62" s="1458" t="s">
        <v>858</v>
      </c>
      <c r="J62" s="1459" t="s">
        <v>859</v>
      </c>
      <c r="K62" s="1459" t="s">
        <v>860</v>
      </c>
      <c r="L62" s="1459" t="s">
        <v>861</v>
      </c>
      <c r="M62" s="1460" t="s">
        <v>862</v>
      </c>
      <c r="O62" s="1414" t="s">
        <v>409</v>
      </c>
      <c r="P62" s="1415" t="s">
        <v>863</v>
      </c>
      <c r="Q62" s="1416">
        <f ca="1">Q56+Q57</f>
        <v>29218</v>
      </c>
      <c r="R62" s="1416" t="s">
        <v>410</v>
      </c>
    </row>
    <row r="63" spans="1:18" s="1380" customFormat="1" ht="13.8" thickBot="1">
      <c r="A63" s="325"/>
      <c r="B63" s="952"/>
      <c r="C63" s="26"/>
      <c r="D63" s="962"/>
      <c r="E63" s="946" t="s">
        <v>788</v>
      </c>
      <c r="F63" s="302">
        <f t="shared" ca="1" si="0"/>
        <v>2117.5700000000002</v>
      </c>
      <c r="I63" s="1458" t="s">
        <v>864</v>
      </c>
      <c r="J63" s="1459">
        <v>70</v>
      </c>
      <c r="K63" s="1459">
        <v>50</v>
      </c>
      <c r="L63" s="1459">
        <v>80</v>
      </c>
      <c r="M63" s="1461">
        <v>0.02</v>
      </c>
      <c r="O63" s="1399" t="s">
        <v>865</v>
      </c>
      <c r="P63" s="1377"/>
      <c r="Q63" s="1377"/>
      <c r="R63" s="1377"/>
    </row>
    <row r="64" spans="1:18" s="1380" customFormat="1" ht="13.8" thickBot="1">
      <c r="A64" s="978" t="s">
        <v>789</v>
      </c>
      <c r="B64" s="946" t="s">
        <v>738</v>
      </c>
      <c r="C64" s="21">
        <f ca="1">ROUND(C57*F64,2)</f>
        <v>119.73</v>
      </c>
      <c r="D64" s="960" t="s">
        <v>791</v>
      </c>
      <c r="E64" s="946" t="s">
        <v>783</v>
      </c>
      <c r="F64" s="327">
        <f t="shared" ca="1" si="0"/>
        <v>0.01</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11.14</v>
      </c>
      <c r="D65" s="960" t="s">
        <v>743</v>
      </c>
      <c r="E65" s="946" t="s">
        <v>744</v>
      </c>
      <c r="F65" s="329">
        <f t="shared" ca="1" si="0"/>
        <v>1E-3</v>
      </c>
      <c r="I65" s="1458" t="s">
        <v>867</v>
      </c>
      <c r="J65" s="1459">
        <v>40</v>
      </c>
      <c r="K65" s="1459">
        <v>30</v>
      </c>
      <c r="L65" s="1459">
        <v>50</v>
      </c>
      <c r="M65" s="1461">
        <v>0.02</v>
      </c>
      <c r="O65" s="1414" t="s">
        <v>403</v>
      </c>
      <c r="P65" s="1415" t="s">
        <v>868</v>
      </c>
      <c r="Q65" s="1416">
        <f ca="1">C40+J29</f>
        <v>29218</v>
      </c>
      <c r="R65" s="1416" t="s">
        <v>818</v>
      </c>
    </row>
    <row r="66" spans="1:18" s="1380" customFormat="1" ht="16.2" thickBot="1">
      <c r="A66" s="978" t="s">
        <v>793</v>
      </c>
      <c r="B66" s="946" t="s">
        <v>728</v>
      </c>
      <c r="C66" s="21">
        <f ca="1">ROUND(C48*F66,2)</f>
        <v>0</v>
      </c>
      <c r="D66" s="960" t="s">
        <v>794</v>
      </c>
      <c r="E66" s="946" t="s">
        <v>712</v>
      </c>
      <c r="F66" s="311">
        <f t="shared" ca="1" si="0"/>
        <v>0.01</v>
      </c>
      <c r="O66" s="1414" t="s">
        <v>404</v>
      </c>
      <c r="P66" s="1415" t="s">
        <v>846</v>
      </c>
      <c r="Q66" s="1416">
        <f ca="1">L60</f>
        <v>0</v>
      </c>
      <c r="R66" s="1416" t="s">
        <v>869</v>
      </c>
    </row>
    <row r="67" spans="1:18" s="1380" customFormat="1" ht="24.6" thickBot="1">
      <c r="A67" s="953" t="s">
        <v>394</v>
      </c>
      <c r="B67" s="963" t="s">
        <v>752</v>
      </c>
      <c r="C67" s="315">
        <f ca="1">C48-C58</f>
        <v>-132</v>
      </c>
      <c r="D67" s="959" t="s">
        <v>753</v>
      </c>
      <c r="E67" s="964"/>
      <c r="F67" s="965"/>
      <c r="O67" s="1424" t="s">
        <v>405</v>
      </c>
      <c r="P67" s="1415" t="s">
        <v>850</v>
      </c>
      <c r="Q67" s="1462">
        <f ca="1">L51</f>
        <v>11486</v>
      </c>
      <c r="R67" s="1416" t="s">
        <v>870</v>
      </c>
    </row>
    <row r="68" spans="1:18" s="1380" customFormat="1" ht="16.2" thickBot="1">
      <c r="A68" s="943" t="s">
        <v>395</v>
      </c>
      <c r="B68" s="944" t="s">
        <v>774</v>
      </c>
      <c r="C68" s="300">
        <f ca="1">ROUND(C67*(1-((1+F70)/(1+F68))^F69)/(F68-F70),0)</f>
        <v>-1859</v>
      </c>
      <c r="D68" s="961" t="s">
        <v>758</v>
      </c>
      <c r="E68" s="946" t="s">
        <v>759</v>
      </c>
      <c r="F68" s="311">
        <f ca="1">F40</f>
        <v>5.5E-2</v>
      </c>
      <c r="O68" s="1424" t="s">
        <v>406</v>
      </c>
      <c r="P68" s="1463" t="s">
        <v>871</v>
      </c>
      <c r="Q68" s="1416">
        <f ca="1">ROUND(Q69-Q70*Q71,0)</f>
        <v>665</v>
      </c>
      <c r="R68" s="1416" t="s">
        <v>414</v>
      </c>
    </row>
    <row r="69" spans="1:18" s="1380" customFormat="1" ht="13.8" thickBot="1">
      <c r="A69" s="947"/>
      <c r="B69" s="948"/>
      <c r="C69" s="305"/>
      <c r="D69" s="966" t="s">
        <v>762</v>
      </c>
      <c r="E69" s="946" t="s">
        <v>763</v>
      </c>
      <c r="F69" s="332">
        <f ca="1">F41</f>
        <v>27.83</v>
      </c>
      <c r="O69" s="1424" t="s">
        <v>411</v>
      </c>
      <c r="P69" s="1463" t="s">
        <v>872</v>
      </c>
      <c r="Q69" s="1416">
        <f ca="1">C39</f>
        <v>1500</v>
      </c>
      <c r="R69" s="1416" t="s">
        <v>818</v>
      </c>
    </row>
    <row r="70" spans="1:18" s="1380" customFormat="1" ht="13.8" thickBot="1">
      <c r="A70" s="950"/>
      <c r="B70" s="951"/>
      <c r="C70" s="309"/>
      <c r="D70" s="962"/>
      <c r="E70" s="946" t="s">
        <v>766</v>
      </c>
      <c r="F70" s="1050"/>
      <c r="O70" s="1424" t="s">
        <v>412</v>
      </c>
      <c r="P70" s="1463" t="s">
        <v>873</v>
      </c>
      <c r="Q70" s="1416">
        <f ca="1">C13</f>
        <v>11135</v>
      </c>
      <c r="R70" s="1416" t="s">
        <v>818</v>
      </c>
    </row>
    <row r="71" spans="1:18" s="1380" customFormat="1" ht="13.8" thickBot="1">
      <c r="A71" s="967" t="s">
        <v>396</v>
      </c>
      <c r="B71" s="968" t="s">
        <v>776</v>
      </c>
      <c r="C71" s="335">
        <f ca="1">ROUND(C68*10000/F71,0)</f>
        <v>-1109</v>
      </c>
      <c r="D71" s="969" t="s">
        <v>777</v>
      </c>
      <c r="E71" s="970" t="s">
        <v>778</v>
      </c>
      <c r="F71" s="338">
        <f ca="1">F43</f>
        <v>16756.23</v>
      </c>
      <c r="O71" s="1424" t="s">
        <v>413</v>
      </c>
      <c r="P71" s="1463" t="s">
        <v>874</v>
      </c>
      <c r="Q71" s="1427">
        <f ca="1">C76</f>
        <v>7.4999999999999997E-2</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2"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9" t="s">
        <v>795</v>
      </c>
      <c r="C75" s="340">
        <f ca="1">ROUND(C13*C76,0)</f>
        <v>835</v>
      </c>
      <c r="D75" s="1380"/>
      <c r="E75" s="1380"/>
      <c r="F75" s="1380"/>
      <c r="K75" s="1398"/>
      <c r="L75" s="1380"/>
      <c r="O75" s="1414" t="s">
        <v>409</v>
      </c>
      <c r="P75" s="1415" t="s">
        <v>838</v>
      </c>
      <c r="Q75" s="1416">
        <f ca="1">Q65+Q66</f>
        <v>29218</v>
      </c>
      <c r="R75" s="1416" t="s">
        <v>410</v>
      </c>
    </row>
    <row r="76" spans="1:18">
      <c r="B76" s="341" t="s">
        <v>796</v>
      </c>
      <c r="C76" s="342">
        <f ca="1">INDIRECT("'数据-取费表'!j"&amp;$G$1)</f>
        <v>7.4999999999999997E-2</v>
      </c>
      <c r="I76" s="1380"/>
      <c r="J76" s="1380"/>
      <c r="K76" s="1398"/>
      <c r="L76" s="1380"/>
    </row>
    <row r="77" spans="1:18">
      <c r="B77" s="343" t="s">
        <v>797</v>
      </c>
      <c r="C77" s="344"/>
      <c r="I77" s="1380"/>
      <c r="J77" s="1380"/>
      <c r="K77" s="1398"/>
      <c r="L77" s="1380"/>
    </row>
    <row r="78" spans="1:18">
      <c r="B78" s="269" t="s">
        <v>798</v>
      </c>
      <c r="C78" s="345"/>
    </row>
    <row r="79" spans="1:18">
      <c r="B79" s="339" t="s">
        <v>799</v>
      </c>
      <c r="C79" s="273">
        <f ca="1">1-C80</f>
        <v>0.44299999999999995</v>
      </c>
    </row>
    <row r="80" spans="1:18">
      <c r="B80" s="339" t="s">
        <v>800</v>
      </c>
      <c r="C80" s="273">
        <f ca="1">ROUND(C75/C39,3)</f>
        <v>0.55700000000000005</v>
      </c>
    </row>
    <row r="81" spans="2:3">
      <c r="B81" s="269" t="s">
        <v>801</v>
      </c>
      <c r="C81" s="237"/>
    </row>
    <row r="82" spans="2:3">
      <c r="B82" s="272" t="s">
        <v>802</v>
      </c>
      <c r="C82" s="274">
        <f ca="1">1-C83</f>
        <v>0.61899999999999999</v>
      </c>
    </row>
    <row r="83" spans="2:3">
      <c r="B83" s="272" t="s">
        <v>803</v>
      </c>
      <c r="C83" s="273">
        <f ca="1">ROUND(C13/C40,3)</f>
        <v>0.38100000000000001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B44" sqref="B44"/>
    </sheetView>
  </sheetViews>
  <sheetFormatPr defaultColWidth="12.6640625" defaultRowHeight="21.75" customHeight="1"/>
  <cols>
    <col min="1" max="2" width="12.6640625" style="1749"/>
    <col min="3" max="4" width="12.6640625" style="1749" customWidth="1"/>
    <col min="5" max="9" width="12.6640625" style="1749"/>
    <col min="10" max="11" width="12.6640625" style="723" customWidth="1"/>
    <col min="12" max="12" width="12.6640625" style="723"/>
    <col min="13" max="13" width="14.109375" style="723" bestFit="1" customWidth="1"/>
    <col min="14" max="26" width="12.6640625" style="723"/>
    <col min="27" max="35" width="12.6640625" style="1748"/>
    <col min="36" max="16384" width="12.6640625" style="1749"/>
  </cols>
  <sheetData>
    <row r="1" spans="1:12" ht="21.75" customHeight="1" thickBot="1">
      <c r="A1" s="1633" t="s">
        <v>1262</v>
      </c>
      <c r="B1" s="1743"/>
      <c r="C1" s="1744" t="s">
        <v>3406</v>
      </c>
      <c r="D1" s="1743"/>
      <c r="E1" s="1743"/>
      <c r="F1" s="1745" t="s">
        <v>1263</v>
      </c>
      <c r="G1" s="1557"/>
      <c r="H1" s="1746" t="str">
        <f>IF(G1="现房","——","估价对象范围")</f>
        <v>估价对象范围</v>
      </c>
      <c r="I1" s="1747"/>
    </row>
    <row r="2" spans="1:12" ht="21.75" customHeight="1" thickBot="1">
      <c r="A2" s="3631" t="str">
        <f>项目基本情况!S2</f>
        <v>北京市房地产</v>
      </c>
      <c r="B2" s="3632"/>
      <c r="C2" s="3632"/>
      <c r="D2" s="3632"/>
      <c r="E2" s="3632"/>
      <c r="F2" s="3632"/>
      <c r="G2" s="3632"/>
      <c r="H2" s="3632"/>
      <c r="I2" s="3633"/>
    </row>
    <row r="3" spans="1:12" ht="13.2">
      <c r="A3" s="3635" t="s">
        <v>1264</v>
      </c>
      <c r="B3" s="3636"/>
      <c r="C3" s="3636"/>
      <c r="D3" s="3636"/>
      <c r="E3" s="3636"/>
      <c r="F3" s="3636"/>
      <c r="G3" s="3636"/>
      <c r="H3" s="3636"/>
      <c r="I3" s="3636"/>
    </row>
    <row r="4" spans="1:12" ht="14.4">
      <c r="A4" s="1750" t="s">
        <v>1265</v>
      </c>
      <c r="B4" s="1751" t="s">
        <v>1266</v>
      </c>
      <c r="C4" s="1752" t="s">
        <v>3425</v>
      </c>
      <c r="D4" s="1752" t="s">
        <v>3431</v>
      </c>
      <c r="E4" s="3640" t="s">
        <v>1267</v>
      </c>
      <c r="F4" s="3641"/>
      <c r="G4" s="3641"/>
      <c r="H4" s="3641"/>
      <c r="I4" s="3642"/>
      <c r="K4" s="145" t="str">
        <f>IF(ISNUMBER(FIND("比较法",'结果表-地下车库'!C4)),"比较法",IF(ISNUMBER(FIND("成本法",'结果表-地下车库'!C4)),"成本法",IF(ISNUMBER(FIND("假设开发法",'结果表-地下车库'!C4)),"假设开发法",IF(ISNUMBER(FIND("收益法",'结果表-地下车库'!C4)),"收益法","基准地价系数修正法"))))</f>
        <v>成本法</v>
      </c>
      <c r="L4" s="145"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3.2">
      <c r="A5" s="3579" t="s">
        <v>1268</v>
      </c>
      <c r="B5" s="3634">
        <v>25</v>
      </c>
      <c r="C5" s="3637"/>
      <c r="D5" s="3625"/>
      <c r="E5" s="130" t="s">
        <v>1269</v>
      </c>
      <c r="F5" s="1753"/>
      <c r="G5" s="1753"/>
      <c r="H5" s="1753"/>
      <c r="I5" s="1369"/>
    </row>
    <row r="6" spans="1:12" ht="13.2">
      <c r="A6" s="3579"/>
      <c r="B6" s="3634"/>
      <c r="C6" s="3639"/>
      <c r="D6" s="3625"/>
      <c r="E6" s="130" t="s">
        <v>1270</v>
      </c>
      <c r="F6" s="1753"/>
      <c r="G6" s="1753"/>
      <c r="H6" s="1753"/>
      <c r="I6" s="1369"/>
    </row>
    <row r="7" spans="1:12" ht="13.2">
      <c r="A7" s="3579"/>
      <c r="B7" s="3634"/>
      <c r="C7" s="3638"/>
      <c r="D7" s="3625"/>
      <c r="E7" s="130" t="s">
        <v>1271</v>
      </c>
      <c r="F7" s="1753"/>
      <c r="G7" s="1753"/>
      <c r="H7" s="1753"/>
      <c r="I7" s="1369"/>
    </row>
    <row r="8" spans="1:12" ht="13.2">
      <c r="A8" s="3579" t="s">
        <v>1272</v>
      </c>
      <c r="B8" s="3634">
        <v>15</v>
      </c>
      <c r="C8" s="3637"/>
      <c r="D8" s="3625"/>
      <c r="E8" s="130" t="s">
        <v>1273</v>
      </c>
      <c r="F8" s="1753"/>
      <c r="G8" s="1753"/>
      <c r="H8" s="1753"/>
      <c r="I8" s="1369"/>
    </row>
    <row r="9" spans="1:12" ht="13.2">
      <c r="A9" s="3579"/>
      <c r="B9" s="3634"/>
      <c r="C9" s="3638"/>
      <c r="D9" s="3625"/>
      <c r="E9" s="130" t="s">
        <v>1274</v>
      </c>
      <c r="F9" s="1753"/>
      <c r="G9" s="1753"/>
      <c r="H9" s="1753"/>
      <c r="I9" s="1369"/>
    </row>
    <row r="10" spans="1:12" ht="13.2">
      <c r="A10" s="3579" t="s">
        <v>1275</v>
      </c>
      <c r="B10" s="3634">
        <v>15</v>
      </c>
      <c r="C10" s="3637"/>
      <c r="D10" s="3625"/>
      <c r="E10" s="130" t="s">
        <v>1276</v>
      </c>
      <c r="F10" s="1753"/>
      <c r="G10" s="1753"/>
      <c r="H10" s="1753"/>
      <c r="I10" s="1369"/>
    </row>
    <row r="11" spans="1:12" ht="13.2">
      <c r="A11" s="3579"/>
      <c r="B11" s="3634"/>
      <c r="C11" s="3638"/>
      <c r="D11" s="3625"/>
      <c r="E11" s="130" t="s">
        <v>1277</v>
      </c>
      <c r="F11" s="1753"/>
      <c r="G11" s="1753"/>
      <c r="H11" s="1753"/>
      <c r="I11" s="1369"/>
    </row>
    <row r="12" spans="1:12" ht="13.2">
      <c r="A12" s="3579" t="s">
        <v>1278</v>
      </c>
      <c r="B12" s="3634">
        <v>15</v>
      </c>
      <c r="C12" s="3637"/>
      <c r="D12" s="3625"/>
      <c r="E12" s="130" t="s">
        <v>1279</v>
      </c>
      <c r="F12" s="1753"/>
      <c r="G12" s="1753"/>
      <c r="H12" s="1753"/>
      <c r="I12" s="1369"/>
    </row>
    <row r="13" spans="1:12" ht="13.2">
      <c r="A13" s="3579"/>
      <c r="B13" s="3634"/>
      <c r="C13" s="3638"/>
      <c r="D13" s="3625"/>
      <c r="E13" s="130" t="s">
        <v>1280</v>
      </c>
      <c r="F13" s="1753"/>
      <c r="G13" s="1753"/>
      <c r="H13" s="1753"/>
      <c r="I13" s="1369"/>
    </row>
    <row r="14" spans="1:12" ht="13.2">
      <c r="A14" s="3579" t="s">
        <v>1281</v>
      </c>
      <c r="B14" s="3634">
        <v>30</v>
      </c>
      <c r="C14" s="3637">
        <v>4</v>
      </c>
      <c r="D14" s="3625">
        <v>6</v>
      </c>
      <c r="E14" s="130" t="s">
        <v>1282</v>
      </c>
      <c r="F14" s="1753"/>
      <c r="G14" s="1753"/>
      <c r="H14" s="1753"/>
      <c r="I14" s="1369"/>
    </row>
    <row r="15" spans="1:12" ht="13.2">
      <c r="A15" s="3579"/>
      <c r="B15" s="3634"/>
      <c r="C15" s="3639"/>
      <c r="D15" s="3625"/>
      <c r="E15" s="130" t="s">
        <v>1283</v>
      </c>
      <c r="F15" s="1753"/>
      <c r="G15" s="1753"/>
      <c r="H15" s="1753"/>
      <c r="I15" s="1369"/>
    </row>
    <row r="16" spans="1:12" ht="13.2">
      <c r="A16" s="3579"/>
      <c r="B16" s="3634"/>
      <c r="C16" s="3638"/>
      <c r="D16" s="3625"/>
      <c r="E16" s="130" t="s">
        <v>1284</v>
      </c>
      <c r="F16" s="1753"/>
      <c r="G16" s="1753"/>
      <c r="H16" s="1753"/>
      <c r="I16" s="1369"/>
    </row>
    <row r="17" spans="1:36" ht="14.4">
      <c r="A17" s="1754" t="s">
        <v>1285</v>
      </c>
      <c r="B17" s="56"/>
      <c r="C17" s="131">
        <f>SUM(C5:C16)</f>
        <v>4</v>
      </c>
      <c r="D17" s="131">
        <f>SUM(D5:D16)</f>
        <v>6</v>
      </c>
      <c r="E17" s="128"/>
      <c r="F17" s="128"/>
      <c r="G17" s="128"/>
      <c r="H17" s="128"/>
      <c r="I17" s="128"/>
      <c r="K17" s="301"/>
      <c r="L17" s="301" t="s">
        <v>1286</v>
      </c>
      <c r="M17" s="301" t="s">
        <v>1287</v>
      </c>
    </row>
    <row r="18" spans="1:36" ht="31.95" customHeight="1" thickBot="1">
      <c r="A18" s="1755" t="s">
        <v>1288</v>
      </c>
      <c r="B18" s="1756"/>
      <c r="C18" s="132">
        <f>ROUND(C17/SUM(C17:D17),2)</f>
        <v>0.4</v>
      </c>
      <c r="D18" s="132">
        <f>1-C18</f>
        <v>0.6</v>
      </c>
      <c r="E18" s="3656" t="s">
        <v>2131</v>
      </c>
      <c r="F18" s="3657"/>
      <c r="G18" s="3657"/>
      <c r="H18" s="3657"/>
      <c r="I18" s="3657"/>
      <c r="K18" s="301" t="s">
        <v>1289</v>
      </c>
      <c r="L18" s="301">
        <f>IF(C1="",'数据-汇总表'!E3,SUMIF(项目类型,C1,'数据-汇总表'!E17:E26)+SUMIF(项目类型,C1,'数据-汇总表'!I17:I26))</f>
        <v>30659.07</v>
      </c>
      <c r="M18" s="301">
        <f>IF(C1="",'数据-汇总表'!E3,SUMIF(项目类型,C1,'数据-汇总表'!E17:E26))</f>
        <v>30659.07</v>
      </c>
    </row>
    <row r="19" spans="1:36" ht="14.4">
      <c r="A19" s="1757" t="s">
        <v>1290</v>
      </c>
      <c r="B19" s="1758" t="s">
        <v>1291</v>
      </c>
      <c r="C19" s="133">
        <f ca="1">SUMIF(INDIRECT("'"&amp;C4&amp;"'"&amp;"!A:A"),'结果表-地下车库'!B19,INDIRECT("'"&amp;C4&amp;"'"&amp;"!B:B"))</f>
        <v>29378</v>
      </c>
      <c r="D19" s="134">
        <f ca="1">SUMIF(INDIRECT("'"&amp;D4&amp;"'"&amp;"!A:A"),'结果表-地下车库'!B19,INDIRECT("'"&amp;D4&amp;"'"&amp;"!B:B"))</f>
        <v>15106</v>
      </c>
      <c r="E19" s="1757" t="s">
        <v>1292</v>
      </c>
      <c r="F19" s="1758" t="s">
        <v>1291</v>
      </c>
      <c r="G19" s="135">
        <f ca="1">ROUND(C19*$C$18+D19*$D$18,0)</f>
        <v>20815</v>
      </c>
      <c r="H19" s="1759" t="s">
        <v>1293</v>
      </c>
      <c r="I19" s="128"/>
      <c r="K19" s="301" t="s">
        <v>1294</v>
      </c>
      <c r="L19" s="301">
        <f>IF(C1="",'数据-汇总表'!D3,SUMIF(项目类型,C1,'数据-汇总表'!D17:D26)+SUMIF(项目类型,C1,'数据-汇总表'!H17:H27))</f>
        <v>3874.55</v>
      </c>
      <c r="M19" s="301">
        <f>IF(C1="",'数据-汇总表'!D3,SUMIF(项目类型,C1,'数据-汇总表'!D17:D26))</f>
        <v>3874.55</v>
      </c>
    </row>
    <row r="20" spans="1:36" ht="14.4">
      <c r="A20" s="1760"/>
      <c r="B20" s="1022" t="s">
        <v>1295</v>
      </c>
      <c r="C20" s="136">
        <f ca="1">SUMIF(INDIRECT("'"&amp;C4&amp;"'"&amp;"!A:A"),'结果表-地下车库'!B20,INDIRECT("'"&amp;C4&amp;"'"&amp;"!B:B"))</f>
        <v>9582</v>
      </c>
      <c r="D20" s="137">
        <f ca="1">SUMIF(INDIRECT("'"&amp;D4&amp;"'"&amp;"!A:A"),'结果表-地下车库'!B20,INDIRECT("'"&amp;D4&amp;"'"&amp;"!B:B"))</f>
        <v>4927</v>
      </c>
      <c r="E20" s="1760"/>
      <c r="F20" s="1022" t="s">
        <v>1295</v>
      </c>
      <c r="G20" s="138">
        <f ca="1">ROUND(C20*$C$18+D20*$D$18,0)</f>
        <v>6789</v>
      </c>
      <c r="H20" s="804" t="s">
        <v>1296</v>
      </c>
      <c r="I20" s="128"/>
    </row>
    <row r="21" spans="1:36" ht="15" customHeight="1" thickBot="1">
      <c r="A21" s="824"/>
      <c r="B21" s="1761" t="s">
        <v>1297</v>
      </c>
      <c r="C21" s="717">
        <f ca="1">ROUND(C19*10000/L19,0)</f>
        <v>75823</v>
      </c>
      <c r="D21" s="718">
        <f ca="1">ROUND(D19*10000/L19,0)</f>
        <v>38988</v>
      </c>
      <c r="E21" s="824"/>
      <c r="F21" s="1761" t="s">
        <v>1297</v>
      </c>
      <c r="G21" s="139">
        <f ca="1">ROUND(G19*10000/L19,0)</f>
        <v>53722</v>
      </c>
      <c r="H21" s="1762" t="s">
        <v>1296</v>
      </c>
      <c r="I21" s="128"/>
    </row>
    <row r="22" spans="1:36" ht="15" thickBot="1">
      <c r="A22" s="1684" t="s">
        <v>1298</v>
      </c>
      <c r="B22" s="1763"/>
      <c r="C22" s="1764"/>
      <c r="D22" s="719">
        <f ca="1">IF(C19&lt;D19,D19/C19-1,C19/D19-1)</f>
        <v>0.94479014960942664</v>
      </c>
      <c r="E22" s="128"/>
      <c r="F22" s="128"/>
      <c r="G22" s="128"/>
      <c r="H22" s="128"/>
      <c r="I22" s="128"/>
    </row>
    <row r="23" spans="1:36" ht="13.8" thickBot="1">
      <c r="A23" s="1743"/>
      <c r="B23" s="1743"/>
      <c r="C23" s="1743"/>
      <c r="D23" s="1743"/>
      <c r="E23" s="128"/>
      <c r="F23" s="128"/>
      <c r="G23" s="128"/>
      <c r="H23" s="128"/>
      <c r="I23" s="128"/>
    </row>
    <row r="24" spans="1:36" ht="14.4">
      <c r="A24" s="3649" t="s">
        <v>1299</v>
      </c>
      <c r="B24" s="1758" t="s">
        <v>1291</v>
      </c>
      <c r="C24" s="135">
        <f>IF(B30=0,0,D30)</f>
        <v>0</v>
      </c>
      <c r="D24" s="1765"/>
      <c r="E24" s="128"/>
      <c r="F24" s="128"/>
      <c r="G24" s="128"/>
      <c r="H24" s="128"/>
      <c r="I24" s="128"/>
    </row>
    <row r="25" spans="1:36" ht="14.4">
      <c r="A25" s="3650"/>
      <c r="B25" s="1022" t="s">
        <v>1295</v>
      </c>
      <c r="C25" s="140">
        <f>IF(B30=0,0,C30)</f>
        <v>0</v>
      </c>
      <c r="D25" s="1766"/>
      <c r="E25" s="128"/>
      <c r="F25" s="128"/>
      <c r="G25" s="128"/>
      <c r="H25" s="128"/>
      <c r="I25" s="128"/>
    </row>
    <row r="26" spans="1:36" ht="13.5" customHeight="1">
      <c r="A26" s="1767" t="s">
        <v>1300</v>
      </c>
      <c r="B26" s="141" t="s">
        <v>1301</v>
      </c>
      <c r="C26" s="141" t="s">
        <v>1302</v>
      </c>
      <c r="D26" s="142" t="s">
        <v>1303</v>
      </c>
      <c r="E26" s="128"/>
      <c r="F26" s="128"/>
      <c r="G26" s="128"/>
      <c r="H26" s="128"/>
      <c r="I26" s="128"/>
    </row>
    <row r="27" spans="1:36" ht="13.8">
      <c r="A27" s="1767"/>
      <c r="B27" s="141">
        <v>0</v>
      </c>
      <c r="C27" s="141">
        <v>0</v>
      </c>
      <c r="D27" s="142">
        <f>ROUND(C27*B27/10000,0)</f>
        <v>0</v>
      </c>
      <c r="E27" s="128"/>
      <c r="F27" s="128"/>
      <c r="G27" s="128"/>
      <c r="H27" s="128"/>
      <c r="I27" s="128"/>
    </row>
    <row r="28" spans="1:36" ht="13.8">
      <c r="A28" s="1767"/>
      <c r="B28" s="141"/>
      <c r="C28" s="141"/>
      <c r="D28" s="142"/>
      <c r="E28" s="128"/>
      <c r="F28" s="128"/>
      <c r="G28" s="128"/>
      <c r="H28" s="128"/>
      <c r="I28" s="128"/>
    </row>
    <row r="29" spans="1:36" ht="13.8">
      <c r="A29" s="1767"/>
      <c r="B29" s="141"/>
      <c r="C29" s="141"/>
      <c r="D29" s="142"/>
      <c r="E29" s="128"/>
      <c r="F29" s="128"/>
      <c r="G29" s="128"/>
      <c r="H29" s="128"/>
      <c r="I29" s="128"/>
    </row>
    <row r="30" spans="1:36" ht="15" thickBot="1">
      <c r="A30" s="141" t="s">
        <v>1304</v>
      </c>
      <c r="B30" s="141"/>
      <c r="C30" s="141"/>
      <c r="D30" s="141"/>
      <c r="E30" s="2299" t="s">
        <v>2132</v>
      </c>
      <c r="F30" s="128"/>
      <c r="G30" s="128"/>
      <c r="H30" s="128"/>
      <c r="I30" s="128"/>
    </row>
    <row r="31" spans="1:36" s="2305" customFormat="1" ht="26.4"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5.6" thickTop="1" thickBot="1">
      <c r="A32" s="1769" t="s">
        <v>1305</v>
      </c>
      <c r="B32" s="1770"/>
      <c r="C32" s="143">
        <f ca="1">IF(D32="总价",G19-C24,G20-C25)</f>
        <v>20815</v>
      </c>
      <c r="D32" s="1771" t="s">
        <v>3442</v>
      </c>
      <c r="E32" s="128"/>
      <c r="F32" s="128"/>
      <c r="G32" s="128"/>
      <c r="H32" s="128"/>
      <c r="I32" s="128"/>
    </row>
    <row r="33" spans="1:15" ht="14.4">
      <c r="A33" s="782" t="s">
        <v>1306</v>
      </c>
      <c r="B33" s="1772"/>
      <c r="C33" s="1773"/>
      <c r="D33" s="1774"/>
      <c r="E33" s="1775" t="s">
        <v>1307</v>
      </c>
      <c r="F33" s="1776" t="str">
        <f>IF(D32="楼面单价","取值（单价）","取值（总价）")</f>
        <v>取值（总价）</v>
      </c>
      <c r="G33" s="128"/>
      <c r="H33" s="128"/>
      <c r="I33" s="128"/>
    </row>
    <row r="34" spans="1:15" ht="14.4">
      <c r="A34" s="1777"/>
      <c r="B34" s="1778" t="s">
        <v>1308</v>
      </c>
      <c r="C34" s="147" t="e">
        <f ca="1">IF(C33="自定义",F34,C32-C35)</f>
        <v>#REF!</v>
      </c>
      <c r="D34" s="857" t="e">
        <f ca="1">IF(C33="自定义",ROUND(C34/C32,3),IF(C33="收益比率",SUMIF(INDIRECT("'"&amp;D33&amp;"'"&amp;"!b:b"),"土地收益比率",INDIRECT("'"&amp;D33&amp;"'"&amp;"!c:c")),SUMIF(INDIRECT("'"&amp;D33&amp;"'"&amp;"!b:b"),"土地成本比率",INDIRECT("'"&amp;D33&amp;"'"&amp;"!c:c"))))</f>
        <v>#REF!</v>
      </c>
      <c r="E34" s="1779" t="s">
        <v>1309</v>
      </c>
      <c r="F34" s="1326"/>
      <c r="G34" s="128"/>
      <c r="H34" s="128"/>
      <c r="I34" s="128"/>
    </row>
    <row r="35" spans="1:15" ht="15" thickBot="1">
      <c r="A35" s="1780"/>
      <c r="B35" s="1781"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1311</v>
      </c>
      <c r="F35" s="153"/>
      <c r="G35" s="128"/>
      <c r="H35" s="128"/>
      <c r="I35" s="128"/>
    </row>
    <row r="36" spans="1:15" ht="15" thickBot="1">
      <c r="A36" s="3626" t="s">
        <v>1312</v>
      </c>
      <c r="B36" s="1783" t="s">
        <v>1313</v>
      </c>
      <c r="C36" s="144"/>
      <c r="D36" s="1784"/>
      <c r="E36" s="1785"/>
      <c r="F36" s="1786"/>
      <c r="G36" s="128"/>
      <c r="H36" s="128"/>
      <c r="I36" s="128"/>
    </row>
    <row r="37" spans="1:15" ht="15" thickBot="1">
      <c r="A37" s="3627"/>
      <c r="B37" s="1670" t="s">
        <v>1314</v>
      </c>
      <c r="C37" s="146"/>
      <c r="D37" s="1135"/>
      <c r="E37" s="1135"/>
      <c r="F37" s="1786"/>
      <c r="G37" s="128"/>
      <c r="H37" s="128"/>
      <c r="I37" s="128"/>
    </row>
    <row r="38" spans="1:15" ht="15" thickBot="1">
      <c r="A38" s="3628"/>
      <c r="B38" s="1787" t="s">
        <v>1315</v>
      </c>
      <c r="C38" s="672"/>
      <c r="D38" s="1788" t="s">
        <v>1316</v>
      </c>
      <c r="E38" s="1135"/>
      <c r="F38" s="1786"/>
      <c r="G38" s="128"/>
      <c r="H38" s="128"/>
      <c r="I38" s="128"/>
    </row>
    <row r="39" spans="1:15" ht="14.4">
      <c r="A39" s="1760" t="s">
        <v>1317</v>
      </c>
      <c r="B39" s="1789" t="s">
        <v>1318</v>
      </c>
      <c r="C39" s="1790" t="s">
        <v>1319</v>
      </c>
      <c r="D39" s="1790" t="s">
        <v>1320</v>
      </c>
      <c r="E39" s="1791" t="s">
        <v>1321</v>
      </c>
      <c r="F39" s="1786"/>
      <c r="G39" s="128"/>
      <c r="H39" s="128"/>
      <c r="I39" s="128"/>
    </row>
    <row r="40" spans="1:15" ht="13.8">
      <c r="A40" s="1792" t="s">
        <v>1322</v>
      </c>
      <c r="B40" s="148"/>
      <c r="C40" s="149"/>
      <c r="D40" s="149"/>
      <c r="E40" s="150"/>
      <c r="F40" s="1786"/>
      <c r="G40" s="128"/>
      <c r="H40" s="128"/>
      <c r="I40" s="128"/>
    </row>
    <row r="41" spans="1:15" ht="13.8">
      <c r="A41" s="1792" t="s">
        <v>1323</v>
      </c>
      <c r="B41" s="148"/>
      <c r="C41" s="149"/>
      <c r="D41" s="149"/>
      <c r="E41" s="150"/>
      <c r="F41" s="1786"/>
      <c r="G41" s="128"/>
      <c r="H41" s="128"/>
      <c r="I41" s="128"/>
    </row>
    <row r="42" spans="1:15" ht="14.4" thickBot="1">
      <c r="A42" s="1793"/>
      <c r="B42" s="151"/>
      <c r="C42" s="152"/>
      <c r="D42" s="152"/>
      <c r="E42" s="153"/>
      <c r="F42" s="1786"/>
      <c r="G42" s="128"/>
      <c r="H42" s="128"/>
      <c r="I42" s="128"/>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46" t="s">
        <v>1326</v>
      </c>
      <c r="B45" s="3647"/>
      <c r="C45" s="3648"/>
      <c r="D45" s="154">
        <f ca="1">ROUND(H101*F45,0)</f>
        <v>20815</v>
      </c>
      <c r="E45" s="155" t="s">
        <v>1327</v>
      </c>
      <c r="F45" s="156">
        <v>1</v>
      </c>
      <c r="G45" s="157" t="s">
        <v>1328</v>
      </c>
      <c r="H45" s="128"/>
      <c r="I45" s="128"/>
      <c r="J45" s="3566" t="s">
        <v>1329</v>
      </c>
      <c r="K45" s="3566"/>
      <c r="L45" s="3566"/>
      <c r="M45" s="3566"/>
      <c r="N45" s="3566"/>
      <c r="O45" s="3566"/>
    </row>
    <row r="46" spans="1:15" ht="14.25" customHeight="1">
      <c r="A46" s="3643" t="s">
        <v>1330</v>
      </c>
      <c r="B46" s="3644"/>
      <c r="C46" s="3644"/>
      <c r="D46" s="3644"/>
      <c r="E46" s="3644"/>
      <c r="F46" s="3644"/>
      <c r="G46" s="3645"/>
      <c r="H46" s="1802"/>
      <c r="I46" s="158"/>
      <c r="J46" s="3463">
        <v>1</v>
      </c>
      <c r="K46" s="3567" t="s">
        <v>1331</v>
      </c>
      <c r="L46" s="3567"/>
      <c r="M46" s="3568"/>
      <c r="N46" s="3568"/>
      <c r="O46" s="3568"/>
    </row>
    <row r="47" spans="1:15" ht="12" customHeight="1">
      <c r="A47" s="159" t="s">
        <v>1332</v>
      </c>
      <c r="B47" s="160"/>
      <c r="C47" s="161"/>
      <c r="D47" s="1083" t="s">
        <v>1333</v>
      </c>
      <c r="E47" s="301" t="s">
        <v>1334</v>
      </c>
      <c r="F47" s="162" t="s">
        <v>1335</v>
      </c>
      <c r="G47" s="2542" t="s">
        <v>1336</v>
      </c>
      <c r="H47" s="2543"/>
      <c r="I47" s="158"/>
      <c r="J47" s="3463">
        <v>2</v>
      </c>
      <c r="K47" s="3567" t="s">
        <v>1337</v>
      </c>
      <c r="L47" s="3567"/>
      <c r="M47" s="3569">
        <f>'数据-取费表'!B2</f>
        <v>44995</v>
      </c>
      <c r="N47" s="3569"/>
      <c r="O47" s="3569"/>
    </row>
    <row r="48" spans="1:15" ht="26.4">
      <c r="A48" s="3629" t="s">
        <v>1338</v>
      </c>
      <c r="B48" s="3630"/>
      <c r="C48" s="3630"/>
      <c r="D48" s="3465" t="b">
        <f>IF(H48="情况1",0,IF(H48="情况2",D52,IF(H48="情况3",D53,IF(H48="情况4",D54))))</f>
        <v>0</v>
      </c>
      <c r="E48" s="3454" t="str">
        <f>IF(H48="情况4","(销售额-原购置价)×税（费）率","销售额×税（费）率")</f>
        <v>销售额×税（费）率</v>
      </c>
      <c r="F48" s="2544">
        <f>IF(H48="情况1","免征",'数据-取费表'!B41)</f>
        <v>5.6000000000000001E-2</v>
      </c>
      <c r="G48" s="2545" t="s">
        <v>1339</v>
      </c>
      <c r="H48" s="2546"/>
      <c r="I48" s="1802"/>
      <c r="J48" s="3463">
        <v>3</v>
      </c>
      <c r="K48" s="3567" t="s">
        <v>1340</v>
      </c>
      <c r="L48" s="3567"/>
      <c r="M48" s="3570">
        <f ca="1">H101</f>
        <v>20815</v>
      </c>
      <c r="N48" s="3570"/>
      <c r="O48" s="3570"/>
    </row>
    <row r="49" spans="1:35" ht="25.5" customHeight="1">
      <c r="A49" s="3458" t="s">
        <v>1341</v>
      </c>
      <c r="B49" s="3615" t="s">
        <v>1342</v>
      </c>
      <c r="C49" s="3615"/>
      <c r="D49" s="1586">
        <v>0</v>
      </c>
      <c r="E49" s="323" t="s">
        <v>1343</v>
      </c>
      <c r="F49" s="3448" t="s">
        <v>28</v>
      </c>
      <c r="G49" s="3598"/>
      <c r="H49" s="2306" t="s">
        <v>2134</v>
      </c>
      <c r="I49" s="2307"/>
      <c r="J49" s="3463">
        <v>4</v>
      </c>
      <c r="K49" s="3567" t="str">
        <f>IF(项目基本情况!E8="房地产抵押价值","房地产抵押价值","抵押担保权已注销时的房地产抵押价值")</f>
        <v>房地产抵押价值</v>
      </c>
      <c r="L49" s="3567"/>
      <c r="M49" s="3570">
        <f ca="1">IF(项目基本情况!E8="房地产抵押价值",H107,H109)</f>
        <v>20815</v>
      </c>
      <c r="N49" s="3570"/>
      <c r="O49" s="3570"/>
    </row>
    <row r="50" spans="1:35" ht="25.5" customHeight="1">
      <c r="A50" s="2547"/>
      <c r="B50" s="3615" t="s">
        <v>1344</v>
      </c>
      <c r="C50" s="3615"/>
      <c r="D50" s="2548"/>
      <c r="E50" s="331"/>
      <c r="F50" s="3448"/>
      <c r="G50" s="3599"/>
      <c r="H50" s="2308" t="s">
        <v>2135</v>
      </c>
      <c r="I50" s="2307"/>
      <c r="J50" s="3566" t="s">
        <v>1345</v>
      </c>
      <c r="K50" s="3566"/>
      <c r="L50" s="3566"/>
      <c r="M50" s="3566"/>
      <c r="N50" s="3566"/>
      <c r="O50" s="3566"/>
    </row>
    <row r="51" spans="1:35" ht="20.399999999999999" customHeight="1">
      <c r="A51" s="2549"/>
      <c r="B51" s="3615" t="s">
        <v>1346</v>
      </c>
      <c r="C51" s="3615"/>
      <c r="D51" s="1083"/>
      <c r="E51" s="326"/>
      <c r="F51" s="3448"/>
      <c r="G51" s="3600"/>
      <c r="H51" s="2308" t="s">
        <v>2136</v>
      </c>
      <c r="I51" s="2307"/>
      <c r="J51" s="3462" t="s">
        <v>1347</v>
      </c>
      <c r="K51" s="3567" t="s">
        <v>1348</v>
      </c>
      <c r="L51" s="3567"/>
      <c r="M51" s="3462" t="s">
        <v>1349</v>
      </c>
      <c r="N51" s="3462" t="s">
        <v>1350</v>
      </c>
      <c r="O51" s="3462" t="s">
        <v>1351</v>
      </c>
    </row>
    <row r="52" spans="1:35" ht="24" customHeight="1">
      <c r="A52" s="3453" t="s">
        <v>1352</v>
      </c>
      <c r="B52" s="3615" t="s">
        <v>1353</v>
      </c>
      <c r="C52" s="3615"/>
      <c r="D52" s="1083">
        <f ca="1">ROUND(D45*'数据-取费表'!B41/(1+'数据-取费表'!C42),0)</f>
        <v>1110</v>
      </c>
      <c r="E52" s="3454" t="s">
        <v>1354</v>
      </c>
      <c r="F52" s="2550">
        <f>'数据-取费表'!B41</f>
        <v>5.6000000000000001E-2</v>
      </c>
      <c r="G52" s="2551"/>
      <c r="H52" s="2540"/>
      <c r="I52" s="1803"/>
      <c r="J52" s="3463">
        <v>1</v>
      </c>
      <c r="K52" s="3592" t="s">
        <v>1355</v>
      </c>
      <c r="L52" s="3592"/>
      <c r="M52" s="2521" t="b">
        <f>D48</f>
        <v>0</v>
      </c>
      <c r="N52" s="3463" t="str">
        <f>E48</f>
        <v>销售额×税（费）率</v>
      </c>
      <c r="O52" s="2522">
        <f>F48</f>
        <v>5.6000000000000001E-2</v>
      </c>
    </row>
    <row r="53" spans="1:35" ht="12" customHeight="1">
      <c r="A53" s="3453" t="s">
        <v>1356</v>
      </c>
      <c r="B53" s="3616" t="s">
        <v>2291</v>
      </c>
      <c r="C53" s="3617"/>
      <c r="D53" s="1083">
        <f ca="1">ROUND(D45*'数据-取费表'!B41/(1+'数据-取费表'!C42),0)</f>
        <v>1110</v>
      </c>
      <c r="E53" s="3454" t="s">
        <v>1354</v>
      </c>
      <c r="F53" s="2550">
        <f>'数据-取费表'!B41</f>
        <v>5.6000000000000001E-2</v>
      </c>
      <c r="G53" s="2551"/>
      <c r="H53" s="2540"/>
      <c r="I53" s="1803"/>
      <c r="J53" s="3463">
        <v>2</v>
      </c>
      <c r="K53" s="3592" t="s">
        <v>1357</v>
      </c>
      <c r="L53" s="3592"/>
      <c r="M53" s="2521">
        <f t="shared" ref="M53:O54" ca="1" si="0">D55</f>
        <v>10</v>
      </c>
      <c r="N53" s="3463" t="str">
        <f t="shared" si="0"/>
        <v>销售额×税（费）率</v>
      </c>
      <c r="O53" s="2522" t="str">
        <f t="shared" si="0"/>
        <v>免征</v>
      </c>
    </row>
    <row r="54" spans="1:35" ht="12" customHeight="1">
      <c r="A54" s="3453" t="s">
        <v>1358</v>
      </c>
      <c r="B54" s="3616" t="s">
        <v>2292</v>
      </c>
      <c r="C54" s="3617"/>
      <c r="D54" s="1083">
        <f ca="1">C68</f>
        <v>1110</v>
      </c>
      <c r="E54" s="326" t="s">
        <v>1359</v>
      </c>
      <c r="F54" s="2550">
        <f>'数据-取费表'!B41</f>
        <v>5.6000000000000001E-2</v>
      </c>
      <c r="G54" s="2551"/>
      <c r="H54" s="2552"/>
      <c r="I54" s="1803"/>
      <c r="J54" s="3463">
        <v>3</v>
      </c>
      <c r="K54" s="3592" t="s">
        <v>1360</v>
      </c>
      <c r="L54" s="3592"/>
      <c r="M54" s="2521">
        <f t="shared" ca="1" si="0"/>
        <v>11781</v>
      </c>
      <c r="N54" s="3463" t="str">
        <f t="shared" si="0"/>
        <v>增值额×税（费）率</v>
      </c>
      <c r="O54" s="2523" t="str">
        <f t="shared" si="0"/>
        <v>免征</v>
      </c>
    </row>
    <row r="55" spans="1:35" ht="24" customHeight="1">
      <c r="A55" s="3652" t="s">
        <v>1361</v>
      </c>
      <c r="B55" s="3630"/>
      <c r="C55" s="3630"/>
      <c r="D55" s="3465">
        <f ca="1">IF(H55="个人住宅",0,ROUND(D45*I55,0))</f>
        <v>10</v>
      </c>
      <c r="E55" s="3454" t="s">
        <v>1362</v>
      </c>
      <c r="F55" s="2550" t="str">
        <f>IF(H55="正常",I55,"免征")</f>
        <v>免征</v>
      </c>
      <c r="G55" s="2551"/>
      <c r="H55" s="2546"/>
      <c r="I55" s="164">
        <f>'数据-取费表'!B49</f>
        <v>5.0000000000000001E-4</v>
      </c>
      <c r="J55" s="3463">
        <f>IF(H59="非个人房产","",4)</f>
        <v>4</v>
      </c>
      <c r="K55" s="3592" t="str">
        <f>IF(H59="非个人房产","——","个人所得税")</f>
        <v>个人所得税</v>
      </c>
      <c r="L55" s="3592"/>
      <c r="M55" s="2524">
        <f ca="1">D59</f>
        <v>198</v>
      </c>
      <c r="N55" s="3464" t="str">
        <f>E59</f>
        <v>差额计税</v>
      </c>
      <c r="O55" s="2525">
        <f>F59</f>
        <v>0.01</v>
      </c>
    </row>
    <row r="56" spans="1:35" ht="25.2">
      <c r="A56" s="3652" t="s">
        <v>1363</v>
      </c>
      <c r="B56" s="3630"/>
      <c r="C56" s="3630"/>
      <c r="D56" s="3465">
        <f ca="1">IF(H56="个人住宅",D57,D58)</f>
        <v>11781</v>
      </c>
      <c r="E56" s="3454" t="s">
        <v>1364</v>
      </c>
      <c r="F56" s="2550" t="str">
        <f>IF(H56="正常",F58,"免征")</f>
        <v>免征</v>
      </c>
      <c r="G56" s="2553" t="s">
        <v>1365</v>
      </c>
      <c r="H56" s="2554"/>
      <c r="I56" s="1804"/>
      <c r="J56" s="3463" t="str">
        <f>IF(项目基本情况!K6="上海银行",IF(J55="",4,J55+1),"")</f>
        <v/>
      </c>
      <c r="K56" s="3573" t="str">
        <f>IF(项目基本情况!K6="上海银行","其他处置费用","")</f>
        <v/>
      </c>
      <c r="L56" s="3574"/>
      <c r="M56" s="2521" t="str">
        <f>IF(项目基本情况!K6="上海银行",M69,"")</f>
        <v/>
      </c>
      <c r="N56" s="3573" t="str">
        <f>IF(项目基本情况!K6="上海银行","包含处置中涉及的律师、诉讼、拍卖、评估等费用","")</f>
        <v/>
      </c>
      <c r="O56" s="3576"/>
    </row>
    <row r="57" spans="1:35" ht="13.2">
      <c r="A57" s="3453" t="s">
        <v>1341</v>
      </c>
      <c r="B57" s="3616" t="s">
        <v>1366</v>
      </c>
      <c r="C57" s="3617"/>
      <c r="D57" s="1586">
        <v>0</v>
      </c>
      <c r="E57" s="323" t="s">
        <v>1343</v>
      </c>
      <c r="F57" s="301"/>
      <c r="G57" s="2551"/>
      <c r="H57" s="2555"/>
      <c r="I57" s="1804"/>
      <c r="J57" s="3592">
        <f>IF(AND(J55="",J56=""),4,IF(项目基本情况!K6="上海银行",'结果表-地下车库'!J56+1,'结果表-地下车库'!J55+1))</f>
        <v>5</v>
      </c>
      <c r="K57" s="3592" t="s">
        <v>1367</v>
      </c>
      <c r="L57" s="2526" t="s">
        <v>1368</v>
      </c>
      <c r="M57" s="2527"/>
      <c r="N57" s="2528">
        <f ca="1">SUMIF(M52:M56,"&lt;9e307")</f>
        <v>11989</v>
      </c>
      <c r="O57" s="2529"/>
      <c r="P57" s="2686">
        <f ca="1">N57/M49</f>
        <v>0.57597886139803023</v>
      </c>
    </row>
    <row r="58" spans="1:35" ht="25.2">
      <c r="A58" s="3453" t="s">
        <v>1352</v>
      </c>
      <c r="B58" s="3616" t="s">
        <v>1369</v>
      </c>
      <c r="C58" s="3615"/>
      <c r="D58" s="3465">
        <f ca="1">IF(H58="转让取得",C81,C97)</f>
        <v>11781</v>
      </c>
      <c r="E58" s="3454" t="s">
        <v>1364</v>
      </c>
      <c r="F58" s="301" t="s">
        <v>28</v>
      </c>
      <c r="G58" s="2551"/>
      <c r="H58" s="2554"/>
      <c r="I58" s="1804"/>
      <c r="J58" s="3592"/>
      <c r="K58" s="3592"/>
      <c r="L58" s="2526" t="s">
        <v>1370</v>
      </c>
      <c r="M58" s="2530"/>
      <c r="N58" s="2531" t="str">
        <f ca="1">NUMBERSTRING(INT(N57*10000),2)&amp;"元整"</f>
        <v>壹亿壹仟玖佰捌拾玖万元整</v>
      </c>
      <c r="O58" s="2532"/>
    </row>
    <row r="59" spans="1:35" ht="24.6" thickBot="1">
      <c r="A59" s="3596" t="s">
        <v>1371</v>
      </c>
      <c r="B59" s="3597"/>
      <c r="C59" s="3597"/>
      <c r="D59" s="2556">
        <f ca="1">IF(H59="非个人房产","——",IF(H59="个人住宅（满五唯一有凭证）",0,IF(H59="个人其他（无凭证）",ROUND(D45*F59,0),ROUND(C67*F59,0))))</f>
        <v>198</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594">
        <f>J57+1</f>
        <v>6</v>
      </c>
      <c r="K59" s="3592" t="s">
        <v>1372</v>
      </c>
      <c r="L59" s="3463" t="s">
        <v>1368</v>
      </c>
      <c r="M59" s="2533"/>
      <c r="N59" s="2534">
        <f ca="1">M49-N57</f>
        <v>8826</v>
      </c>
      <c r="O59" s="2535"/>
    </row>
    <row r="60" spans="1:35" ht="12" customHeight="1">
      <c r="A60" s="1805"/>
      <c r="B60" s="1743"/>
      <c r="C60" s="1743"/>
      <c r="D60" s="1743"/>
      <c r="E60" s="1574"/>
      <c r="F60" s="1804"/>
      <c r="G60" s="1804"/>
      <c r="H60" s="1806"/>
      <c r="I60" s="128"/>
      <c r="J60" s="3595"/>
      <c r="K60" s="3592"/>
      <c r="L60" s="2526" t="s">
        <v>1370</v>
      </c>
      <c r="M60" s="2530"/>
      <c r="N60" s="2531" t="str">
        <f ca="1">NUMBERSTRING(INT(N59*10000),2)&amp;"元整"</f>
        <v>捌仟捌佰贰拾陆万元整</v>
      </c>
      <c r="O60" s="2532"/>
    </row>
    <row r="61" spans="1:35" ht="13.8" thickBot="1">
      <c r="A61" s="3651" t="s">
        <v>1373</v>
      </c>
      <c r="B61" s="3651"/>
      <c r="C61" s="3651"/>
      <c r="D61" s="3651"/>
      <c r="E61" s="3651"/>
      <c r="F61" s="1804"/>
      <c r="G61" s="1804"/>
      <c r="H61" s="1806"/>
      <c r="I61" s="128"/>
      <c r="J61" s="3463">
        <f>J59+1</f>
        <v>7</v>
      </c>
      <c r="K61" s="3592" t="s">
        <v>1374</v>
      </c>
      <c r="L61" s="3592"/>
      <c r="M61" s="2536"/>
      <c r="N61" s="2537">
        <f ca="1">ROUND(N59*10000/'数据-汇总表'!E3,0)</f>
        <v>889</v>
      </c>
      <c r="O61" s="2538"/>
    </row>
    <row r="62" spans="1:35" ht="13.2">
      <c r="A62" s="3611" t="s">
        <v>1375</v>
      </c>
      <c r="B62" s="3612"/>
      <c r="C62" s="3457"/>
      <c r="D62" s="3457" t="s">
        <v>1376</v>
      </c>
      <c r="E62" s="165" t="s">
        <v>1377</v>
      </c>
      <c r="F62" s="1804"/>
      <c r="G62" s="1804"/>
      <c r="H62" s="1806"/>
      <c r="I62" s="128"/>
    </row>
    <row r="63" spans="1:35" ht="13.2">
      <c r="A63" s="172" t="s">
        <v>330</v>
      </c>
      <c r="B63" s="166" t="s">
        <v>1378</v>
      </c>
      <c r="C63" s="2560">
        <f ca="1">ROUND((C64+C65)/(1+'数据-取费表'!C42),0)</f>
        <v>19824</v>
      </c>
      <c r="D63" s="166"/>
      <c r="E63" s="167"/>
      <c r="F63" s="1804"/>
      <c r="G63" s="1804"/>
      <c r="H63" s="1806"/>
      <c r="I63" s="128"/>
      <c r="J63" s="3575" t="s">
        <v>1379</v>
      </c>
      <c r="K63" s="3466" t="s">
        <v>1380</v>
      </c>
      <c r="L63" s="3466">
        <f ca="1">IF(M49&gt;10000,M49*0.5%,IF(AND(M49&gt;1000,M49&lt;=10000),M49*1%,IF(AND(M49&gt;100,M49&lt;=1000),M49*3%,IF(AND(M49&gt;10,M49&lt;=100),M49*5%,M49*8%))))</f>
        <v>104.075</v>
      </c>
      <c r="M63" s="301">
        <f ca="1">ROUND(L63,1)</f>
        <v>104.1</v>
      </c>
      <c r="N63" s="2539"/>
      <c r="Z63" s="1748"/>
      <c r="AI63" s="1749"/>
    </row>
    <row r="64" spans="1:35" ht="14.25" customHeight="1">
      <c r="A64" s="168" t="s">
        <v>325</v>
      </c>
      <c r="B64" s="169" t="s">
        <v>1381</v>
      </c>
      <c r="C64" s="2561">
        <f ca="1">D45</f>
        <v>20815</v>
      </c>
      <c r="D64" s="169" t="s">
        <v>26</v>
      </c>
      <c r="E64" s="171"/>
      <c r="F64" s="1804"/>
      <c r="G64" s="1804"/>
      <c r="H64" s="1806"/>
      <c r="I64" s="128"/>
      <c r="J64" s="3575"/>
      <c r="K64" s="3466" t="s">
        <v>1382</v>
      </c>
      <c r="L64" s="3466">
        <f ca="1">IF(M49&gt;2000,M49*0.5%,IF(AND(M49&gt;1000,M49&lt;=2000),M49*0.6%,IF(AND(M49&gt;500,M49&lt;=1000),M49*0.7%,IF(AND(M49&gt;200,M49&lt;=500),M49*0.8%,IF(AND(M49&gt;100,M49&lt;=200),M49*0.9%,IF(AND(M49&gt;50,M49&lt;=100),M49*1%,IF(AND(M49&gt;20,M49&lt;=50),M49*1.5%,IF(AND(M49&gt;10,M49&lt;=20),M49*2%,IF(AND(M49&gt;1,M49&lt;=10),M49*2.5%)))))))))</f>
        <v>104.075</v>
      </c>
      <c r="M64" s="301">
        <f t="shared" ref="M64:M65" ca="1" si="1">ROUND(L64,1)</f>
        <v>104.1</v>
      </c>
      <c r="N64" s="2540" t="s">
        <v>1383</v>
      </c>
      <c r="Z64" s="1748"/>
      <c r="AI64" s="1749"/>
    </row>
    <row r="65" spans="1:35" ht="14.25" customHeight="1">
      <c r="A65" s="168" t="s">
        <v>326</v>
      </c>
      <c r="B65" s="169" t="s">
        <v>1384</v>
      </c>
      <c r="C65" s="2562"/>
      <c r="D65" s="169"/>
      <c r="E65" s="171"/>
      <c r="F65" s="1804"/>
      <c r="G65" s="1804"/>
      <c r="H65" s="1806"/>
      <c r="I65" s="128"/>
      <c r="J65" s="3575"/>
      <c r="K65" s="3466" t="s">
        <v>1385</v>
      </c>
      <c r="L65" s="3466">
        <f ca="1">IF(M49&gt;1000,M49*0.1%,IF(AND(M49&gt;500,M49&lt;=1000),M49*0.5%,IF(AND(M49&gt;50,M49&lt;=500),M49*1%,IF(AND(M49&gt;1,M49&lt;=50),M49*1.5%))))</f>
        <v>20.815000000000001</v>
      </c>
      <c r="M65" s="301">
        <f t="shared" ca="1" si="1"/>
        <v>20.8</v>
      </c>
      <c r="N65" s="2540" t="s">
        <v>1383</v>
      </c>
      <c r="Z65" s="1748"/>
      <c r="AI65" s="1749"/>
    </row>
    <row r="66" spans="1:35" ht="14.25" customHeight="1">
      <c r="A66" s="172" t="s">
        <v>327</v>
      </c>
      <c r="B66" s="173" t="s">
        <v>1386</v>
      </c>
      <c r="C66" s="2563"/>
      <c r="D66" s="173" t="s">
        <v>26</v>
      </c>
      <c r="E66" s="1334" t="s">
        <v>671</v>
      </c>
      <c r="F66" s="1804"/>
      <c r="G66" s="1804"/>
      <c r="H66" s="1806"/>
      <c r="I66" s="128"/>
      <c r="J66" s="3575"/>
      <c r="K66" s="3466" t="s">
        <v>1387</v>
      </c>
      <c r="L66" s="3466">
        <f ca="1">M49*0.5%</f>
        <v>104.075</v>
      </c>
      <c r="M66" s="301">
        <f ca="1">IF(L66&gt;0.5,0.5,ROUND(L66,0))</f>
        <v>0.5</v>
      </c>
      <c r="N66" s="2540" t="s">
        <v>1388</v>
      </c>
      <c r="Z66" s="1748"/>
      <c r="AI66" s="1749"/>
    </row>
    <row r="67" spans="1:35" ht="14.25" customHeight="1">
      <c r="A67" s="172" t="s">
        <v>328</v>
      </c>
      <c r="B67" s="173" t="s">
        <v>1389</v>
      </c>
      <c r="C67" s="2564">
        <f ca="1">C63-C66</f>
        <v>19824</v>
      </c>
      <c r="D67" s="169" t="s">
        <v>26</v>
      </c>
      <c r="E67" s="171"/>
      <c r="F67" s="1804"/>
      <c r="G67" s="1804"/>
      <c r="H67" s="1806"/>
      <c r="I67" s="128"/>
      <c r="J67" s="3575"/>
      <c r="K67" s="3466" t="s">
        <v>1390</v>
      </c>
      <c r="L67" s="3466">
        <f ca="1">IF(M49&gt;=10000,(8.25+(M49-10000)*0.01%),IF(AND(M49&gt;=8000,M49&lt;10000),(7.85+(M49-8000)*0.02%),IF(AND(M49&gt;=5000,M49&lt;8000),(6.65+(M49-5000)*0.04%),IF(AND(M49&gt;=2000,M49&lt;5000),(4.25+(PM49-2000)*0.08%),IF(AND(M49&gt;=1000,M49&lt;2000),(2.75+(M49-1000)*0.15%),IF(AND(M49&gt;=100,M49&lt;1000),(0.5+(M49-100)*0.25%),IF(AND(M49&gt;0,M49&lt;100),M49*0.5%)))))))</f>
        <v>9.3315000000000001</v>
      </c>
      <c r="M67" s="301">
        <f ca="1">ROUND(L67*0.9,1)</f>
        <v>8.4</v>
      </c>
      <c r="N67" s="2539"/>
      <c r="Z67" s="1748"/>
      <c r="AI67" s="1749"/>
    </row>
    <row r="68" spans="1:35" ht="14.25" customHeight="1" thickBot="1">
      <c r="A68" s="175" t="s">
        <v>329</v>
      </c>
      <c r="B68" s="176" t="s">
        <v>1391</v>
      </c>
      <c r="C68" s="2565">
        <f ca="1">IF(C67&lt;=0,0,ROUND(C67*D68,0))</f>
        <v>1110</v>
      </c>
      <c r="D68" s="2566">
        <f>'数据-取费表'!B41</f>
        <v>5.6000000000000001E-2</v>
      </c>
      <c r="E68" s="177"/>
      <c r="F68" s="1804"/>
      <c r="G68" s="1804"/>
      <c r="H68" s="1806"/>
      <c r="I68" s="128"/>
      <c r="J68" s="3575"/>
      <c r="K68" s="3466" t="s">
        <v>1392</v>
      </c>
      <c r="L68" s="3466">
        <f ca="1">IF(M49&gt;10000,M49*0.5%,IF(AND(M49&gt;5000,M49&lt;=10000),M49*1%,IF(AND(M49&gt;1000,M49&lt;=5000),M49*2%,IF(AND(M49&gt;200,M49&lt;=1000),M49*3%,M49*5%))))</f>
        <v>104.075</v>
      </c>
      <c r="M68" s="301">
        <f ca="1">ROUND(L68,1)</f>
        <v>104.1</v>
      </c>
      <c r="N68" s="2539"/>
      <c r="Z68" s="1748"/>
      <c r="AI68" s="1749"/>
    </row>
    <row r="69" spans="1:35" s="1768" customFormat="1" ht="16.5" customHeight="1">
      <c r="A69" s="1807"/>
      <c r="B69" s="1808"/>
      <c r="C69" s="1809"/>
      <c r="D69" s="1810"/>
      <c r="E69" s="1811"/>
      <c r="F69" s="1574"/>
      <c r="G69" s="1574"/>
      <c r="H69" s="1573"/>
      <c r="I69" s="1743"/>
      <c r="J69" s="3575"/>
      <c r="K69" s="3466" t="s">
        <v>1393</v>
      </c>
      <c r="L69" s="3466"/>
      <c r="M69" s="301">
        <f ca="1">ROUND(SUM(M63:M68),0)</f>
        <v>342</v>
      </c>
      <c r="N69" s="2541">
        <f ca="1">M69/M49</f>
        <v>1.6430458803747296E-2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4.4" thickBot="1">
      <c r="A70" s="3619" t="s">
        <v>1394</v>
      </c>
      <c r="B70" s="3620"/>
      <c r="C70" s="3620"/>
      <c r="D70" s="3620"/>
      <c r="E70" s="3620"/>
      <c r="F70" s="3620"/>
      <c r="G70" s="3620"/>
      <c r="H70" s="3620"/>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611" t="s">
        <v>1375</v>
      </c>
      <c r="B71" s="3612"/>
      <c r="C71" s="3457"/>
      <c r="D71" s="3457" t="s">
        <v>1376</v>
      </c>
      <c r="E71" s="178" t="s">
        <v>1377</v>
      </c>
      <c r="F71" s="179"/>
      <c r="G71" s="179"/>
      <c r="H71" s="180"/>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72" t="s">
        <v>330</v>
      </c>
      <c r="B72" s="173" t="s">
        <v>1395</v>
      </c>
      <c r="C72" s="2564">
        <f ca="1">ROUND(D45/(1+'数据-取费表'!C42),0)</f>
        <v>19824</v>
      </c>
      <c r="D72" s="169" t="s">
        <v>26</v>
      </c>
      <c r="E72" s="3456"/>
      <c r="F72" s="3449"/>
      <c r="G72" s="3449"/>
      <c r="H72" s="181"/>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72" t="s">
        <v>327</v>
      </c>
      <c r="B73" s="162" t="s">
        <v>1396</v>
      </c>
      <c r="C73" s="2564">
        <f ca="1">C74+C78</f>
        <v>119</v>
      </c>
      <c r="D73" s="169" t="s">
        <v>26</v>
      </c>
      <c r="E73" s="3456"/>
      <c r="F73" s="3449"/>
      <c r="G73" s="3449"/>
      <c r="H73" s="181"/>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8" t="s">
        <v>325</v>
      </c>
      <c r="B74" s="169" t="s">
        <v>1397</v>
      </c>
      <c r="C74" s="169">
        <f>ROUND(IF(G77="2016年5月1日后购买",C75/(1+'数据-取费表'!C42)+C76+C77,C75+C76+C77),0)</f>
        <v>0</v>
      </c>
      <c r="D74" s="169" t="s">
        <v>26</v>
      </c>
      <c r="E74" s="3456"/>
      <c r="F74" s="3449"/>
      <c r="G74" s="3449"/>
      <c r="H74" s="181"/>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8" t="s">
        <v>331</v>
      </c>
      <c r="B75" s="169" t="s">
        <v>1398</v>
      </c>
      <c r="C75" s="2567"/>
      <c r="D75" s="169" t="s">
        <v>26</v>
      </c>
      <c r="E75" s="183" t="s">
        <v>1399</v>
      </c>
      <c r="F75" s="2568"/>
      <c r="G75" s="183"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8" t="s">
        <v>332</v>
      </c>
      <c r="B76" s="184" t="s">
        <v>1401</v>
      </c>
      <c r="C76" s="169">
        <f>IF(F75="购房发票",ROUND(C75*H75*D76,0),0)</f>
        <v>0</v>
      </c>
      <c r="D76" s="2570">
        <v>0.05</v>
      </c>
      <c r="E76" s="3616" t="s">
        <v>1402</v>
      </c>
      <c r="F76" s="3615"/>
      <c r="G76" s="3615"/>
      <c r="H76" s="3618"/>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8" t="s">
        <v>333</v>
      </c>
      <c r="B77" s="169" t="s">
        <v>1403</v>
      </c>
      <c r="C77" s="169">
        <f>ROUND(IF(G77="个人住宅",0,IF(G77="2016年5月1日前购买",C75*D77,C75*D77/(1+'数据-取费表'!C42))),0)</f>
        <v>0</v>
      </c>
      <c r="D77" s="2571">
        <f>'数据-取费表'!B48+'数据-取费表'!B49</f>
        <v>3.0499999999999999E-2</v>
      </c>
      <c r="E77" s="3465" t="s">
        <v>1404</v>
      </c>
      <c r="F77" s="185"/>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8" t="s">
        <v>326</v>
      </c>
      <c r="B78" s="169" t="s">
        <v>1405</v>
      </c>
      <c r="C78" s="2572">
        <f ca="1">ROUND(D45*D78/(1+'数据-取费表'!C42),0)</f>
        <v>119</v>
      </c>
      <c r="D78" s="2573">
        <f>'数据-取费表'!B43</f>
        <v>6.000000000000001E-3</v>
      </c>
      <c r="E78" s="3608" t="s">
        <v>1406</v>
      </c>
      <c r="F78" s="3609"/>
      <c r="G78" s="3609"/>
      <c r="H78" s="3610"/>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72" t="s">
        <v>328</v>
      </c>
      <c r="B79" s="173" t="s">
        <v>1407</v>
      </c>
      <c r="C79" s="2564">
        <f ca="1">C72-C73</f>
        <v>19705</v>
      </c>
      <c r="D79" s="169" t="s">
        <v>26</v>
      </c>
      <c r="E79" s="3456"/>
      <c r="F79" s="3449"/>
      <c r="G79" s="3449"/>
      <c r="H79" s="181"/>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2" t="s">
        <v>335</v>
      </c>
      <c r="B80" s="173" t="s">
        <v>1408</v>
      </c>
      <c r="C80" s="2574">
        <f ca="1">IF(C79&lt;=0,0,C79/C73)</f>
        <v>165.58823529411765</v>
      </c>
      <c r="D80" s="169"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1"/>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5" t="s">
        <v>336</v>
      </c>
      <c r="B81" s="176" t="s">
        <v>1409</v>
      </c>
      <c r="C81" s="2575">
        <f ca="1">ROUND(IF(C79&lt;=0,0,IF(C80&gt;=200%,C79*60%-C73*35%,IF(C80&gt;=100%,C79*50%-C73*15%,IF(C80&gt;=50%,C79*40%-C73*5%,IF(C80&lt;50%,C79*30%,0))))),0)</f>
        <v>11781</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19" t="s">
        <v>1410</v>
      </c>
      <c r="B83" s="3620"/>
      <c r="C83" s="3620"/>
      <c r="D83" s="3620"/>
      <c r="E83" s="3620"/>
      <c r="F83" s="3620"/>
      <c r="G83" s="3620"/>
      <c r="H83" s="3620"/>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611" t="s">
        <v>1375</v>
      </c>
      <c r="B84" s="3612"/>
      <c r="C84" s="3457"/>
      <c r="D84" s="3457" t="s">
        <v>1376</v>
      </c>
      <c r="E84" s="178" t="s">
        <v>1377</v>
      </c>
      <c r="F84" s="179"/>
      <c r="G84" s="179"/>
      <c r="H84" s="190"/>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72" t="s">
        <v>330</v>
      </c>
      <c r="B85" s="173" t="s">
        <v>1395</v>
      </c>
      <c r="C85" s="2564">
        <f ca="1">ROUND(D45/(1+'数据-取费表'!C42),0)</f>
        <v>19824</v>
      </c>
      <c r="D85" s="169" t="s">
        <v>26</v>
      </c>
      <c r="E85" s="3456"/>
      <c r="F85" s="3449"/>
      <c r="G85" s="3449"/>
      <c r="H85" s="191"/>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72" t="s">
        <v>327</v>
      </c>
      <c r="B86" s="162" t="s">
        <v>1396</v>
      </c>
      <c r="C86" s="2564">
        <f ca="1">IF(H88="仅含出让金",C87+C90+C91+C92+C93+C94,C87+C91+C92+C93+C94)</f>
        <v>119</v>
      </c>
      <c r="D86" s="2577"/>
      <c r="E86" s="3456"/>
      <c r="F86" s="3449"/>
      <c r="G86" s="3449"/>
      <c r="H86" s="191"/>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8" t="s">
        <v>325</v>
      </c>
      <c r="B87" s="169" t="s">
        <v>1411</v>
      </c>
      <c r="C87" s="2572">
        <f>C88+C89</f>
        <v>0</v>
      </c>
      <c r="D87" s="2573"/>
      <c r="E87" s="3450"/>
      <c r="F87" s="3451"/>
      <c r="G87" s="3451"/>
      <c r="H87" s="3455"/>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8" t="s">
        <v>331</v>
      </c>
      <c r="B88" s="169" t="s">
        <v>1412</v>
      </c>
      <c r="C88" s="2578"/>
      <c r="D88" s="2573"/>
      <c r="E88" s="192" t="s">
        <v>1413</v>
      </c>
      <c r="F88" s="3451"/>
      <c r="G88" s="193" t="s">
        <v>1414</v>
      </c>
      <c r="H88" s="1820"/>
      <c r="I88" s="1817"/>
      <c r="J88" s="2517"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8" t="s">
        <v>332</v>
      </c>
      <c r="B89" s="169" t="s">
        <v>1403</v>
      </c>
      <c r="C89" s="2572">
        <f>ROUND(C88*D89,0)</f>
        <v>0</v>
      </c>
      <c r="D89" s="2573">
        <f>'数据-取费表'!B48+'数据-取费表'!B49</f>
        <v>3.0499999999999999E-2</v>
      </c>
      <c r="E89" s="192" t="s">
        <v>1415</v>
      </c>
      <c r="F89" s="3451"/>
      <c r="G89" s="3451"/>
      <c r="H89" s="3455"/>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8" t="s">
        <v>326</v>
      </c>
      <c r="B90" s="169" t="s">
        <v>1416</v>
      </c>
      <c r="C90" s="2578"/>
      <c r="D90" s="2573"/>
      <c r="E90" s="192" t="str">
        <f>IF(H88="-","土地取得成本中已包含该笔费用"," ")</f>
        <v xml:space="preserve"> </v>
      </c>
      <c r="F90" s="3451"/>
      <c r="G90" s="3577" t="s">
        <v>2129</v>
      </c>
      <c r="H90" s="3578"/>
      <c r="I90" s="1817"/>
      <c r="J90" s="2517"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8" t="s">
        <v>1417</v>
      </c>
      <c r="B91" s="169" t="s">
        <v>1418</v>
      </c>
      <c r="C91" s="2572">
        <f>IF(H91="——",成本法!C33,I91)</f>
        <v>0</v>
      </c>
      <c r="D91" s="2573"/>
      <c r="E91" s="3608" t="s">
        <v>1419</v>
      </c>
      <c r="F91" s="3609"/>
      <c r="G91" s="360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8" t="s">
        <v>1420</v>
      </c>
      <c r="B92" s="169" t="s">
        <v>1421</v>
      </c>
      <c r="C92" s="2572">
        <f>ROUND((C87+C90+C91)*D92,0)</f>
        <v>0</v>
      </c>
      <c r="D92" s="2579"/>
      <c r="E92" s="3608" t="s">
        <v>1422</v>
      </c>
      <c r="F92" s="3609"/>
      <c r="G92" s="3609"/>
      <c r="H92" s="3610"/>
      <c r="I92" s="1817"/>
      <c r="J92" s="2518"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8" t="s">
        <v>1423</v>
      </c>
      <c r="B93" s="169" t="s">
        <v>1405</v>
      </c>
      <c r="C93" s="2572">
        <f ca="1">ROUND(D45*D93/(1+'数据-取费表'!C42),0)</f>
        <v>119</v>
      </c>
      <c r="D93" s="2573">
        <f>'数据-取费表'!B43</f>
        <v>6.000000000000001E-3</v>
      </c>
      <c r="E93" s="3608" t="s">
        <v>1406</v>
      </c>
      <c r="F93" s="3609"/>
      <c r="G93" s="3609"/>
      <c r="H93" s="3610"/>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8" t="s">
        <v>1424</v>
      </c>
      <c r="B94" s="169" t="s">
        <v>1425</v>
      </c>
      <c r="C94" s="2578">
        <f>ROUND((C87+C90+C91)*D94,0)</f>
        <v>0</v>
      </c>
      <c r="D94" s="2573">
        <v>0.2</v>
      </c>
      <c r="E94" s="3653" t="s">
        <v>1426</v>
      </c>
      <c r="F94" s="3654"/>
      <c r="G94" s="3654"/>
      <c r="H94" s="3655"/>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72" t="s">
        <v>328</v>
      </c>
      <c r="B95" s="173" t="s">
        <v>1407</v>
      </c>
      <c r="C95" s="2564">
        <f ca="1">ROUND(C85-C86,0)</f>
        <v>19705</v>
      </c>
      <c r="D95" s="169" t="s">
        <v>26</v>
      </c>
      <c r="E95" s="3456"/>
      <c r="F95" s="3449"/>
      <c r="G95" s="3449"/>
      <c r="H95" s="191"/>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2" t="s">
        <v>335</v>
      </c>
      <c r="B96" s="173" t="s">
        <v>1408</v>
      </c>
      <c r="C96" s="2574">
        <f ca="1">IF(C95&lt;=0,0,C95/C86)</f>
        <v>165.58823529411765</v>
      </c>
      <c r="D96" s="169"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1"/>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5" t="s">
        <v>336</v>
      </c>
      <c r="B97" s="176" t="s">
        <v>1409</v>
      </c>
      <c r="C97" s="2575">
        <f ca="1">ROUND(IF(C95&lt;=0,0,IF(C96&gt;=200%,C95*60%-C86*35%,IF(C96&gt;=100%,C95*50%-C86*15%,IF(C96&gt;=50%,C95*40%-C86*5%,IF(C96&lt;50%,C95*30%,0))))),0)</f>
        <v>11781</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8"/>
    </row>
    <row r="99" spans="1:35" ht="21.75" customHeight="1" thickBot="1">
      <c r="A99" s="1796" t="s">
        <v>1427</v>
      </c>
      <c r="B99" s="1743"/>
      <c r="C99" s="1743"/>
      <c r="D99" s="1743"/>
      <c r="E99" s="1574"/>
      <c r="F99" s="1574"/>
      <c r="G99" s="1574"/>
      <c r="H99" s="1573"/>
      <c r="I99" s="128"/>
    </row>
    <row r="100" spans="1:35" ht="18.75" customHeight="1">
      <c r="A100" s="3558" t="s">
        <v>1428</v>
      </c>
      <c r="B100" s="3559"/>
      <c r="C100" s="3559"/>
      <c r="D100" s="3593"/>
      <c r="E100" s="3559" t="s">
        <v>1429</v>
      </c>
      <c r="F100" s="3559"/>
      <c r="G100" s="3559"/>
      <c r="H100" s="3593"/>
      <c r="I100" s="128"/>
    </row>
    <row r="101" spans="1:35" ht="18.75" customHeight="1">
      <c r="A101" s="3601" t="s">
        <v>1430</v>
      </c>
      <c r="B101" s="3602"/>
      <c r="C101" s="2581" t="str">
        <f>C4</f>
        <v>成本法-地下车库</v>
      </c>
      <c r="D101" s="2582" t="str">
        <f>D4</f>
        <v>收益法-地下车库</v>
      </c>
      <c r="E101" s="3571" t="s">
        <v>1431</v>
      </c>
      <c r="F101" s="3572"/>
      <c r="G101" s="1823" t="s">
        <v>1432</v>
      </c>
      <c r="H101" s="2591">
        <f ca="1">H118</f>
        <v>20815</v>
      </c>
      <c r="I101" s="128"/>
    </row>
    <row r="102" spans="1:35" ht="18.75" customHeight="1">
      <c r="A102" s="3603" t="s">
        <v>1433</v>
      </c>
      <c r="B102" s="2580" t="s">
        <v>1432</v>
      </c>
      <c r="C102" s="2581">
        <f ca="1">IF(D32="楼面单价",ROUND(C19,0),C19)</f>
        <v>29378</v>
      </c>
      <c r="D102" s="2582">
        <f ca="1">IF(D32="楼面单价",ROUND(D19,0),D19)</f>
        <v>15106</v>
      </c>
      <c r="E102" s="3571"/>
      <c r="F102" s="3572"/>
      <c r="G102" s="1823" t="s">
        <v>1434</v>
      </c>
      <c r="H102" s="2551">
        <f ca="1">I118</f>
        <v>6789</v>
      </c>
      <c r="I102" s="128"/>
    </row>
    <row r="103" spans="1:35" ht="42.75" customHeight="1">
      <c r="A103" s="3603"/>
      <c r="B103" s="2580" t="s">
        <v>1434</v>
      </c>
      <c r="C103" s="2583">
        <f ca="1">C20</f>
        <v>9582</v>
      </c>
      <c r="D103" s="2584">
        <f ca="1">D20</f>
        <v>4927</v>
      </c>
      <c r="E103" s="3564" t="s">
        <v>1435</v>
      </c>
      <c r="F103" s="3565"/>
      <c r="G103" s="1824" t="s">
        <v>1436</v>
      </c>
      <c r="H103" s="2591">
        <f>IF(D36="正常操作",H104+H105+H106,H105+H106)</f>
        <v>0</v>
      </c>
      <c r="I103" s="128"/>
    </row>
    <row r="104" spans="1:35" ht="18.75" customHeight="1">
      <c r="A104" s="3603" t="s">
        <v>1437</v>
      </c>
      <c r="B104" s="2585" t="s">
        <v>1432</v>
      </c>
      <c r="C104" s="2586">
        <f ca="1">H118</f>
        <v>20815</v>
      </c>
      <c r="D104" s="2587"/>
      <c r="E104" s="1670" t="s">
        <v>1438</v>
      </c>
      <c r="F104" s="1662"/>
      <c r="G104" s="1824" t="s">
        <v>1436</v>
      </c>
      <c r="H104" s="2592">
        <f>IF(D36="同一抵押权人同一抵押物续贷",C36&amp;"（续贷，未扣减，详见特别提示）",C36)</f>
        <v>0</v>
      </c>
      <c r="I104" s="128"/>
    </row>
    <row r="105" spans="1:35" ht="18.75" customHeight="1" thickBot="1">
      <c r="A105" s="3613"/>
      <c r="B105" s="2588" t="s">
        <v>1434</v>
      </c>
      <c r="C105" s="2589">
        <f ca="1">I118</f>
        <v>6789</v>
      </c>
      <c r="D105" s="2590"/>
      <c r="E105" s="1670" t="s">
        <v>1439</v>
      </c>
      <c r="F105" s="1662"/>
      <c r="G105" s="1824" t="s">
        <v>1436</v>
      </c>
      <c r="H105" s="2593">
        <f>C37</f>
        <v>0</v>
      </c>
      <c r="I105" s="128"/>
    </row>
    <row r="106" spans="1:35" ht="18.75" customHeight="1">
      <c r="A106" s="1743" t="s">
        <v>1440</v>
      </c>
      <c r="B106" s="1743"/>
      <c r="C106" s="1743"/>
      <c r="D106" s="1743"/>
      <c r="E106" s="1825" t="s">
        <v>1441</v>
      </c>
      <c r="F106" s="1662"/>
      <c r="G106" s="1824" t="s">
        <v>1436</v>
      </c>
      <c r="H106" s="2593">
        <f>C38</f>
        <v>0</v>
      </c>
      <c r="I106" s="128"/>
    </row>
    <row r="107" spans="1:35" ht="18.75" customHeight="1">
      <c r="A107" s="128"/>
      <c r="B107" s="128"/>
      <c r="C107" s="128"/>
      <c r="D107" s="128"/>
      <c r="E107" s="3604" t="str">
        <f>IF(项目基本情况!E8="已注销","——","3.房地产抵押价值")</f>
        <v>3.房地产抵押价值</v>
      </c>
      <c r="F107" s="3572"/>
      <c r="G107" s="1823" t="s">
        <v>1432</v>
      </c>
      <c r="H107" s="2591">
        <f ca="1">IF(E107="——","——",H101-H103)</f>
        <v>20815</v>
      </c>
      <c r="I107" s="128"/>
    </row>
    <row r="108" spans="1:35" ht="18.75" customHeight="1">
      <c r="A108" s="128"/>
      <c r="B108" s="128"/>
      <c r="C108" s="128"/>
      <c r="D108" s="128"/>
      <c r="E108" s="3604"/>
      <c r="F108" s="3572"/>
      <c r="G108" s="1823" t="s">
        <v>1434</v>
      </c>
      <c r="H108" s="2551">
        <f ca="1">IF(H107=H101,H102,ROUND(H107*10000/'数据-汇总表'!E3,0))</f>
        <v>6789</v>
      </c>
      <c r="I108" s="128"/>
    </row>
    <row r="109" spans="1:35" ht="18.75" customHeight="1">
      <c r="A109" s="128"/>
      <c r="B109" s="128"/>
      <c r="C109" s="128"/>
      <c r="D109" s="128"/>
      <c r="E109" s="3604" t="str">
        <f>IF(项目基本情况!E8="已注销及未注销","4.抵押担保权已注销时的房地产抵押价值",IF(项目基本情况!E8="已注销","3.抵押担保权已注销时的房地产抵押价值","——"))</f>
        <v>——</v>
      </c>
      <c r="F109" s="3572"/>
      <c r="G109" s="1823" t="s">
        <v>1432</v>
      </c>
      <c r="H109" s="2594" t="str">
        <f>IF(E109="——","——",H101-H105-H106)</f>
        <v>——</v>
      </c>
      <c r="I109" s="128"/>
    </row>
    <row r="110" spans="1:35" ht="18.75" customHeight="1">
      <c r="A110" s="128"/>
      <c r="B110" s="128"/>
      <c r="C110" s="128"/>
      <c r="D110" s="128"/>
      <c r="E110" s="3604"/>
      <c r="F110" s="3572"/>
      <c r="G110" s="1823" t="s">
        <v>1434</v>
      </c>
      <c r="H110" s="2551" t="str">
        <f>IF(H109="——","——",ROUND(H109*10000/'数据-汇总表'!E3,0))</f>
        <v>——</v>
      </c>
      <c r="I110" s="128"/>
    </row>
    <row r="111" spans="1:35" ht="18.75" customHeight="1">
      <c r="A111" s="128"/>
      <c r="B111" s="128"/>
      <c r="C111" s="128"/>
      <c r="D111" s="128"/>
      <c r="E111" s="3605" t="str">
        <f>IF(项目基本情况!E9="抵押净值",IF(OR(项目基本情况!E8="已注销",项目基本情况!E8="房地产抵押价值"),"4.抵押净值","5.抵押净值"),"——")</f>
        <v>——</v>
      </c>
      <c r="F111" s="3591"/>
      <c r="G111" s="1823" t="s">
        <v>1432</v>
      </c>
      <c r="H111" s="2591" t="str">
        <f>IF(E111="——","——",N59)</f>
        <v>——</v>
      </c>
      <c r="I111" s="128"/>
    </row>
    <row r="112" spans="1:35" ht="18.75" customHeight="1" thickBot="1">
      <c r="A112" s="128"/>
      <c r="B112" s="128"/>
      <c r="C112" s="128"/>
      <c r="D112" s="128"/>
      <c r="E112" s="3606"/>
      <c r="F112" s="3607"/>
      <c r="G112" s="1826" t="s">
        <v>1434</v>
      </c>
      <c r="H112" s="2595" t="str">
        <f>IF(E111="——","——",N61)</f>
        <v>——</v>
      </c>
      <c r="I112" s="128"/>
    </row>
    <row r="113" spans="1:27" ht="18.75" customHeight="1">
      <c r="A113" s="128"/>
      <c r="B113" s="128"/>
      <c r="C113" s="128"/>
      <c r="D113" s="128"/>
      <c r="E113" s="3614" t="s">
        <v>1440</v>
      </c>
      <c r="F113" s="3614"/>
      <c r="G113" s="3614"/>
      <c r="H113" s="3614"/>
      <c r="I113" s="128"/>
    </row>
    <row r="114" spans="1:27" ht="3.75" customHeight="1">
      <c r="A114" s="1743"/>
      <c r="B114" s="1743"/>
      <c r="C114" s="1743"/>
      <c r="D114" s="1743"/>
      <c r="E114" s="1805"/>
      <c r="F114" s="1805"/>
      <c r="G114" s="1805"/>
      <c r="H114" s="1805"/>
      <c r="I114" s="1743"/>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3452" t="s">
        <v>1449</v>
      </c>
      <c r="E117" s="3452" t="s">
        <v>1450</v>
      </c>
      <c r="F117" s="3452" t="s">
        <v>1449</v>
      </c>
      <c r="G117" s="3452" t="s">
        <v>1451</v>
      </c>
      <c r="H117" s="3452" t="s">
        <v>1449</v>
      </c>
      <c r="I117" s="3452" t="s">
        <v>1451</v>
      </c>
    </row>
    <row r="118" spans="1:27" ht="24.75" customHeight="1">
      <c r="A118" s="2596" t="str">
        <f>项目基本情况!S2</f>
        <v>北京市房地产</v>
      </c>
      <c r="B118" s="3452">
        <f>M18</f>
        <v>30659.07</v>
      </c>
      <c r="C118" s="3452">
        <f>M19</f>
        <v>3874.55</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20815</v>
      </c>
      <c r="I118" s="3452">
        <f ca="1">ROUND(IF(D32="楼面单价",C32,H118*10000/B118),0)</f>
        <v>6789</v>
      </c>
    </row>
    <row r="119" spans="1:27" ht="18.75" customHeight="1">
      <c r="A119" s="3579" t="s">
        <v>1452</v>
      </c>
      <c r="B119" s="3579"/>
      <c r="C119" s="3579"/>
      <c r="D119" s="3585" t="e">
        <f ca="1">NUMBERSTRING(INT(D118*10000),2)&amp;"元整"</f>
        <v>#REF!</v>
      </c>
      <c r="E119" s="3586"/>
      <c r="F119" s="3585" t="e">
        <f ca="1">NUMBERSTRING(INT(F118*10000),2)&amp;"元整"</f>
        <v>#REF!</v>
      </c>
      <c r="G119" s="3586"/>
      <c r="H119" s="3585" t="str">
        <f ca="1">NUMBERSTRING(INT(H118*10000),2)&amp;"元整"</f>
        <v>贰亿零捌佰壹拾伍万元整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585" t="s">
        <v>1452</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20815</v>
      </c>
      <c r="E122" s="3581"/>
      <c r="F122" s="3581"/>
      <c r="G122" s="3581"/>
      <c r="H122" s="3581"/>
      <c r="I122" s="3582"/>
      <c r="AA122" s="723"/>
    </row>
    <row r="123" spans="1:27" ht="18.75" customHeight="1">
      <c r="A123" s="3579" t="s">
        <v>1452</v>
      </c>
      <c r="B123" s="3579"/>
      <c r="C123" s="3579"/>
      <c r="D123" s="3585" t="str">
        <f ca="1">NUMBERSTRING(INT(D122*10000),2)&amp;"元整"</f>
        <v>贰亿零捌佰壹拾伍万元整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1452</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1452</v>
      </c>
      <c r="B127" s="3579"/>
      <c r="C127" s="3579"/>
      <c r="D127" s="3585" t="e">
        <f>NUMBERSTRING(INT(D126*10000),2)&amp;"元整"</f>
        <v>#VALUE!</v>
      </c>
      <c r="E127" s="3587"/>
      <c r="F127" s="3587"/>
      <c r="G127" s="3587"/>
      <c r="H127" s="3587"/>
      <c r="I127" s="3586"/>
      <c r="AA127" s="723"/>
    </row>
    <row r="128" spans="1:27" ht="21.75" customHeight="1">
      <c r="A128" s="3588" t="s">
        <v>1453</v>
      </c>
      <c r="B128" s="3588"/>
      <c r="C128" s="3588"/>
      <c r="D128" s="3588"/>
      <c r="E128" s="3588"/>
      <c r="F128" s="3588"/>
      <c r="G128" s="3588"/>
      <c r="H128" s="3588"/>
      <c r="I128" s="3588"/>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29"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70" priority="10" stopIfTrue="1" operator="equal">
      <formula>25</formula>
    </cfRule>
  </conditionalFormatting>
  <conditionalFormatting sqref="C8:C9">
    <cfRule type="cellIs" dxfId="169" priority="9" stopIfTrue="1" operator="equal">
      <formula>15</formula>
    </cfRule>
  </conditionalFormatting>
  <conditionalFormatting sqref="C14:C16">
    <cfRule type="cellIs" dxfId="168" priority="8" stopIfTrue="1" operator="equal">
      <formula>30</formula>
    </cfRule>
  </conditionalFormatting>
  <conditionalFormatting sqref="D5:D7">
    <cfRule type="cellIs" dxfId="167" priority="7" stopIfTrue="1" operator="equal">
      <formula>25</formula>
    </cfRule>
  </conditionalFormatting>
  <conditionalFormatting sqref="D8:D9">
    <cfRule type="cellIs" dxfId="166" priority="6" stopIfTrue="1" operator="equal">
      <formula>15</formula>
    </cfRule>
  </conditionalFormatting>
  <conditionalFormatting sqref="C10:D13">
    <cfRule type="cellIs" dxfId="165" priority="5" stopIfTrue="1" operator="equal">
      <formula>15</formula>
    </cfRule>
  </conditionalFormatting>
  <conditionalFormatting sqref="D14:D16">
    <cfRule type="cellIs" dxfId="164" priority="4"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6" t="s">
        <v>3406</v>
      </c>
      <c r="C1" s="197"/>
      <c r="D1" s="197"/>
      <c r="E1" s="197"/>
      <c r="F1" s="197"/>
      <c r="G1" s="1122">
        <f>MATCH(B1,'数据-取费表'!A6:A16,0)+5</f>
        <v>8</v>
      </c>
    </row>
    <row r="2" spans="1:9" s="199" customFormat="1" ht="18" customHeight="1">
      <c r="A2" s="200" t="s">
        <v>1462</v>
      </c>
      <c r="B2" s="201">
        <f ca="1">IF(D2="——",C52,C52-E2)</f>
        <v>29378</v>
      </c>
      <c r="C2" s="198" t="s">
        <v>1463</v>
      </c>
      <c r="D2" s="1849" t="s">
        <v>43</v>
      </c>
      <c r="E2" s="1165" t="e">
        <f ca="1">SUMIF(INDIRECT("'"&amp;G2&amp;"'"&amp;"!A:A"),"承租人权益价值",INDIRECT("'"&amp;G2&amp;"'"&amp;"!c:c"))</f>
        <v>#REF!</v>
      </c>
      <c r="F2" s="1850" t="s">
        <v>1463</v>
      </c>
      <c r="G2" s="1851"/>
    </row>
    <row r="3" spans="1:9" s="199" customFormat="1" ht="18" customHeight="1" thickBot="1">
      <c r="A3" s="202" t="s">
        <v>1464</v>
      </c>
      <c r="B3" s="203">
        <f ca="1">ROUND(B2*10000/(IF(B1="",'数据-汇总表'!E3,INDIRECT("'数据-取费表'!k"&amp;$G$1))),0)</f>
        <v>9582</v>
      </c>
      <c r="C3" s="198" t="s">
        <v>1465</v>
      </c>
      <c r="D3" s="198"/>
      <c r="E3" s="198"/>
      <c r="F3" s="198"/>
      <c r="G3" s="198"/>
    </row>
    <row r="4" spans="1:9" s="207" customFormat="1" ht="16.2">
      <c r="A4" s="204" t="s">
        <v>1466</v>
      </c>
      <c r="B4" s="205"/>
      <c r="C4" s="205"/>
      <c r="D4" s="205"/>
      <c r="E4" s="205"/>
      <c r="F4" s="205"/>
      <c r="G4" s="206"/>
    </row>
    <row r="5" spans="1:9" s="213" customFormat="1" ht="13.5" customHeight="1">
      <c r="A5" s="254" t="s">
        <v>337</v>
      </c>
      <c r="B5" s="209" t="s">
        <v>1468</v>
      </c>
      <c r="C5" s="210">
        <f ca="1">C6+C7+C8</f>
        <v>7697</v>
      </c>
      <c r="D5" s="210" t="s">
        <v>1469</v>
      </c>
      <c r="E5" s="211" t="s">
        <v>1470</v>
      </c>
      <c r="F5" s="211" t="s">
        <v>1471</v>
      </c>
      <c r="G5" s="212"/>
    </row>
    <row r="6" spans="1:9" s="213" customFormat="1" ht="13.5" customHeight="1">
      <c r="A6" s="774" t="s">
        <v>1472</v>
      </c>
      <c r="B6" s="214" t="s">
        <v>1473</v>
      </c>
      <c r="C6" s="215">
        <f>基准地价修正!E42</f>
        <v>6874</v>
      </c>
      <c r="D6" s="216"/>
      <c r="E6" s="217"/>
      <c r="F6" s="217"/>
      <c r="G6" s="218"/>
    </row>
    <row r="7" spans="1:9" s="213" customFormat="1" ht="13.5" customHeight="1">
      <c r="A7" s="774" t="s">
        <v>347</v>
      </c>
      <c r="B7" s="214" t="s">
        <v>1475</v>
      </c>
      <c r="C7" s="219">
        <f>ROUND(C6*F7,0)</f>
        <v>210</v>
      </c>
      <c r="D7" s="219"/>
      <c r="E7" s="217"/>
      <c r="F7" s="220">
        <f>IF(项目基本情况!B8="出让",0,'数据-取费表'!B48+'数据-取费表'!B49)</f>
        <v>3.0499999999999999E-2</v>
      </c>
      <c r="G7" s="218"/>
    </row>
    <row r="8" spans="1:9" s="222" customFormat="1">
      <c r="A8" s="774" t="s">
        <v>1476</v>
      </c>
      <c r="B8" s="214" t="s">
        <v>1477</v>
      </c>
      <c r="C8" s="219">
        <f ca="1">IF(G8="已包含在土地购买价格中","0",IF(B1="",'数据-取费表'!B29,IF(G9="全部缴纳",C9+C10,H9)))</f>
        <v>613</v>
      </c>
      <c r="D8" s="221"/>
      <c r="E8" s="219"/>
      <c r="F8" s="220"/>
      <c r="G8" s="1852" t="s">
        <v>3438</v>
      </c>
    </row>
    <row r="9" spans="1:9" s="213" customFormat="1" ht="13.5" customHeight="1">
      <c r="A9" s="775" t="s">
        <v>355</v>
      </c>
      <c r="B9" s="223" t="s">
        <v>1478</v>
      </c>
      <c r="C9" s="224">
        <f ca="1">ROUND(D9*E9/10000,0)</f>
        <v>0</v>
      </c>
      <c r="D9" s="841">
        <f ca="1">IF(B1="",'数据-汇总表'!E5,IF(INDIRECT("'数据-取费表'!c"&amp;$G$1)="住宅",INDIRECT("'数据-取费表'!k"&amp;$G$1),0))</f>
        <v>0</v>
      </c>
      <c r="E9" s="224">
        <f>'数据-取费表'!B27</f>
        <v>160</v>
      </c>
      <c r="F9" s="220"/>
      <c r="G9" s="1853" t="s">
        <v>3439</v>
      </c>
      <c r="H9" s="1133"/>
      <c r="I9" s="1854" t="s">
        <v>1479</v>
      </c>
    </row>
    <row r="10" spans="1:9" s="213" customFormat="1" ht="13.5" customHeight="1">
      <c r="A10" s="775" t="s">
        <v>356</v>
      </c>
      <c r="B10" s="223" t="s">
        <v>1480</v>
      </c>
      <c r="C10" s="224">
        <f ca="1">ROUND(D10*E10/10000,0)</f>
        <v>613</v>
      </c>
      <c r="D10" s="841">
        <f ca="1">IF(B1="",'数据-汇总表'!E6,IF(INDIRECT("'数据-取费表'!c"&amp;$G$1)="住宅",INDIRECT("'数据-取费表'!s"&amp;$G$1),INDIRECT("'数据-取费表'!k"&amp;$G$1)+INDIRECT("'数据-取费表'!s"&amp;$G$1)))</f>
        <v>30659.07</v>
      </c>
      <c r="E10" s="224">
        <f>'数据-取费表'!B28</f>
        <v>200</v>
      </c>
      <c r="F10" s="220"/>
      <c r="G10" s="225"/>
    </row>
    <row r="11" spans="1:9" s="213" customFormat="1" ht="13.5" hidden="1" customHeight="1">
      <c r="A11" s="226" t="s">
        <v>4</v>
      </c>
      <c r="B11" s="214" t="s">
        <v>1481</v>
      </c>
      <c r="C11" s="210"/>
      <c r="D11" s="843"/>
      <c r="E11" s="217"/>
      <c r="F11" s="217"/>
      <c r="G11" s="218"/>
    </row>
    <row r="12" spans="1:9" s="213" customFormat="1" ht="13.5" hidden="1" customHeight="1">
      <c r="A12" s="226" t="s">
        <v>5</v>
      </c>
      <c r="B12" s="214" t="s">
        <v>1482</v>
      </c>
      <c r="C12" s="210">
        <v>0</v>
      </c>
      <c r="D12" s="843"/>
      <c r="E12" s="227"/>
      <c r="F12" s="220">
        <v>3.0499999999999999E-2</v>
      </c>
      <c r="G12" s="218"/>
    </row>
    <row r="13" spans="1:9" s="213" customFormat="1" ht="13.5" hidden="1" customHeight="1">
      <c r="A13" s="226" t="s">
        <v>6</v>
      </c>
      <c r="B13" s="214" t="s">
        <v>1483</v>
      </c>
      <c r="C13" s="210"/>
      <c r="D13" s="843"/>
      <c r="E13" s="217"/>
      <c r="F13" s="217"/>
      <c r="G13" s="218"/>
    </row>
    <row r="14" spans="1:9" s="213" customFormat="1" ht="13.5" hidden="1" customHeight="1">
      <c r="A14" s="226" t="s">
        <v>7</v>
      </c>
      <c r="B14" s="214" t="s">
        <v>1477</v>
      </c>
      <c r="C14" s="210"/>
      <c r="D14" s="843"/>
      <c r="E14" s="217"/>
      <c r="F14" s="217"/>
      <c r="G14" s="218" t="s">
        <v>1485</v>
      </c>
    </row>
    <row r="15" spans="1:9" s="213" customFormat="1" ht="13.5" hidden="1" customHeight="1">
      <c r="A15" s="226" t="s">
        <v>8</v>
      </c>
      <c r="B15" s="214" t="s">
        <v>1486</v>
      </c>
      <c r="C15" s="219"/>
      <c r="D15" s="843"/>
      <c r="E15" s="217"/>
      <c r="F15" s="217"/>
      <c r="G15" s="218" t="s">
        <v>1487</v>
      </c>
    </row>
    <row r="16" spans="1:9" s="213" customFormat="1" ht="13.5" hidden="1" customHeight="1">
      <c r="A16" s="226" t="s">
        <v>9</v>
      </c>
      <c r="B16" s="214" t="s">
        <v>1477</v>
      </c>
      <c r="C16" s="219"/>
      <c r="D16" s="843"/>
      <c r="E16" s="217"/>
      <c r="F16" s="217"/>
      <c r="G16" s="218"/>
    </row>
    <row r="17" spans="1:7" s="213" customFormat="1" ht="13.5" hidden="1" customHeight="1">
      <c r="A17" s="226" t="s">
        <v>10</v>
      </c>
      <c r="B17" s="214" t="s">
        <v>1488</v>
      </c>
      <c r="C17" s="228"/>
      <c r="D17" s="844"/>
      <c r="E17" s="228"/>
      <c r="F17" s="228"/>
      <c r="G17" s="218" t="s">
        <v>1487</v>
      </c>
    </row>
    <row r="18" spans="1:7" s="213" customFormat="1" ht="13.5" hidden="1" customHeight="1">
      <c r="A18" s="226" t="s">
        <v>11</v>
      </c>
      <c r="B18" s="214" t="s">
        <v>1489</v>
      </c>
      <c r="C18" s="219">
        <v>0</v>
      </c>
      <c r="D18" s="843"/>
      <c r="E18" s="217"/>
      <c r="F18" s="220">
        <v>3.0499999999999999E-2</v>
      </c>
      <c r="G18" s="218" t="s">
        <v>1490</v>
      </c>
    </row>
    <row r="19" spans="1:7" s="222" customFormat="1" ht="13.5" customHeight="1">
      <c r="A19" s="254" t="s">
        <v>1491</v>
      </c>
      <c r="B19" s="209" t="s">
        <v>1492</v>
      </c>
      <c r="C19" s="210" t="str">
        <f>IF(G19="已包含在土地取得成本中","0",ROUND(D19*E19/10000,0))</f>
        <v>0</v>
      </c>
      <c r="D19" s="845">
        <f ca="1">D9+D10</f>
        <v>30659.07</v>
      </c>
      <c r="E19" s="210">
        <f>'数据-取费表'!B31</f>
        <v>200</v>
      </c>
      <c r="F19" s="230"/>
      <c r="G19" s="1852" t="s">
        <v>3440</v>
      </c>
    </row>
    <row r="20" spans="1:7" s="213" customFormat="1" ht="13.5" customHeight="1">
      <c r="A20" s="254" t="s">
        <v>1493</v>
      </c>
      <c r="B20" s="209" t="s">
        <v>1494</v>
      </c>
      <c r="C20" s="231">
        <f ca="1">ROUND((C5+C19)*F20,0)</f>
        <v>231</v>
      </c>
      <c r="D20" s="231"/>
      <c r="E20" s="231"/>
      <c r="F20" s="232">
        <f>'数据-取费表'!B37</f>
        <v>0.03</v>
      </c>
      <c r="G20" s="233" t="s">
        <v>1495</v>
      </c>
    </row>
    <row r="21" spans="1:7" s="213" customFormat="1" ht="13.5" customHeight="1">
      <c r="A21" s="254" t="s">
        <v>1496</v>
      </c>
      <c r="B21" s="209" t="s">
        <v>1497</v>
      </c>
      <c r="C21" s="234">
        <f>F21</f>
        <v>0.03</v>
      </c>
      <c r="D21" s="235" t="s">
        <v>1498</v>
      </c>
      <c r="E21" s="231"/>
      <c r="F21" s="232">
        <f>'数据-取费表'!B38</f>
        <v>0.03</v>
      </c>
      <c r="G21" s="233" t="s">
        <v>1499</v>
      </c>
    </row>
    <row r="22" spans="1:7" s="213" customFormat="1" ht="13.5" customHeight="1">
      <c r="A22" s="254" t="s">
        <v>1500</v>
      </c>
      <c r="B22" s="209" t="s">
        <v>1501</v>
      </c>
      <c r="C22" s="1100">
        <f ca="1">ROUND(SUM(C23:C25),0)</f>
        <v>1014</v>
      </c>
      <c r="D22" s="234">
        <f ca="1">C26</f>
        <v>1.9E-3</v>
      </c>
      <c r="E22" s="235" t="s">
        <v>1498</v>
      </c>
      <c r="F22" s="236">
        <f ca="1">'数据-取费表'!B40</f>
        <v>4.1499999999999995E-2</v>
      </c>
      <c r="G22" s="233" t="str">
        <f>IF('数据-取费表'!B22&lt;=1,"单利计息","复利计息")</f>
        <v>复利计息</v>
      </c>
    </row>
    <row r="23" spans="1:7" s="213" customFormat="1" ht="13.5" customHeight="1">
      <c r="A23" s="776" t="s">
        <v>346</v>
      </c>
      <c r="B23" s="214" t="s">
        <v>1503</v>
      </c>
      <c r="C23" s="1101">
        <f ca="1">ROUND(IF('数据-取费表'!B22&lt;=1,C5*F22*'数据-取费表'!B23,C5*(POWER((1+F22),'数据-取费表'!B23)-1)),0)</f>
        <v>999</v>
      </c>
      <c r="D23" s="237"/>
      <c r="E23" s="237"/>
      <c r="F23" s="238"/>
      <c r="G23" s="239" t="s">
        <v>1504</v>
      </c>
    </row>
    <row r="24" spans="1:7" s="213" customFormat="1" ht="13.5" customHeight="1">
      <c r="A24" s="776" t="s">
        <v>347</v>
      </c>
      <c r="B24" s="214" t="s">
        <v>1506</v>
      </c>
      <c r="C24" s="1101">
        <f ca="1">ROUND(IF('数据-取费表'!B22&lt;=1,C19*F22*('数据-取费表'!B19/2+'数据-取费表'!B21),C19*(POWER((1+F22),('数据-取费表'!B19/2+'数据-取费表'!B21))-1)),0)</f>
        <v>0</v>
      </c>
      <c r="D24" s="237"/>
      <c r="E24" s="237"/>
      <c r="F24" s="238"/>
      <c r="G24" s="239" t="s">
        <v>1507</v>
      </c>
    </row>
    <row r="25" spans="1:7" s="213" customFormat="1" ht="24">
      <c r="A25" s="776" t="s">
        <v>348</v>
      </c>
      <c r="B25" s="214" t="s">
        <v>1509</v>
      </c>
      <c r="C25" s="1101">
        <f ca="1">ROUND(IF('数据-取费表'!B22&lt;=1,C20*F22*'数据-取费表'!B23/2,C20*(POWER((1+F22),'数据-取费表'!B23/2)-1)),0)</f>
        <v>15</v>
      </c>
      <c r="D25" s="237"/>
      <c r="E25" s="240"/>
      <c r="F25" s="238"/>
      <c r="G25" s="241" t="s">
        <v>1510</v>
      </c>
    </row>
    <row r="26" spans="1:7" s="213" customFormat="1">
      <c r="A26" s="776" t="s">
        <v>350</v>
      </c>
      <c r="B26" s="214" t="s">
        <v>1511</v>
      </c>
      <c r="C26" s="237">
        <f ca="1">ROUND(IF('数据-取费表'!B22&lt;=1,F21*F22*'数据-取费表'!B23/2,F21*(POWER((1+F22),'数据-取费表'!B23/2)-1)),4)</f>
        <v>1.9E-3</v>
      </c>
      <c r="D26" s="237"/>
      <c r="E26" s="240"/>
      <c r="F26" s="238"/>
      <c r="G26" s="242"/>
    </row>
    <row r="27" spans="1:7" s="213" customFormat="1" ht="26.4">
      <c r="A27" s="254" t="s">
        <v>1512</v>
      </c>
      <c r="B27" s="243" t="s">
        <v>1513</v>
      </c>
      <c r="C27" s="244">
        <f ca="1">C28</f>
        <v>793</v>
      </c>
      <c r="D27" s="234">
        <f ca="1">C29</f>
        <v>3.0000000000000001E-3</v>
      </c>
      <c r="E27" s="235" t="s">
        <v>1514</v>
      </c>
      <c r="F27" s="245">
        <f ca="1">IF(B1="",'数据-取费表'!Q16,INDIRECT("'数据-取费表'!q"&amp;$G$1))</f>
        <v>0.1</v>
      </c>
      <c r="G27" s="246" t="s">
        <v>1515</v>
      </c>
    </row>
    <row r="28" spans="1:7" s="213" customFormat="1" ht="13.5" customHeight="1">
      <c r="A28" s="776" t="s">
        <v>346</v>
      </c>
      <c r="B28" s="247" t="s">
        <v>1516</v>
      </c>
      <c r="C28" s="248">
        <f ca="1">ROUND((C5+C19+C20)*F27*'数据-取费表'!B21/'数据-取费表'!B20,0)</f>
        <v>793</v>
      </c>
      <c r="D28" s="234"/>
      <c r="E28" s="235"/>
      <c r="F28" s="245"/>
      <c r="G28" s="246"/>
    </row>
    <row r="29" spans="1:7" s="213" customFormat="1" ht="13.5" customHeight="1">
      <c r="A29" s="776"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10677</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15307</v>
      </c>
      <c r="D33" s="231"/>
      <c r="E33" s="211"/>
      <c r="F33" s="240"/>
      <c r="G33" s="233"/>
    </row>
    <row r="34" spans="1:7" s="257" customFormat="1" ht="13.5" customHeight="1">
      <c r="A34" s="776" t="s">
        <v>346</v>
      </c>
      <c r="B34" s="214" t="s">
        <v>1525</v>
      </c>
      <c r="C34" s="219">
        <f ca="1">IF(B1="",IF(F34=100%,'数据-取费表'!M16,'数据-取费表'!O16),IF(F34=100%,INDIRECT("'数据-取费表'!m"&amp;$G$1)+INDIRECT("'数据-取费表'!t"&amp;$G$1),INDIRECT("'数据-取费表'!o"&amp;$G$1)+INDIRECT("'数据-取费表'!aq"&amp;$G$1)))</f>
        <v>13797</v>
      </c>
      <c r="D34" s="216"/>
      <c r="E34" s="219"/>
      <c r="F34" s="256">
        <f ca="1">IF('数据-取费表'!B24=0,1,IF(B1="",'数据-取费表'!N16,INDIRECT("'数据-取费表'!n"&amp;$G$1)))</f>
        <v>1</v>
      </c>
      <c r="G34" s="218" t="s">
        <v>1526</v>
      </c>
    </row>
    <row r="35" spans="1:7" ht="13.5" customHeight="1">
      <c r="A35" s="776" t="s">
        <v>351</v>
      </c>
      <c r="B35" s="214" t="s">
        <v>1527</v>
      </c>
      <c r="C35" s="219">
        <f ca="1">ROUND(C34*F35,0)</f>
        <v>690</v>
      </c>
      <c r="D35" s="219"/>
      <c r="E35" s="219"/>
      <c r="F35" s="258">
        <f>'数据-取费表'!B33</f>
        <v>0.05</v>
      </c>
      <c r="G35" s="218" t="s">
        <v>1528</v>
      </c>
    </row>
    <row r="36" spans="1:7" ht="24">
      <c r="A36" s="776"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6" t="s">
        <v>353</v>
      </c>
      <c r="B37" s="214" t="s">
        <v>1531</v>
      </c>
      <c r="C37" s="248">
        <f ca="1">ROUND(E37*D37*F34/10000,0)</f>
        <v>613</v>
      </c>
      <c r="D37" s="216">
        <f ca="1">D19</f>
        <v>30659.07</v>
      </c>
      <c r="E37" s="248">
        <f>'数据-取费表'!B35</f>
        <v>200</v>
      </c>
      <c r="F37" s="258"/>
      <c r="G37" s="260" t="s">
        <v>1532</v>
      </c>
    </row>
    <row r="38" spans="1:7" ht="13.5" customHeight="1">
      <c r="A38" s="776" t="s">
        <v>354</v>
      </c>
      <c r="B38" s="214" t="s">
        <v>1533</v>
      </c>
      <c r="C38" s="219">
        <f ca="1">ROUND(C34*F38,0)</f>
        <v>207</v>
      </c>
      <c r="D38" s="219"/>
      <c r="E38" s="219"/>
      <c r="F38" s="258">
        <f>'数据-取费表'!B36</f>
        <v>1.4999999999999999E-2</v>
      </c>
      <c r="G38" s="218" t="s">
        <v>1528</v>
      </c>
    </row>
    <row r="39" spans="1:7" s="213" customFormat="1" ht="13.5" customHeight="1">
      <c r="A39" s="254" t="s">
        <v>1491</v>
      </c>
      <c r="B39" s="209" t="s">
        <v>1494</v>
      </c>
      <c r="C39" s="231">
        <f ca="1">ROUND(C33*F20,0)</f>
        <v>459</v>
      </c>
      <c r="D39" s="231"/>
      <c r="E39" s="231"/>
      <c r="F39" s="232">
        <f>F20</f>
        <v>0.03</v>
      </c>
      <c r="G39" s="233" t="s">
        <v>1536</v>
      </c>
    </row>
    <row r="40" spans="1:7" s="213" customFormat="1" ht="13.5" customHeight="1">
      <c r="A40" s="254" t="s">
        <v>1493</v>
      </c>
      <c r="B40" s="209" t="s">
        <v>1538</v>
      </c>
      <c r="C40" s="1323">
        <f>F21</f>
        <v>0.03</v>
      </c>
      <c r="D40" s="235" t="s">
        <v>1539</v>
      </c>
      <c r="E40" s="231"/>
      <c r="F40" s="232">
        <f>F21</f>
        <v>0.03</v>
      </c>
      <c r="G40" s="233" t="s">
        <v>1540</v>
      </c>
    </row>
    <row r="41" spans="1:7" s="213" customFormat="1" ht="13.5" customHeight="1">
      <c r="A41" s="254" t="s">
        <v>1496</v>
      </c>
      <c r="B41" s="209" t="s">
        <v>1501</v>
      </c>
      <c r="C41" s="231">
        <f ca="1">ROUND(SUM(C42:C43),0)</f>
        <v>992</v>
      </c>
      <c r="D41" s="234">
        <f ca="1">C44</f>
        <v>1.9E-3</v>
      </c>
      <c r="E41" s="235" t="s">
        <v>1539</v>
      </c>
      <c r="F41" s="236">
        <f ca="1">F22</f>
        <v>4.1499999999999995E-2</v>
      </c>
      <c r="G41" s="233" t="str">
        <f>IF('数据-取费表'!B22&lt;=1,"单利计息","复利计息")</f>
        <v>复利计息</v>
      </c>
    </row>
    <row r="42" spans="1:7" ht="13.5" customHeight="1">
      <c r="A42" s="776" t="s">
        <v>346</v>
      </c>
      <c r="B42" s="214" t="s">
        <v>1543</v>
      </c>
      <c r="C42" s="237">
        <f ca="1">ROUND(IF('数据-取费表'!B22&lt;=1,C33*F22*'数据-取费表'!B21/2,C33*(POWER((1+F22),'数据-取费表'!B21/2)-1)),0)</f>
        <v>963</v>
      </c>
      <c r="D42" s="237"/>
      <c r="E42" s="237"/>
      <c r="F42" s="238"/>
      <c r="G42" s="3677" t="s">
        <v>1544</v>
      </c>
    </row>
    <row r="43" spans="1:7" ht="13.5" customHeight="1">
      <c r="A43" s="776" t="s">
        <v>347</v>
      </c>
      <c r="B43" s="214" t="s">
        <v>1545</v>
      </c>
      <c r="C43" s="237">
        <f ca="1">ROUND(IF('数据-取费表'!B22&lt;=1,C39*F22*'数据-取费表'!B21/2,C39*(POWER((1+F22),'数据-取费表'!B21/2)-1)),0)</f>
        <v>29</v>
      </c>
      <c r="D43" s="237"/>
      <c r="E43" s="237"/>
      <c r="F43" s="238"/>
      <c r="G43" s="3678"/>
    </row>
    <row r="44" spans="1:7" ht="13.5" customHeight="1">
      <c r="A44" s="776" t="s">
        <v>348</v>
      </c>
      <c r="B44" s="214" t="s">
        <v>1509</v>
      </c>
      <c r="C44" s="237">
        <f ca="1">ROUND(IF('数据-取费表'!B22&lt;=1,C40*F22*'数据-取费表'!B21/2,C40*(POWER((1+F22),'数据-取费表'!B21/2)-1)),4)</f>
        <v>1.9E-3</v>
      </c>
      <c r="D44" s="237"/>
      <c r="E44" s="237"/>
      <c r="F44" s="238"/>
      <c r="G44" s="3679"/>
    </row>
    <row r="45" spans="1:7" s="213" customFormat="1" ht="13.5" customHeight="1">
      <c r="A45" s="254" t="s">
        <v>1500</v>
      </c>
      <c r="B45" s="243" t="s">
        <v>1513</v>
      </c>
      <c r="C45" s="244">
        <f ca="1">C46</f>
        <v>1577</v>
      </c>
      <c r="D45" s="234">
        <f ca="1">C47</f>
        <v>3.0000000000000001E-3</v>
      </c>
      <c r="E45" s="235" t="s">
        <v>1539</v>
      </c>
      <c r="F45" s="245">
        <f ca="1">F27</f>
        <v>0.1</v>
      </c>
      <c r="G45" s="246" t="s">
        <v>1548</v>
      </c>
    </row>
    <row r="46" spans="1:7" s="213" customFormat="1" ht="13.5" customHeight="1">
      <c r="A46" s="776" t="s">
        <v>346</v>
      </c>
      <c r="B46" s="247" t="s">
        <v>1549</v>
      </c>
      <c r="C46" s="248">
        <f ca="1">ROUND((C33+C39)*F27,0)</f>
        <v>1577</v>
      </c>
      <c r="D46" s="262"/>
      <c r="E46" s="235"/>
      <c r="F46" s="245"/>
      <c r="G46" s="246"/>
    </row>
    <row r="47" spans="1:7" s="213" customFormat="1" ht="13.5" customHeight="1">
      <c r="A47" s="776" t="s">
        <v>347</v>
      </c>
      <c r="B47" s="247" t="s">
        <v>1550</v>
      </c>
      <c r="C47" s="237">
        <f ca="1">ROUND(C40*F27,4)</f>
        <v>3.0000000000000001E-3</v>
      </c>
      <c r="D47" s="262"/>
      <c r="E47" s="235"/>
      <c r="F47" s="245"/>
      <c r="G47" s="246"/>
    </row>
    <row r="48" spans="1:7" s="213" customFormat="1" ht="13.5" customHeight="1">
      <c r="A48" s="254" t="s">
        <v>1512</v>
      </c>
      <c r="B48" s="209" t="s">
        <v>1551</v>
      </c>
      <c r="C48" s="1323">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20109</v>
      </c>
      <c r="D49" s="231"/>
      <c r="E49" s="231"/>
      <c r="F49" s="263"/>
      <c r="G49" s="233" t="s">
        <v>1554</v>
      </c>
    </row>
    <row r="50" spans="1:7" s="257" customFormat="1" ht="24">
      <c r="A50" s="254" t="s">
        <v>1555</v>
      </c>
      <c r="B50" s="209" t="s">
        <v>1556</v>
      </c>
      <c r="C50" s="231"/>
      <c r="D50" s="231"/>
      <c r="E50" s="231"/>
      <c r="F50" s="263">
        <f>IF('数据-取费表'!B24=0,'数据-取费表'!N16,1)</f>
        <v>0.93</v>
      </c>
      <c r="G50" s="246" t="s">
        <v>1557</v>
      </c>
    </row>
    <row r="51" spans="1:7" ht="16.5" customHeight="1">
      <c r="A51" s="254" t="s">
        <v>1558</v>
      </c>
      <c r="B51" s="209" t="s">
        <v>1559</v>
      </c>
      <c r="C51" s="231">
        <f ca="1">ROUND(C49*F50,0)</f>
        <v>18701</v>
      </c>
      <c r="D51" s="231"/>
      <c r="E51" s="231"/>
      <c r="F51" s="263"/>
      <c r="G51" s="233" t="s">
        <v>1560</v>
      </c>
    </row>
    <row r="52" spans="1:7" s="207" customFormat="1" ht="16.8" thickBot="1">
      <c r="A52" s="264" t="s">
        <v>1561</v>
      </c>
      <c r="B52" s="265"/>
      <c r="C52" s="266">
        <f ca="1">C31+C51</f>
        <v>29378</v>
      </c>
      <c r="D52" s="265"/>
      <c r="E52" s="265"/>
      <c r="F52" s="265"/>
      <c r="G52" s="267"/>
    </row>
    <row r="55" spans="1:7" ht="15">
      <c r="B55" s="269" t="s">
        <v>1562</v>
      </c>
      <c r="C55" s="270"/>
    </row>
    <row r="56" spans="1:7">
      <c r="B56" s="272" t="s">
        <v>802</v>
      </c>
      <c r="C56" s="274">
        <f ca="1">1-C57</f>
        <v>0.36299999999999999</v>
      </c>
    </row>
    <row r="57" spans="1:7">
      <c r="B57" s="272" t="s">
        <v>803</v>
      </c>
      <c r="C57" s="273">
        <f ca="1">ROUND(C51/C52,3)</f>
        <v>0.63700000000000001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A38" sqref="A38"/>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4" customWidth="1"/>
    <col min="12" max="12" width="16.33203125" style="257" customWidth="1"/>
    <col min="13" max="13" width="13" style="257"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7"/>
  </cols>
  <sheetData>
    <row r="1" spans="1:37" s="292" customFormat="1" ht="21.6">
      <c r="A1" s="1371" t="s">
        <v>877</v>
      </c>
      <c r="B1" s="711"/>
      <c r="C1" s="1375" t="s">
        <v>3406</v>
      </c>
      <c r="D1" s="1358" t="s">
        <v>43</v>
      </c>
      <c r="E1" s="1359" t="s">
        <v>678</v>
      </c>
      <c r="F1" s="1058">
        <f ca="1">J53</f>
        <v>37.840000000000003</v>
      </c>
      <c r="G1" s="1374">
        <f>MATCH(C1,'数据-取费表'!A6:A16,0)+5</f>
        <v>8</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15106</v>
      </c>
      <c r="C2" s="1383" t="s">
        <v>805</v>
      </c>
      <c r="D2" s="1383"/>
      <c r="E2" s="1384"/>
      <c r="F2" s="1385"/>
      <c r="G2" s="2702"/>
      <c r="H2" s="2691"/>
      <c r="I2" s="2691"/>
      <c r="J2" s="2691"/>
      <c r="K2" s="2692"/>
      <c r="L2" s="2691"/>
      <c r="M2" s="2691"/>
    </row>
    <row r="3" spans="1:37" ht="18" customHeight="1" thickBot="1">
      <c r="A3" s="1386" t="s">
        <v>806</v>
      </c>
      <c r="B3" s="1387">
        <f ca="1">IF(ISERROR(B2*10000/F43),0,ROUND(B2*10000/F43,0))</f>
        <v>4927</v>
      </c>
      <c r="C3" s="1383" t="s">
        <v>807</v>
      </c>
      <c r="D3" s="1383"/>
      <c r="E3" s="1384"/>
      <c r="F3" s="1385"/>
      <c r="G3" s="2702"/>
      <c r="H3" s="681" t="s">
        <v>876</v>
      </c>
      <c r="I3" s="1378"/>
      <c r="J3" s="1378"/>
      <c r="K3" s="1379"/>
      <c r="L3" s="1378"/>
      <c r="M3" s="1378"/>
    </row>
    <row r="4" spans="1:37" ht="18" customHeight="1">
      <c r="A4" s="294" t="s">
        <v>687</v>
      </c>
      <c r="B4" s="295" t="s">
        <v>688</v>
      </c>
      <c r="C4" s="295" t="s">
        <v>689</v>
      </c>
      <c r="D4" s="295" t="s">
        <v>690</v>
      </c>
      <c r="E4" s="296" t="s">
        <v>691</v>
      </c>
      <c r="F4" s="297"/>
      <c r="G4" s="1380"/>
      <c r="H4" s="294" t="s">
        <v>687</v>
      </c>
      <c r="I4" s="295" t="s">
        <v>688</v>
      </c>
      <c r="J4" s="295" t="s">
        <v>689</v>
      </c>
      <c r="K4" s="295" t="s">
        <v>690</v>
      </c>
      <c r="L4" s="296" t="s">
        <v>691</v>
      </c>
      <c r="M4" s="297"/>
    </row>
    <row r="5" spans="1:37" ht="18" customHeight="1">
      <c r="A5" s="298">
        <v>1</v>
      </c>
      <c r="B5" s="299" t="s">
        <v>692</v>
      </c>
      <c r="C5" s="1066">
        <f ca="1">C6+C10+C12</f>
        <v>1007</v>
      </c>
      <c r="D5" s="1360" t="s">
        <v>693</v>
      </c>
      <c r="E5" s="1067"/>
      <c r="F5" s="1068"/>
      <c r="G5" s="1380"/>
      <c r="H5" s="298">
        <v>1</v>
      </c>
      <c r="I5" s="299" t="s">
        <v>692</v>
      </c>
      <c r="J5" s="1066">
        <f ca="1">J6+J10+J12</f>
        <v>0</v>
      </c>
      <c r="K5" s="1360" t="s">
        <v>693</v>
      </c>
      <c r="L5" s="1067"/>
      <c r="M5" s="1068"/>
    </row>
    <row r="6" spans="1:37" ht="18" customHeight="1">
      <c r="A6" s="1065" t="s">
        <v>398</v>
      </c>
      <c r="B6" s="3682" t="s">
        <v>694</v>
      </c>
      <c r="C6" s="1070">
        <f ca="1">ROUND(F6*F8*F7*(1-F9)/10000,0)</f>
        <v>1007</v>
      </c>
      <c r="D6" s="154" t="s">
        <v>2109</v>
      </c>
      <c r="E6" s="301" t="s">
        <v>696</v>
      </c>
      <c r="F6" s="302">
        <f ca="1">INDIRECT("'数据-取费表'!u"&amp;$G$1)</f>
        <v>1</v>
      </c>
      <c r="G6" s="1380"/>
      <c r="H6" s="1065" t="s">
        <v>398</v>
      </c>
      <c r="I6" s="3682" t="s">
        <v>694</v>
      </c>
      <c r="J6" s="300">
        <f ca="1">ROUND(M6*M8*M7*(1-M9)/10000,0)</f>
        <v>0</v>
      </c>
      <c r="K6" s="154" t="s">
        <v>2108</v>
      </c>
      <c r="L6" s="301" t="s">
        <v>696</v>
      </c>
      <c r="M6" s="302">
        <f ca="1">INDIRECT("'数据-取费表'!z"&amp;$G$1)</f>
        <v>0</v>
      </c>
    </row>
    <row r="7" spans="1:37" ht="18" customHeight="1">
      <c r="A7" s="1069"/>
      <c r="B7" s="3683"/>
      <c r="C7" s="1071"/>
      <c r="D7" s="306"/>
      <c r="E7" s="3467" t="s">
        <v>697</v>
      </c>
      <c r="F7" s="302">
        <f ca="1">IF(INDIRECT("'数据-取费表'!ah"&amp;$G$1)="",INDIRECT("'数据-取费表'!k"&amp;$G$1),INDIRECT("'数据-取费表'!ah"&amp;$G$1))</f>
        <v>30659.07</v>
      </c>
      <c r="G7" s="1380"/>
      <c r="H7" s="303"/>
      <c r="I7" s="3683"/>
      <c r="J7" s="305"/>
      <c r="K7" s="306"/>
      <c r="L7" s="301" t="s">
        <v>697</v>
      </c>
      <c r="M7" s="302">
        <f ca="1">F7</f>
        <v>30659.07</v>
      </c>
    </row>
    <row r="8" spans="1:37" ht="18" customHeight="1">
      <c r="A8" s="303"/>
      <c r="B8" s="3683"/>
      <c r="C8" s="305"/>
      <c r="D8" s="306"/>
      <c r="E8" s="301" t="s">
        <v>698</v>
      </c>
      <c r="F8" s="302">
        <f ca="1">INDIRECT("'数据-取费表'!ai"&amp;$G$1)</f>
        <v>365</v>
      </c>
      <c r="G8" s="1380"/>
      <c r="H8" s="303"/>
      <c r="I8" s="3683"/>
      <c r="J8" s="305"/>
      <c r="K8" s="306"/>
      <c r="L8" s="301" t="s">
        <v>698</v>
      </c>
      <c r="M8" s="302">
        <f ca="1">INDIRECT("'数据-取费表'!ai"&amp;$G$1)</f>
        <v>365</v>
      </c>
    </row>
    <row r="9" spans="1:37" ht="18" customHeight="1">
      <c r="A9" s="303"/>
      <c r="B9" s="3684"/>
      <c r="C9" s="305"/>
      <c r="D9" s="306"/>
      <c r="E9" s="301" t="s">
        <v>699</v>
      </c>
      <c r="F9" s="311">
        <f ca="1">INDIRECT("'数据-取费表'!w"&amp;$G$1)</f>
        <v>0.1</v>
      </c>
      <c r="G9" s="1380"/>
      <c r="H9" s="303"/>
      <c r="I9" s="3684"/>
      <c r="J9" s="305"/>
      <c r="K9" s="306"/>
      <c r="L9" s="312" t="s">
        <v>699</v>
      </c>
      <c r="M9" s="313">
        <f ca="1">INDIRECT("'数据-取费表'!ab"&amp;$G$1)</f>
        <v>0</v>
      </c>
    </row>
    <row r="10" spans="1:37" ht="18" customHeight="1">
      <c r="A10" s="1065" t="s">
        <v>402</v>
      </c>
      <c r="B10" s="1361" t="s">
        <v>700</v>
      </c>
      <c r="C10" s="315">
        <f ca="1">ROUND(IF(F10="押一",C6/12*F11,IF(F10="押二",C6/12*2*F11,IF(F10="押三",C6/12*3*F11,C11*F11))),0)</f>
        <v>0</v>
      </c>
      <c r="D10" s="1362" t="s">
        <v>2116</v>
      </c>
      <c r="E10" s="312" t="s">
        <v>701</v>
      </c>
      <c r="F10" s="1112"/>
      <c r="G10" s="1380"/>
      <c r="H10" s="1065" t="s">
        <v>402</v>
      </c>
      <c r="I10" s="1361" t="s">
        <v>700</v>
      </c>
      <c r="J10" s="300">
        <f ca="1">ROUND(IF(M10="押一",J6/12*M11,IF(M10="押二",J6/12*2*M11,IF(M10="押三",J6/12*3*M11,J11*M11))),0)</f>
        <v>0</v>
      </c>
      <c r="K10" s="1362" t="s">
        <v>2116</v>
      </c>
      <c r="L10" s="312" t="s">
        <v>701</v>
      </c>
      <c r="M10" s="1112"/>
    </row>
    <row r="11" spans="1:37" ht="18" customHeight="1">
      <c r="A11" s="307"/>
      <c r="B11" s="1363" t="s">
        <v>679</v>
      </c>
      <c r="C11" s="955"/>
      <c r="D11" s="1364"/>
      <c r="E11" s="312" t="s">
        <v>702</v>
      </c>
      <c r="F11" s="313">
        <f ca="1">'数据-取费表'!B39</f>
        <v>1.4999999999999999E-2</v>
      </c>
      <c r="G11" s="1380"/>
      <c r="H11" s="1073"/>
      <c r="I11" s="1363" t="s">
        <v>679</v>
      </c>
      <c r="J11" s="955"/>
      <c r="K11" s="682"/>
      <c r="L11" s="312"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9">
        <f ca="1">ROUND(C29*F13,0)</f>
        <v>18701</v>
      </c>
      <c r="D13" s="3446" t="s">
        <v>705</v>
      </c>
      <c r="E13" s="3446" t="s">
        <v>706</v>
      </c>
      <c r="F13" s="1078">
        <f ca="1">INDIRECT("'数据-取费表'!y"&amp;$G$1)</f>
        <v>0.93</v>
      </c>
      <c r="G13" s="1380"/>
      <c r="H13" s="1075">
        <v>2</v>
      </c>
      <c r="I13" s="1076" t="s">
        <v>704</v>
      </c>
      <c r="J13" s="1064">
        <f ca="1">ROUND(J14*J15,0)</f>
        <v>0</v>
      </c>
      <c r="K13" s="1083" t="s">
        <v>705</v>
      </c>
      <c r="L13" s="1388"/>
      <c r="M13" s="1389"/>
    </row>
    <row r="14" spans="1:37" ht="18" customHeight="1">
      <c r="A14" s="978" t="s">
        <v>397</v>
      </c>
      <c r="B14" s="301" t="s">
        <v>707</v>
      </c>
      <c r="C14" s="317">
        <f ca="1">INDIRECT("'数据-取费表'!m"&amp;$G$1)+INDIRECT("'数据-取费表'!t"&amp;$G$1)</f>
        <v>13797</v>
      </c>
      <c r="D14" s="3456" t="s">
        <v>708</v>
      </c>
      <c r="E14" s="3449"/>
      <c r="F14" s="318"/>
      <c r="G14" s="1380"/>
      <c r="H14" s="978" t="s">
        <v>398</v>
      </c>
      <c r="I14" s="301" t="s">
        <v>709</v>
      </c>
      <c r="J14" s="21">
        <f ca="1">C29</f>
        <v>20109</v>
      </c>
      <c r="K14" s="3465"/>
      <c r="L14" s="803"/>
      <c r="M14" s="804"/>
    </row>
    <row r="15" spans="1:37" s="1393" customFormat="1" ht="18" customHeight="1" thickBot="1">
      <c r="A15" s="978" t="s">
        <v>399</v>
      </c>
      <c r="B15" s="301" t="s">
        <v>710</v>
      </c>
      <c r="C15" s="21">
        <f ca="1">ROUND(C14*F15,0)</f>
        <v>690</v>
      </c>
      <c r="D15" s="3447" t="s">
        <v>711</v>
      </c>
      <c r="E15" s="3447" t="s">
        <v>712</v>
      </c>
      <c r="F15" s="320">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1" t="s">
        <v>713</v>
      </c>
      <c r="C16" s="21">
        <f ca="1">ROUND(INDIRECT("'数据-取费表'!m"&amp;$G$1)*F16,0)</f>
        <v>0</v>
      </c>
      <c r="D16" s="301" t="s">
        <v>711</v>
      </c>
      <c r="E16" s="301" t="s">
        <v>712</v>
      </c>
      <c r="F16" s="321">
        <f ca="1">IF(INDIRECT("'数据-取费表'!c"&amp;$G$1)="住宅",'数据-取费表'!B34,0)</f>
        <v>0</v>
      </c>
      <c r="G16" s="1380"/>
      <c r="H16" s="1075" t="s">
        <v>393</v>
      </c>
      <c r="I16" s="1076" t="s">
        <v>714</v>
      </c>
      <c r="J16" s="309">
        <f ca="1">ROUND(J17+J22+J23+J24,0)</f>
        <v>102</v>
      </c>
      <c r="K16" s="1083" t="s">
        <v>715</v>
      </c>
      <c r="L16" s="3459"/>
      <c r="M16" s="1068"/>
    </row>
    <row r="17" spans="1:37" s="1393" customFormat="1" ht="18" customHeight="1">
      <c r="A17" s="978" t="s">
        <v>681</v>
      </c>
      <c r="B17" s="301" t="s">
        <v>716</v>
      </c>
      <c r="C17" s="21">
        <f ca="1">ROUND(F17*(F43+INDIRECT("'数据-取费表'!S"&amp;$G$1))/10000,0)</f>
        <v>613</v>
      </c>
      <c r="D17" s="301" t="s">
        <v>717</v>
      </c>
      <c r="E17" s="301" t="s">
        <v>718</v>
      </c>
      <c r="F17" s="23">
        <f>'数据-取费表'!B35</f>
        <v>200</v>
      </c>
      <c r="G17" s="1392"/>
      <c r="H17" s="978" t="s">
        <v>398</v>
      </c>
      <c r="I17" s="301" t="s">
        <v>719</v>
      </c>
      <c r="J17" s="2312">
        <f ca="1">ROUND(IF(AND(项目基本情况!B11="自然人",项目基本情况!B10="北京市"),J6*M17/(1+'数据-取费表'!C42),J18+J19+J20),2)</f>
        <v>1.1599999999999999</v>
      </c>
      <c r="K17" s="3456" t="s">
        <v>720</v>
      </c>
      <c r="L17" s="3454"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1" t="s">
        <v>722</v>
      </c>
      <c r="C18" s="21">
        <f ca="1">ROUND(C14*F18,0)</f>
        <v>207</v>
      </c>
      <c r="D18" s="301" t="s">
        <v>711</v>
      </c>
      <c r="E18" s="301" t="s">
        <v>712</v>
      </c>
      <c r="F18" s="321">
        <f>'数据-取费表'!B36</f>
        <v>1.4999999999999999E-2</v>
      </c>
      <c r="G18" s="1392"/>
      <c r="H18" s="978" t="s">
        <v>397</v>
      </c>
      <c r="I18" s="301" t="s">
        <v>723</v>
      </c>
      <c r="J18" s="21">
        <f ca="1">ROUND(J6*M18/(1+'数据-取费表'!C42),2)</f>
        <v>0</v>
      </c>
      <c r="K18" s="3454" t="s">
        <v>724</v>
      </c>
      <c r="L18" s="301" t="s">
        <v>712</v>
      </c>
      <c r="M18" s="321">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1" t="s">
        <v>725</v>
      </c>
      <c r="C19" s="21">
        <f ca="1">SUM(C14:C18)</f>
        <v>15307</v>
      </c>
      <c r="D19" s="130" t="s">
        <v>726</v>
      </c>
      <c r="E19" s="3469"/>
      <c r="F19" s="23"/>
      <c r="G19" s="1380"/>
      <c r="H19" s="978" t="s">
        <v>399</v>
      </c>
      <c r="I19" s="301" t="s">
        <v>727</v>
      </c>
      <c r="J19" s="21">
        <f ca="1">IF(K19="按租金收入计税",ROUND(J6*M19/(1+'数据-取费表'!C42),2),ROUND(C29*M19*0.7,2))</f>
        <v>0</v>
      </c>
      <c r="K19" s="1366" t="s">
        <v>3342</v>
      </c>
      <c r="L19" s="301" t="s">
        <v>712</v>
      </c>
      <c r="M19" s="321">
        <f>IF(K19="按租金收入计税",'数据-取费表'!B51,'数据-取费表'!B50)</f>
        <v>0.12</v>
      </c>
    </row>
    <row r="20" spans="1:37" s="1393" customFormat="1" ht="18" customHeight="1">
      <c r="A20" s="978" t="s">
        <v>402</v>
      </c>
      <c r="B20" s="301" t="s">
        <v>728</v>
      </c>
      <c r="C20" s="21">
        <f ca="1">ROUND(C19*F20,0)</f>
        <v>459</v>
      </c>
      <c r="D20" s="2424" t="s">
        <v>729</v>
      </c>
      <c r="E20" s="301" t="s">
        <v>712</v>
      </c>
      <c r="F20" s="321">
        <f>'数据-取费表'!B37</f>
        <v>0.03</v>
      </c>
      <c r="G20" s="1392"/>
      <c r="H20" s="978" t="s">
        <v>680</v>
      </c>
      <c r="I20" s="154" t="s">
        <v>730</v>
      </c>
      <c r="J20" s="22">
        <f ca="1">ROUND(M20*M21/10000,2)</f>
        <v>1.1599999999999999</v>
      </c>
      <c r="K20" s="323" t="s">
        <v>731</v>
      </c>
      <c r="L20" s="301" t="s">
        <v>732</v>
      </c>
      <c r="M20" s="324">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1" t="s">
        <v>733</v>
      </c>
      <c r="C21" s="21" t="s">
        <v>15</v>
      </c>
      <c r="D21" s="2424" t="s">
        <v>734</v>
      </c>
      <c r="E21" s="301" t="s">
        <v>735</v>
      </c>
      <c r="F21" s="321">
        <f>'数据-取费表'!B38</f>
        <v>0.03</v>
      </c>
      <c r="G21" s="1392"/>
      <c r="H21" s="325"/>
      <c r="I21" s="310"/>
      <c r="J21" s="26"/>
      <c r="K21" s="326"/>
      <c r="L21" s="301" t="s">
        <v>736</v>
      </c>
      <c r="M21" s="302">
        <f ca="1">INDIRECT("'数据-取费表'!r"&amp;$G$1)</f>
        <v>3874.55</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3469"/>
      <c r="F22" s="23"/>
      <c r="G22" s="1380"/>
      <c r="H22" s="978" t="s">
        <v>402</v>
      </c>
      <c r="I22" s="301" t="s">
        <v>738</v>
      </c>
      <c r="J22" s="21">
        <f ca="1">ROUND(J14*M22,2)</f>
        <v>100.55</v>
      </c>
      <c r="K22" s="3454" t="s">
        <v>739</v>
      </c>
      <c r="L22" s="301" t="s">
        <v>712</v>
      </c>
      <c r="M22" s="327">
        <f ca="1">INDIRECT("'数据-取费表'!Ak"&amp;$G$1)</f>
        <v>5.0000000000000001E-3</v>
      </c>
    </row>
    <row r="23" spans="1:37" s="1393" customFormat="1" ht="18" customHeight="1">
      <c r="A23" s="978" t="s">
        <v>397</v>
      </c>
      <c r="B23" s="301" t="s">
        <v>740</v>
      </c>
      <c r="C23" s="21">
        <f ca="1">IF('数据-取费表'!B22&lt;=1,ROUND(C19*F24*F23/2,0)+ROUND(C20*F24*F23/2,0),ROUND(C19*(POWER((1+F24),F23/2)-1),0)+ROUND(C20*(POWER((1+F24),F23/2)-1),0))</f>
        <v>992</v>
      </c>
      <c r="D23" s="328" t="str">
        <f>IF(F23&lt;=1,"(建造成本+管理费用)×利率×(建设周期÷2)","(建造成本+管理费用)×((1+利率)^(建设周期÷2)-1)")</f>
        <v>(建造成本+管理费用)×((1+利率)^(建设周期÷2)-1)</v>
      </c>
      <c r="E23" s="301" t="s">
        <v>741</v>
      </c>
      <c r="F23" s="324">
        <f>'数据-取费表'!B20</f>
        <v>3</v>
      </c>
      <c r="G23" s="1392"/>
      <c r="H23" s="978" t="s">
        <v>437</v>
      </c>
      <c r="I23" s="301" t="s">
        <v>742</v>
      </c>
      <c r="J23" s="21">
        <f ca="1">ROUND(J13*M23,2)</f>
        <v>0</v>
      </c>
      <c r="K23" s="3454" t="s">
        <v>743</v>
      </c>
      <c r="L23" s="301" t="s">
        <v>744</v>
      </c>
      <c r="M23" s="329">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1" t="s">
        <v>746</v>
      </c>
      <c r="C24" s="21">
        <f ca="1">ROUND(IF('数据-取费表'!B22&lt;=1,F21*F24*F23/2,F21*(POWER((1+F24),F23/2)-1)),4)</f>
        <v>1.9E-3</v>
      </c>
      <c r="D24" s="328" t="str">
        <f>IF(F23&lt;=1,"销售费用×利率×(建设周期÷2)","销售费用×((1+利率)^(建设周期÷2)-1)")</f>
        <v>销售费用×((1+利率)^(建设周期÷2)-1)</v>
      </c>
      <c r="E24" s="301" t="s">
        <v>747</v>
      </c>
      <c r="F24" s="330">
        <f ca="1">'数据-取费表'!B40</f>
        <v>4.1499999999999995E-2</v>
      </c>
      <c r="G24" s="1392"/>
      <c r="H24" s="1085" t="s">
        <v>683</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1" t="s">
        <v>750</v>
      </c>
      <c r="C25" s="21"/>
      <c r="D25" s="130" t="s">
        <v>751</v>
      </c>
      <c r="E25" s="3469"/>
      <c r="F25" s="23"/>
      <c r="G25" s="1380"/>
      <c r="H25" s="1075" t="s">
        <v>394</v>
      </c>
      <c r="I25" s="1090" t="s">
        <v>752</v>
      </c>
      <c r="J25" s="309">
        <f ca="1">J5-J16</f>
        <v>-102</v>
      </c>
      <c r="K25" s="1091" t="s">
        <v>753</v>
      </c>
      <c r="L25" s="1092"/>
      <c r="M25" s="1093"/>
    </row>
    <row r="26" spans="1:37">
      <c r="A26" s="978" t="s">
        <v>397</v>
      </c>
      <c r="B26" s="301" t="s">
        <v>754</v>
      </c>
      <c r="C26" s="21">
        <f ca="1">ROUND((C19+C20)*F26,0)</f>
        <v>1577</v>
      </c>
      <c r="D26" s="2424" t="s">
        <v>755</v>
      </c>
      <c r="E26" s="312" t="s">
        <v>756</v>
      </c>
      <c r="F26" s="311">
        <f ca="1">INDIRECT("'数据-取费表'!q"&amp;$G$1)</f>
        <v>0.1</v>
      </c>
      <c r="G26" s="1380"/>
      <c r="H26" s="298" t="s">
        <v>395</v>
      </c>
      <c r="I26" s="299" t="s">
        <v>757</v>
      </c>
      <c r="J26" s="300">
        <f ca="1">IF(J5&lt;&gt;0,ROUND(J25*(1-((1+M28)/(1+M26))^M27)/(M26-M28),0),0)</f>
        <v>0</v>
      </c>
      <c r="K26" s="323" t="s">
        <v>758</v>
      </c>
      <c r="L26" s="301" t="s">
        <v>759</v>
      </c>
      <c r="M26" s="311">
        <f ca="1">INDIRECT("'数据-取费表'!I"&amp;$G$1)</f>
        <v>5.5E-2</v>
      </c>
    </row>
    <row r="27" spans="1:37" ht="18" customHeight="1">
      <c r="A27" s="978" t="s">
        <v>399</v>
      </c>
      <c r="B27" s="301" t="s">
        <v>760</v>
      </c>
      <c r="C27" s="21">
        <f ca="1">ROUND(F21*F26,4)</f>
        <v>3.0000000000000001E-3</v>
      </c>
      <c r="D27" s="2424" t="s">
        <v>761</v>
      </c>
      <c r="E27" s="3447"/>
      <c r="F27" s="320"/>
      <c r="G27" s="1380"/>
      <c r="H27" s="303"/>
      <c r="I27" s="304"/>
      <c r="J27" s="305"/>
      <c r="K27" s="331" t="s">
        <v>762</v>
      </c>
      <c r="L27" s="301" t="s">
        <v>763</v>
      </c>
      <c r="M27" s="332">
        <f ca="1">INDIRECT("'数据-取费表'!ag"&amp;$G$1)</f>
        <v>0</v>
      </c>
    </row>
    <row r="28" spans="1:37" s="1393" customFormat="1" ht="18" customHeight="1">
      <c r="A28" s="978" t="s">
        <v>400</v>
      </c>
      <c r="B28" s="301" t="s">
        <v>764</v>
      </c>
      <c r="C28" s="21">
        <f>ROUND(F28/(1+'数据-取费表'!C42),4)</f>
        <v>5.33E-2</v>
      </c>
      <c r="D28" s="2424" t="s">
        <v>765</v>
      </c>
      <c r="E28" s="301" t="s">
        <v>712</v>
      </c>
      <c r="F28" s="321">
        <f>'数据-取费表'!B41</f>
        <v>5.6000000000000001E-2</v>
      </c>
      <c r="G28" s="1392"/>
      <c r="H28" s="307"/>
      <c r="I28" s="308"/>
      <c r="J28" s="309"/>
      <c r="K28" s="326"/>
      <c r="L28" s="301" t="s">
        <v>766</v>
      </c>
      <c r="M28" s="311">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20109</v>
      </c>
      <c r="D29" s="1088"/>
      <c r="E29" s="1086"/>
      <c r="F29" s="1089"/>
      <c r="G29" s="1392"/>
      <c r="H29" s="333" t="s">
        <v>396</v>
      </c>
      <c r="I29" s="334" t="s">
        <v>768</v>
      </c>
      <c r="J29" s="335">
        <f ca="1">ROUND(J26/(1+F40)^F41,0)</f>
        <v>0</v>
      </c>
      <c r="K29" s="336" t="s">
        <v>769</v>
      </c>
      <c r="L29" s="337"/>
      <c r="M29" s="338">
        <f ca="1">INDIRECT("'数据-取费表'!k"&amp;$G$1)</f>
        <v>30659.07</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9">
        <f ca="1">ROUND(C31+C36+C37+C38,0)</f>
        <v>299</v>
      </c>
      <c r="D30" s="1083" t="s">
        <v>715</v>
      </c>
      <c r="E30" s="3459"/>
      <c r="F30" s="1068"/>
      <c r="G30" s="1380"/>
      <c r="H30" s="2693"/>
      <c r="I30" s="1394"/>
      <c r="J30" s="1395"/>
      <c r="K30" s="2471"/>
      <c r="L30" s="2694"/>
      <c r="M30" s="2695"/>
    </row>
    <row r="31" spans="1:37" ht="18" customHeight="1">
      <c r="A31" s="978" t="s">
        <v>398</v>
      </c>
      <c r="B31" s="301" t="s">
        <v>719</v>
      </c>
      <c r="C31" s="2312">
        <f ca="1">ROUND(IF(AND(项目基本情况!B11="自然人",项目基本情况!B10="北京市"),C6*F31/(1+'数据-取费表'!C42),C32+C33+C34),2)</f>
        <v>169.96</v>
      </c>
      <c r="D31" s="3456" t="s">
        <v>720</v>
      </c>
      <c r="E31" s="3454" t="s">
        <v>770</v>
      </c>
      <c r="F31" s="2311" t="str">
        <f>IF(项目基本情况!B11="企业","——",IF(M47="住宅",IF(F6*F7*F8/12/(1+'数据-取费表'!F30)&gt;100000,4%,2.5%),IF(F6*F7*F8/12/(1+'数据-取费表'!F30)&gt;100000,12%,7%)))</f>
        <v>——</v>
      </c>
      <c r="G31" s="1380"/>
      <c r="H31" s="2804" t="s">
        <v>2310</v>
      </c>
      <c r="I31" s="1394"/>
      <c r="J31" s="1395"/>
      <c r="K31" s="2471"/>
      <c r="L31" s="2694"/>
      <c r="M31" s="2695"/>
    </row>
    <row r="32" spans="1:37" ht="18" customHeight="1">
      <c r="A32" s="978" t="s">
        <v>397</v>
      </c>
      <c r="B32" s="301" t="s">
        <v>723</v>
      </c>
      <c r="C32" s="21">
        <f ca="1">IF(项目基本情况!B11="自然人","——",ROUND(C6*F32/(1+'数据-取费表'!C42),2))</f>
        <v>53.71</v>
      </c>
      <c r="D32" s="3454" t="s">
        <v>724</v>
      </c>
      <c r="E32" s="301" t="s">
        <v>712</v>
      </c>
      <c r="F32" s="330">
        <f>'数据-取费表'!B41</f>
        <v>5.6000000000000001E-2</v>
      </c>
      <c r="G32" s="1380"/>
      <c r="H32" s="2693"/>
      <c r="I32" s="1394"/>
      <c r="J32" s="1395"/>
      <c r="K32" s="2471"/>
      <c r="L32" s="2694"/>
      <c r="M32" s="2695"/>
    </row>
    <row r="33" spans="1:18" ht="18" customHeight="1">
      <c r="A33" s="978" t="s">
        <v>399</v>
      </c>
      <c r="B33" s="301" t="s">
        <v>727</v>
      </c>
      <c r="C33" s="21">
        <f ca="1">IF(项目基本情况!B11="自然人","——",IF(D33="按租金收入计税",ROUND(C6*F33/(1+'数据-取费表'!C42),2),IF(D33="按房产原值计税",ROUND(C29*F33*0.7,2),INDIRECT("'数据-取费表'!Aj"&amp;$G$1))))</f>
        <v>115.09</v>
      </c>
      <c r="D33" s="1366" t="s">
        <v>3342</v>
      </c>
      <c r="E33" s="301" t="s">
        <v>712</v>
      </c>
      <c r="F33" s="321">
        <f>IF(D33="按票据","——",IF(D33="按租金收入计税",'数据-取费表'!B51,'数据-取费表'!B50))</f>
        <v>0.12</v>
      </c>
      <c r="G33" s="1380"/>
      <c r="H33" s="2696"/>
      <c r="I33" s="1394"/>
      <c r="J33" s="1395"/>
      <c r="K33" s="2697"/>
      <c r="L33" s="2696"/>
      <c r="M33" s="2696"/>
    </row>
    <row r="34" spans="1:18" ht="18" customHeight="1">
      <c r="A34" s="1065" t="s">
        <v>680</v>
      </c>
      <c r="B34" s="154" t="s">
        <v>730</v>
      </c>
      <c r="C34" s="22">
        <f ca="1">IF(项目基本情况!B11="自然人","——",ROUND(F34*F35/10000,2))</f>
        <v>1.1599999999999999</v>
      </c>
      <c r="D34" s="323" t="s">
        <v>731</v>
      </c>
      <c r="E34" s="301" t="s">
        <v>732</v>
      </c>
      <c r="F34" s="324">
        <f>'数据-取费表'!B52</f>
        <v>3</v>
      </c>
      <c r="G34" s="1380"/>
      <c r="H34" s="2693"/>
      <c r="I34" s="1394"/>
      <c r="J34" s="1395"/>
      <c r="K34" s="2698"/>
      <c r="L34" s="2699"/>
      <c r="M34" s="2699"/>
    </row>
    <row r="35" spans="1:18" ht="18" customHeight="1">
      <c r="A35" s="1099"/>
      <c r="B35" s="1097"/>
      <c r="C35" s="26"/>
      <c r="D35" s="326"/>
      <c r="E35" s="301" t="s">
        <v>736</v>
      </c>
      <c r="F35" s="302">
        <f ca="1">INDIRECT("'数据-取费表'!r"&amp;$G$1)</f>
        <v>3874.55</v>
      </c>
      <c r="G35" s="1380"/>
      <c r="H35" s="2693"/>
      <c r="I35" s="1394"/>
      <c r="J35" s="1395"/>
      <c r="K35" s="2697"/>
      <c r="L35" s="2696"/>
      <c r="M35" s="2696"/>
    </row>
    <row r="36" spans="1:18" ht="18" customHeight="1">
      <c r="A36" s="1098" t="s">
        <v>402</v>
      </c>
      <c r="B36" s="301" t="s">
        <v>738</v>
      </c>
      <c r="C36" s="21">
        <f ca="1">ROUND(C29*F36,2)</f>
        <v>100.55</v>
      </c>
      <c r="D36" s="3454" t="s">
        <v>771</v>
      </c>
      <c r="E36" s="301" t="s">
        <v>712</v>
      </c>
      <c r="F36" s="327">
        <f ca="1">INDIRECT("'数据-取费表'!Ak"&amp;$G$1)</f>
        <v>5.0000000000000001E-3</v>
      </c>
      <c r="G36" s="1380"/>
      <c r="H36" s="2696"/>
      <c r="I36" s="1394"/>
      <c r="J36" s="1395"/>
      <c r="K36" s="2540"/>
      <c r="L36" s="2696"/>
      <c r="M36" s="2696"/>
    </row>
    <row r="37" spans="1:18" ht="18" customHeight="1">
      <c r="A37" s="978" t="s">
        <v>437</v>
      </c>
      <c r="B37" s="301" t="s">
        <v>742</v>
      </c>
      <c r="C37" s="21">
        <f ca="1">ROUND(C13*F37,2)</f>
        <v>18.7</v>
      </c>
      <c r="D37" s="3454" t="s">
        <v>743</v>
      </c>
      <c r="E37" s="301" t="s">
        <v>744</v>
      </c>
      <c r="F37" s="329">
        <f ca="1">INDIRECT("'数据-取费表'!Al"&amp;$G$1)</f>
        <v>1E-3</v>
      </c>
      <c r="G37" s="1380"/>
      <c r="H37" s="2696"/>
      <c r="I37" s="1394"/>
      <c r="J37" s="1395"/>
      <c r="K37" s="2540"/>
      <c r="L37" s="2696"/>
      <c r="M37" s="2696"/>
    </row>
    <row r="38" spans="1:18" ht="18" customHeight="1" thickBot="1">
      <c r="A38" s="1085" t="s">
        <v>683</v>
      </c>
      <c r="B38" s="1086" t="s">
        <v>728</v>
      </c>
      <c r="C38" s="1087">
        <f ca="1">ROUND(C5*F38,2)</f>
        <v>10.07</v>
      </c>
      <c r="D38" s="1088" t="s">
        <v>748</v>
      </c>
      <c r="E38" s="1086" t="s">
        <v>744</v>
      </c>
      <c r="F38" s="1082">
        <f ca="1">INDIRECT("'数据-取费表'!Am"&amp;$G$1)</f>
        <v>0.01</v>
      </c>
      <c r="G38" s="1380"/>
      <c r="H38" s="2696"/>
      <c r="I38" s="1394"/>
      <c r="J38" s="1395"/>
      <c r="K38" s="2700"/>
      <c r="L38" s="2696"/>
      <c r="M38" s="2696"/>
    </row>
    <row r="39" spans="1:18" ht="24.6" customHeight="1" thickTop="1">
      <c r="A39" s="1075" t="s">
        <v>394</v>
      </c>
      <c r="B39" s="1090" t="s">
        <v>772</v>
      </c>
      <c r="C39" s="309">
        <f ca="1">C5-C30</f>
        <v>708</v>
      </c>
      <c r="D39" s="1091" t="s">
        <v>773</v>
      </c>
      <c r="E39" s="1092"/>
      <c r="F39" s="1093"/>
      <c r="G39" s="1380"/>
      <c r="H39" s="2696"/>
      <c r="I39" s="1394"/>
      <c r="J39" s="1395"/>
      <c r="K39" s="2700"/>
      <c r="L39" s="2696"/>
      <c r="M39" s="2696"/>
    </row>
    <row r="40" spans="1:18" ht="18" customHeight="1">
      <c r="A40" s="298" t="s">
        <v>395</v>
      </c>
      <c r="B40" s="299" t="s">
        <v>774</v>
      </c>
      <c r="C40" s="300">
        <f ca="1">ROUND(C39*(1-((1+F42)/(1+F40))^F41)/(F40-F42),0)</f>
        <v>14585</v>
      </c>
      <c r="D40" s="323" t="s">
        <v>758</v>
      </c>
      <c r="E40" s="301" t="s">
        <v>759</v>
      </c>
      <c r="F40" s="311">
        <f ca="1">INDIRECT("'数据-取费表'!I"&amp;$G$1)</f>
        <v>5.5E-2</v>
      </c>
      <c r="G40" s="1380"/>
      <c r="H40" s="1457"/>
      <c r="I40" s="1394"/>
      <c r="J40" s="1395"/>
      <c r="K40" s="2700"/>
      <c r="L40" s="1457"/>
      <c r="M40" s="1457"/>
    </row>
    <row r="41" spans="1:18" ht="18" customHeight="1">
      <c r="A41" s="303"/>
      <c r="B41" s="304"/>
      <c r="C41" s="305"/>
      <c r="D41" s="331" t="s">
        <v>775</v>
      </c>
      <c r="E41" s="301" t="s">
        <v>763</v>
      </c>
      <c r="F41" s="332">
        <f ca="1">IF(INDIRECT("'数据-取费表'!af"&amp;$G$1)=0,INDIRECT("'数据-取费表'!ae"&amp;$G$1),INDIRECT("'数据-取费表'!af"&amp;$G$1))</f>
        <v>37.840000000000003</v>
      </c>
      <c r="G41" s="1380"/>
      <c r="H41" s="1187"/>
      <c r="I41" s="1394"/>
      <c r="J41" s="1395"/>
      <c r="K41" s="2540"/>
      <c r="L41" s="1187"/>
      <c r="M41" s="1187"/>
    </row>
    <row r="42" spans="1:18" ht="18" customHeight="1">
      <c r="A42" s="307"/>
      <c r="B42" s="308"/>
      <c r="C42" s="309"/>
      <c r="D42" s="326"/>
      <c r="E42" s="301" t="s">
        <v>766</v>
      </c>
      <c r="F42" s="311">
        <f ca="1">INDIRECT("'数据-取费表'!v"&amp;$G$1)</f>
        <v>0.02</v>
      </c>
      <c r="G42" s="1380"/>
      <c r="H42" s="1187"/>
      <c r="I42" s="1394"/>
      <c r="J42" s="1395"/>
      <c r="K42" s="2540"/>
      <c r="L42" s="1187"/>
      <c r="M42" s="1187"/>
    </row>
    <row r="43" spans="1:18" ht="18" customHeight="1" thickBot="1">
      <c r="A43" s="333" t="s">
        <v>396</v>
      </c>
      <c r="B43" s="334" t="s">
        <v>776</v>
      </c>
      <c r="C43" s="335">
        <f ca="1">ROUND(C40*10000/F43,0)</f>
        <v>4757</v>
      </c>
      <c r="D43" s="336" t="s">
        <v>777</v>
      </c>
      <c r="E43" s="337" t="s">
        <v>778</v>
      </c>
      <c r="F43" s="338">
        <f ca="1">INDIRECT("'数据-取费表'!k"&amp;$G$1)</f>
        <v>30659.07</v>
      </c>
      <c r="G43" s="1380"/>
      <c r="H43" s="1187"/>
      <c r="I43" s="1187"/>
      <c r="J43" s="1187"/>
      <c r="K43" s="2540"/>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8" thickBot="1">
      <c r="A46" s="1400" t="s">
        <v>809</v>
      </c>
      <c r="C46" s="1401">
        <f ca="1">C68-C40</f>
        <v>-16479</v>
      </c>
      <c r="D46" s="1402" t="str">
        <f>C2</f>
        <v>万元</v>
      </c>
      <c r="E46" s="1396"/>
      <c r="F46" s="1396"/>
      <c r="I46" s="1403" t="s">
        <v>810</v>
      </c>
      <c r="J46" s="1404"/>
      <c r="K46" s="1405"/>
      <c r="L46" s="1406">
        <f ca="1">IF(M47="住宅",0,IF(L48&gt;J51,L60,J60))</f>
        <v>521</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20"/>
      <c r="I47" s="1410" t="s">
        <v>815</v>
      </c>
      <c r="J47" s="1411" t="s">
        <v>3434</v>
      </c>
      <c r="K47" s="1412" t="s">
        <v>816</v>
      </c>
      <c r="L47" s="1413">
        <f ca="1">INDIRECT("'数据-取费表'!d"&amp;$G$1)</f>
        <v>50</v>
      </c>
      <c r="M47" s="1376" t="str">
        <f>IF(ISNUMBER(FIND("住宅",C1)),"住宅","非住宅")</f>
        <v>非住宅</v>
      </c>
      <c r="O47" s="1414" t="s">
        <v>403</v>
      </c>
      <c r="P47" s="1415" t="s">
        <v>817</v>
      </c>
      <c r="Q47" s="1416">
        <f ca="1">C40+J29</f>
        <v>14585</v>
      </c>
      <c r="R47" s="1416" t="s">
        <v>818</v>
      </c>
    </row>
    <row r="48" spans="1:18" s="1380" customFormat="1" ht="40.200000000000003" thickBot="1">
      <c r="A48" s="1106" t="s">
        <v>438</v>
      </c>
      <c r="B48" s="299" t="s">
        <v>692</v>
      </c>
      <c r="C48" s="3468">
        <f ca="1">C49+C53+C55</f>
        <v>0</v>
      </c>
      <c r="D48" s="1108"/>
      <c r="E48" s="1109"/>
      <c r="F48" s="958"/>
      <c r="G48" s="720"/>
      <c r="H48" s="721"/>
      <c r="I48" s="1417" t="s">
        <v>819</v>
      </c>
      <c r="J48" s="1418" t="s">
        <v>3435</v>
      </c>
      <c r="K48" s="1419" t="s">
        <v>820</v>
      </c>
      <c r="L48" s="1420">
        <f ca="1">INDIRECT("'数据-取费表'!f"&amp;$G$1)</f>
        <v>37.840000000000003</v>
      </c>
      <c r="O48" s="1414" t="s">
        <v>404</v>
      </c>
      <c r="P48" s="1415" t="s">
        <v>821</v>
      </c>
      <c r="Q48" s="1416">
        <f ca="1">J60</f>
        <v>521</v>
      </c>
      <c r="R48" s="1416" t="s">
        <v>822</v>
      </c>
    </row>
    <row r="49" spans="1:18" s="1380" customFormat="1" ht="13.8" thickBot="1">
      <c r="A49" s="971" t="s">
        <v>439</v>
      </c>
      <c r="B49" s="1367" t="s">
        <v>779</v>
      </c>
      <c r="C49" s="1110">
        <f ca="1">ROUND(F49*F51*F50*(1-F52)/10000,0)</f>
        <v>0</v>
      </c>
      <c r="D49" s="1051" t="s">
        <v>2108</v>
      </c>
      <c r="E49" s="1368" t="s">
        <v>780</v>
      </c>
      <c r="F49" s="1056"/>
      <c r="G49" s="1421"/>
      <c r="H49" s="721"/>
      <c r="I49" s="1417" t="s">
        <v>823</v>
      </c>
      <c r="J49" s="1422">
        <v>2019</v>
      </c>
      <c r="K49" s="1419" t="s">
        <v>824</v>
      </c>
      <c r="L49" s="1423"/>
      <c r="O49" s="1424" t="s">
        <v>405</v>
      </c>
      <c r="P49" s="1415" t="s">
        <v>825</v>
      </c>
      <c r="Q49" s="1416">
        <f ca="1">C29</f>
        <v>20109</v>
      </c>
      <c r="R49" s="1416" t="s">
        <v>818</v>
      </c>
    </row>
    <row r="50" spans="1:18" s="1380" customFormat="1" ht="13.8" thickBot="1">
      <c r="A50" s="972"/>
      <c r="B50" s="975"/>
      <c r="C50" s="1114"/>
      <c r="D50" s="949"/>
      <c r="E50" s="1052" t="s">
        <v>697</v>
      </c>
      <c r="F50" s="1053">
        <f ca="1">F7</f>
        <v>30659.07</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8" thickBot="1">
      <c r="A51" s="973"/>
      <c r="B51" s="975"/>
      <c r="C51" s="976"/>
      <c r="D51" s="949"/>
      <c r="E51" s="977" t="s">
        <v>698</v>
      </c>
      <c r="F51" s="302">
        <f ca="1">F8</f>
        <v>365</v>
      </c>
      <c r="I51" s="1428" t="s">
        <v>829</v>
      </c>
      <c r="J51" s="1429">
        <f>IF(J49="",J50,J49+J50-YEAR('数据-取费表'!B2))</f>
        <v>56</v>
      </c>
      <c r="K51" s="1430" t="s">
        <v>830</v>
      </c>
      <c r="L51" s="1431">
        <f ca="1">ROUND(-PV(INDIRECT("'数据-取费表'!h"&amp;$G$1),J51,(C39-C13*C76),0),0)</f>
        <v>-11239</v>
      </c>
      <c r="M51" s="1432"/>
      <c r="O51" s="1424" t="s">
        <v>407</v>
      </c>
      <c r="P51" s="1415" t="s">
        <v>831</v>
      </c>
      <c r="Q51" s="1427">
        <f>J52</f>
        <v>7.4999999999999997E-2</v>
      </c>
      <c r="R51" s="1416"/>
    </row>
    <row r="52" spans="1:18" s="1380" customFormat="1" ht="13.8" thickBot="1">
      <c r="A52" s="973"/>
      <c r="B52" s="975"/>
      <c r="C52" s="976"/>
      <c r="D52" s="949"/>
      <c r="E52" s="977" t="s">
        <v>699</v>
      </c>
      <c r="F52" s="1050"/>
      <c r="I52" s="1433" t="s">
        <v>832</v>
      </c>
      <c r="J52" s="1434">
        <v>7.4999999999999997E-2</v>
      </c>
      <c r="K52" s="1433" t="s">
        <v>833</v>
      </c>
      <c r="L52" s="1434"/>
      <c r="O52" s="1424" t="s">
        <v>408</v>
      </c>
      <c r="P52" s="1415" t="s">
        <v>834</v>
      </c>
      <c r="Q52" s="1416">
        <f ca="1">J53</f>
        <v>37.840000000000003</v>
      </c>
      <c r="R52" s="1416" t="s">
        <v>835</v>
      </c>
    </row>
    <row r="53" spans="1:18" s="1380" customFormat="1" ht="36.6" thickBot="1">
      <c r="A53" s="1148" t="s">
        <v>440</v>
      </c>
      <c r="B53" s="1369" t="s">
        <v>700</v>
      </c>
      <c r="C53" s="315">
        <f ca="1">ROUND(IF(F53="押一",C49/12*F11,IF(F53="押二",C49/12*2*F11,IF(F53="押三",C49/12*3*F11,C54*F11))),0)</f>
        <v>0</v>
      </c>
      <c r="D53" s="1362" t="s">
        <v>2116</v>
      </c>
      <c r="E53" s="312" t="s">
        <v>701</v>
      </c>
      <c r="F53" s="1112"/>
      <c r="I53" s="1435" t="s">
        <v>836</v>
      </c>
      <c r="J53" s="2164">
        <f ca="1">IF(M47="住宅",IF(D1="——",MAX(J51,L48),MAX(J51,L48-'数据-取费表'!B24)),IF(D1="——",MIN(J51,L48),MIN(J51,L48-'数据-取费表'!B24)))</f>
        <v>37.840000000000003</v>
      </c>
      <c r="K53" s="3680" t="s">
        <v>837</v>
      </c>
      <c r="L53" s="3681"/>
      <c r="O53" s="1414" t="s">
        <v>409</v>
      </c>
      <c r="P53" s="1415" t="s">
        <v>838</v>
      </c>
      <c r="Q53" s="1416">
        <f ca="1">Q47+Q48</f>
        <v>15106</v>
      </c>
      <c r="R53" s="1416" t="s">
        <v>410</v>
      </c>
    </row>
    <row r="54" spans="1:18" s="1380" customFormat="1" ht="24.6" thickBot="1">
      <c r="A54" s="1149"/>
      <c r="B54" s="1363" t="s">
        <v>679</v>
      </c>
      <c r="C54" s="955"/>
      <c r="D54" s="1362"/>
      <c r="E54" s="346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3461"/>
      <c r="F55" s="1436"/>
      <c r="I55" s="1439" t="s">
        <v>840</v>
      </c>
      <c r="J55" s="1440">
        <f ca="1">ROUND(IF(J47="钢混",J57/J50,1-(1-2%)*(J50-J57)/J50),3)</f>
        <v>0.30299999999999999</v>
      </c>
      <c r="K55" s="1441" t="s">
        <v>841</v>
      </c>
      <c r="L55" s="1442"/>
      <c r="O55" s="1407" t="s">
        <v>811</v>
      </c>
      <c r="P55" s="1408" t="s">
        <v>812</v>
      </c>
      <c r="Q55" s="1409" t="s">
        <v>813</v>
      </c>
      <c r="R55" s="1409" t="s">
        <v>814</v>
      </c>
    </row>
    <row r="56" spans="1:18" s="1380" customFormat="1" ht="37.200000000000003" thickTop="1" thickBot="1">
      <c r="A56" s="953">
        <v>2</v>
      </c>
      <c r="B56" s="954" t="s">
        <v>704</v>
      </c>
      <c r="C56" s="231">
        <f ca="1">C13</f>
        <v>18701</v>
      </c>
      <c r="D56" s="1443"/>
      <c r="E56" s="1444"/>
      <c r="F56" s="1436"/>
      <c r="I56" s="1445" t="s">
        <v>842</v>
      </c>
      <c r="J56" s="1446" t="s">
        <v>3436</v>
      </c>
      <c r="K56" s="1417" t="s">
        <v>843</v>
      </c>
      <c r="L56" s="1420" t="str">
        <f ca="1">IF(L48&lt;J51,"——",L48-J53)</f>
        <v>——</v>
      </c>
      <c r="O56" s="1414" t="s">
        <v>403</v>
      </c>
      <c r="P56" s="1415" t="s">
        <v>817</v>
      </c>
      <c r="Q56" s="1416">
        <f ca="1">C40+J29</f>
        <v>14585</v>
      </c>
      <c r="R56" s="1416" t="s">
        <v>818</v>
      </c>
    </row>
    <row r="57" spans="1:18" s="1380" customFormat="1" ht="24.6" thickBot="1">
      <c r="A57" s="1447"/>
      <c r="B57" s="946" t="s">
        <v>767</v>
      </c>
      <c r="C57" s="237">
        <f ca="1">C29</f>
        <v>20109</v>
      </c>
      <c r="D57" s="1448"/>
      <c r="E57" s="1449"/>
      <c r="F57" s="1450"/>
      <c r="I57" s="1451" t="s">
        <v>844</v>
      </c>
      <c r="J57" s="1452">
        <f ca="1">IF(OR(M47="住宅",J51&lt;L48,J56="是"),"——",J51-L48)</f>
        <v>18.159999999999997</v>
      </c>
      <c r="K57" s="1417" t="s">
        <v>845</v>
      </c>
      <c r="L57" s="1420" t="str">
        <f ca="1">IF(L48&lt;J51,"——",IF(L55="比较法",L49,IF(L55="基准地价",L50,L51)))</f>
        <v>——</v>
      </c>
      <c r="O57" s="1414" t="s">
        <v>404</v>
      </c>
      <c r="P57" s="1415" t="s">
        <v>846</v>
      </c>
      <c r="Q57" s="1416">
        <f ca="1">L60</f>
        <v>0</v>
      </c>
      <c r="R57" s="1416" t="s">
        <v>847</v>
      </c>
    </row>
    <row r="58" spans="1:18" s="1380" customFormat="1" ht="24.6" thickBot="1">
      <c r="A58" s="314" t="s">
        <v>393</v>
      </c>
      <c r="B58" s="954" t="s">
        <v>714</v>
      </c>
      <c r="C58" s="315">
        <f ca="1">ROUND(C59+C64+C65+C66,0)</f>
        <v>120</v>
      </c>
      <c r="D58" s="956" t="s">
        <v>715</v>
      </c>
      <c r="E58" s="957"/>
      <c r="F58" s="958"/>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8044</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30">
        <f t="shared" ref="F60:F66" si="0">F32</f>
        <v>5.6000000000000001E-2</v>
      </c>
      <c r="I60" s="1454" t="s">
        <v>853</v>
      </c>
      <c r="J60" s="1455">
        <f ca="1">IF(OR(M47="住宅",J51&lt;L48,J56="是"),"0",ROUND(J59/(1+J52)^J53,0))</f>
        <v>521</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IF(项目基本情况!B11="自然人","——",IF(D61="按租金收入计税",ROUND(C49*F61/(1+'数据-取费表'!C42),2),IF(D61="按房产原值计税",ROUND(C57*F61*0.7,2),INDIRECT("'数据-取费表'!Aj"&amp;$G$1))))</f>
        <v>0</v>
      </c>
      <c r="D61" s="1366" t="s">
        <v>3342</v>
      </c>
      <c r="E61" s="946" t="s">
        <v>783</v>
      </c>
      <c r="F61" s="321">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1.1599999999999999</v>
      </c>
      <c r="D62" s="961" t="s">
        <v>786</v>
      </c>
      <c r="E62" s="946" t="s">
        <v>787</v>
      </c>
      <c r="F62" s="324">
        <f t="shared" si="0"/>
        <v>3</v>
      </c>
      <c r="I62" s="1458" t="s">
        <v>858</v>
      </c>
      <c r="J62" s="1459" t="s">
        <v>859</v>
      </c>
      <c r="K62" s="1459" t="s">
        <v>860</v>
      </c>
      <c r="L62" s="1459" t="s">
        <v>861</v>
      </c>
      <c r="M62" s="1460" t="s">
        <v>862</v>
      </c>
      <c r="O62" s="1414" t="s">
        <v>409</v>
      </c>
      <c r="P62" s="1415" t="s">
        <v>863</v>
      </c>
      <c r="Q62" s="1416">
        <f ca="1">Q56+Q57</f>
        <v>14585</v>
      </c>
      <c r="R62" s="1416" t="s">
        <v>410</v>
      </c>
    </row>
    <row r="63" spans="1:18" s="1380" customFormat="1" ht="13.8" thickBot="1">
      <c r="A63" s="325"/>
      <c r="B63" s="952"/>
      <c r="C63" s="26"/>
      <c r="D63" s="962"/>
      <c r="E63" s="946" t="s">
        <v>788</v>
      </c>
      <c r="F63" s="302">
        <f t="shared" ca="1" si="0"/>
        <v>3874.55</v>
      </c>
      <c r="I63" s="1458" t="s">
        <v>864</v>
      </c>
      <c r="J63" s="1459">
        <v>70</v>
      </c>
      <c r="K63" s="1459">
        <v>50</v>
      </c>
      <c r="L63" s="1459">
        <v>80</v>
      </c>
      <c r="M63" s="1461">
        <v>0.02</v>
      </c>
      <c r="O63" s="1399" t="s">
        <v>865</v>
      </c>
      <c r="P63" s="1377"/>
      <c r="Q63" s="1377"/>
      <c r="R63" s="1377"/>
    </row>
    <row r="64" spans="1:18" s="1380" customFormat="1" ht="13.8" thickBot="1">
      <c r="A64" s="978" t="s">
        <v>789</v>
      </c>
      <c r="B64" s="946" t="s">
        <v>738</v>
      </c>
      <c r="C64" s="21">
        <f ca="1">ROUND(C57*F64,2)</f>
        <v>100.55</v>
      </c>
      <c r="D64" s="960" t="s">
        <v>791</v>
      </c>
      <c r="E64" s="946" t="s">
        <v>783</v>
      </c>
      <c r="F64" s="327">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18.7</v>
      </c>
      <c r="D65" s="960" t="s">
        <v>743</v>
      </c>
      <c r="E65" s="946" t="s">
        <v>744</v>
      </c>
      <c r="F65" s="329">
        <f t="shared" ca="1" si="0"/>
        <v>1E-3</v>
      </c>
      <c r="I65" s="1458" t="s">
        <v>867</v>
      </c>
      <c r="J65" s="1459">
        <v>40</v>
      </c>
      <c r="K65" s="1459">
        <v>30</v>
      </c>
      <c r="L65" s="1459">
        <v>50</v>
      </c>
      <c r="M65" s="1461">
        <v>0.02</v>
      </c>
      <c r="O65" s="1414" t="s">
        <v>403</v>
      </c>
      <c r="P65" s="1415" t="s">
        <v>868</v>
      </c>
      <c r="Q65" s="1416">
        <f ca="1">C40+J29</f>
        <v>14585</v>
      </c>
      <c r="R65" s="1416" t="s">
        <v>818</v>
      </c>
    </row>
    <row r="66" spans="1:18" s="1380" customFormat="1" ht="16.2" thickBot="1">
      <c r="A66" s="978" t="s">
        <v>793</v>
      </c>
      <c r="B66" s="946" t="s">
        <v>728</v>
      </c>
      <c r="C66" s="21">
        <f ca="1">ROUND(C48*F66,2)</f>
        <v>0</v>
      </c>
      <c r="D66" s="960" t="s">
        <v>794</v>
      </c>
      <c r="E66" s="946" t="s">
        <v>712</v>
      </c>
      <c r="F66" s="311">
        <f t="shared" ca="1" si="0"/>
        <v>0.01</v>
      </c>
      <c r="O66" s="1414" t="s">
        <v>404</v>
      </c>
      <c r="P66" s="1415" t="s">
        <v>846</v>
      </c>
      <c r="Q66" s="1416">
        <f ca="1">L60</f>
        <v>0</v>
      </c>
      <c r="R66" s="1416" t="s">
        <v>869</v>
      </c>
    </row>
    <row r="67" spans="1:18" s="1380" customFormat="1" ht="24.6" thickBot="1">
      <c r="A67" s="953" t="s">
        <v>394</v>
      </c>
      <c r="B67" s="963" t="s">
        <v>752</v>
      </c>
      <c r="C67" s="315">
        <f ca="1">C48-C58</f>
        <v>-120</v>
      </c>
      <c r="D67" s="959" t="s">
        <v>753</v>
      </c>
      <c r="E67" s="964"/>
      <c r="F67" s="965"/>
      <c r="O67" s="1424" t="s">
        <v>405</v>
      </c>
      <c r="P67" s="1415" t="s">
        <v>850</v>
      </c>
      <c r="Q67" s="1462">
        <f ca="1">L51</f>
        <v>-11239</v>
      </c>
      <c r="R67" s="1416" t="s">
        <v>870</v>
      </c>
    </row>
    <row r="68" spans="1:18" s="1380" customFormat="1" ht="16.2" thickBot="1">
      <c r="A68" s="943" t="s">
        <v>395</v>
      </c>
      <c r="B68" s="944" t="s">
        <v>774</v>
      </c>
      <c r="C68" s="300">
        <f ca="1">ROUND(C67*(1-((1+F70)/(1+F68))^F69)/(F68-F70),0)</f>
        <v>-1894</v>
      </c>
      <c r="D68" s="961" t="s">
        <v>758</v>
      </c>
      <c r="E68" s="946" t="s">
        <v>759</v>
      </c>
      <c r="F68" s="311">
        <f ca="1">F40</f>
        <v>5.5E-2</v>
      </c>
      <c r="O68" s="1424" t="s">
        <v>406</v>
      </c>
      <c r="P68" s="1463" t="s">
        <v>871</v>
      </c>
      <c r="Q68" s="1416">
        <f ca="1">ROUND(Q69-Q70*Q71,0)</f>
        <v>-601</v>
      </c>
      <c r="R68" s="1416" t="s">
        <v>414</v>
      </c>
    </row>
    <row r="69" spans="1:18" s="1380" customFormat="1" ht="13.8" thickBot="1">
      <c r="A69" s="947"/>
      <c r="B69" s="948"/>
      <c r="C69" s="305"/>
      <c r="D69" s="966" t="s">
        <v>762</v>
      </c>
      <c r="E69" s="946" t="s">
        <v>763</v>
      </c>
      <c r="F69" s="332">
        <f ca="1">F41</f>
        <v>37.840000000000003</v>
      </c>
      <c r="O69" s="1424" t="s">
        <v>411</v>
      </c>
      <c r="P69" s="1463" t="s">
        <v>872</v>
      </c>
      <c r="Q69" s="1416">
        <f ca="1">C39</f>
        <v>708</v>
      </c>
      <c r="R69" s="1416" t="s">
        <v>818</v>
      </c>
    </row>
    <row r="70" spans="1:18" s="1380" customFormat="1" ht="13.8" thickBot="1">
      <c r="A70" s="950"/>
      <c r="B70" s="951"/>
      <c r="C70" s="309"/>
      <c r="D70" s="962"/>
      <c r="E70" s="946" t="s">
        <v>766</v>
      </c>
      <c r="F70" s="1050"/>
      <c r="O70" s="1424" t="s">
        <v>412</v>
      </c>
      <c r="P70" s="1463" t="s">
        <v>873</v>
      </c>
      <c r="Q70" s="1416">
        <f ca="1">C13</f>
        <v>18701</v>
      </c>
      <c r="R70" s="1416" t="s">
        <v>818</v>
      </c>
    </row>
    <row r="71" spans="1:18" s="1380" customFormat="1" ht="13.8" thickBot="1">
      <c r="A71" s="967" t="s">
        <v>396</v>
      </c>
      <c r="B71" s="968" t="s">
        <v>776</v>
      </c>
      <c r="C71" s="335">
        <f ca="1">ROUND(C68*10000/F71,0)</f>
        <v>-618</v>
      </c>
      <c r="D71" s="969" t="s">
        <v>777</v>
      </c>
      <c r="E71" s="970" t="s">
        <v>778</v>
      </c>
      <c r="F71" s="338">
        <f ca="1">F43</f>
        <v>30659.07</v>
      </c>
      <c r="O71" s="1424" t="s">
        <v>413</v>
      </c>
      <c r="P71" s="1463" t="s">
        <v>874</v>
      </c>
      <c r="Q71" s="1427">
        <f ca="1">C76</f>
        <v>7.0000000000000007E-2</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2"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9" t="s">
        <v>795</v>
      </c>
      <c r="C75" s="340">
        <f ca="1">ROUND(C13*C76,0)</f>
        <v>1309</v>
      </c>
      <c r="D75" s="1380"/>
      <c r="E75" s="1380"/>
      <c r="F75" s="1380"/>
      <c r="K75" s="1398"/>
      <c r="L75" s="1380"/>
      <c r="O75" s="1414" t="s">
        <v>409</v>
      </c>
      <c r="P75" s="1415" t="s">
        <v>838</v>
      </c>
      <c r="Q75" s="1416">
        <f ca="1">Q65+Q66</f>
        <v>14585</v>
      </c>
      <c r="R75" s="1416" t="s">
        <v>410</v>
      </c>
    </row>
    <row r="76" spans="1:18">
      <c r="B76" s="341" t="s">
        <v>796</v>
      </c>
      <c r="C76" s="342">
        <f ca="1">INDIRECT("'数据-取费表'!j"&amp;$G$1)</f>
        <v>7.0000000000000007E-2</v>
      </c>
      <c r="I76" s="1380"/>
      <c r="J76" s="1380"/>
      <c r="K76" s="1398"/>
      <c r="L76" s="1380"/>
    </row>
    <row r="77" spans="1:18">
      <c r="B77" s="343" t="s">
        <v>797</v>
      </c>
      <c r="C77" s="344"/>
      <c r="I77" s="1380"/>
      <c r="J77" s="1380"/>
      <c r="K77" s="1398"/>
      <c r="L77" s="1380"/>
    </row>
    <row r="78" spans="1:18">
      <c r="B78" s="269" t="s">
        <v>798</v>
      </c>
      <c r="C78" s="345"/>
    </row>
    <row r="79" spans="1:18">
      <c r="B79" s="339" t="s">
        <v>799</v>
      </c>
      <c r="C79" s="273">
        <f ca="1">1-C80</f>
        <v>-0.84899999999999998</v>
      </c>
    </row>
    <row r="80" spans="1:18">
      <c r="B80" s="339" t="s">
        <v>800</v>
      </c>
      <c r="C80" s="273">
        <f ca="1">ROUND(C75/C39,3)</f>
        <v>1.849</v>
      </c>
    </row>
    <row r="81" spans="2:3">
      <c r="B81" s="269" t="s">
        <v>801</v>
      </c>
      <c r="C81" s="237"/>
    </row>
    <row r="82" spans="2:3">
      <c r="B82" s="272" t="s">
        <v>802</v>
      </c>
      <c r="C82" s="274">
        <f ca="1">1-C83</f>
        <v>-0.28200000000000003</v>
      </c>
    </row>
    <row r="83" spans="2:3">
      <c r="B83" s="272" t="s">
        <v>803</v>
      </c>
      <c r="C83" s="273">
        <f ca="1">ROUND(C13/C40,3)</f>
        <v>1.282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0.109375" style="1464" customWidth="1"/>
    <col min="12" max="12" width="16.33203125" style="257" customWidth="1"/>
    <col min="13" max="13" width="13" style="257"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7"/>
  </cols>
  <sheetData>
    <row r="1" spans="1:37" s="292" customFormat="1" ht="21.6">
      <c r="A1" s="1371" t="s">
        <v>877</v>
      </c>
      <c r="B1" s="711"/>
      <c r="C1" s="1375"/>
      <c r="D1" s="1358" t="s">
        <v>43</v>
      </c>
      <c r="E1" s="1359" t="s">
        <v>678</v>
      </c>
      <c r="F1" s="1058">
        <f ca="1">J53</f>
        <v>0</v>
      </c>
      <c r="G1" s="1374">
        <f>MATCH(C1,'数据-取费表'!A6:A16,0)+5</f>
        <v>10</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t="e">
        <f ca="1">ROUND(D2/10000,4)</f>
        <v>#DIV/0!</v>
      </c>
      <c r="C2" s="1383" t="s">
        <v>879</v>
      </c>
      <c r="D2" s="1467" t="e">
        <f ca="1">C40+J29+L46</f>
        <v>#DIV/0!</v>
      </c>
      <c r="E2" s="1384" t="s">
        <v>880</v>
      </c>
      <c r="F2" s="1385"/>
      <c r="G2" s="2702"/>
      <c r="H2" s="2691"/>
      <c r="I2" s="2691"/>
      <c r="J2" s="2691"/>
      <c r="K2" s="2692"/>
      <c r="L2" s="2691"/>
      <c r="M2" s="2691"/>
    </row>
    <row r="3" spans="1:37" ht="18" customHeight="1" thickBot="1">
      <c r="A3" s="1386" t="s">
        <v>881</v>
      </c>
      <c r="B3" s="1387">
        <f ca="1">IF(ISERROR(D2/F43),0,ROUND(D2/F43,0))</f>
        <v>0</v>
      </c>
      <c r="C3" s="1383" t="s">
        <v>882</v>
      </c>
      <c r="D3" s="1383"/>
      <c r="E3" s="1384"/>
      <c r="F3" s="1385"/>
      <c r="G3" s="2702"/>
      <c r="H3" s="681" t="s">
        <v>876</v>
      </c>
      <c r="I3" s="1378"/>
      <c r="J3" s="1378"/>
      <c r="K3" s="1379"/>
      <c r="L3" s="1378"/>
      <c r="M3" s="1378"/>
    </row>
    <row r="4" spans="1:37" ht="18" customHeight="1">
      <c r="A4" s="294" t="s">
        <v>883</v>
      </c>
      <c r="B4" s="295" t="s">
        <v>884</v>
      </c>
      <c r="C4" s="295" t="s">
        <v>885</v>
      </c>
      <c r="D4" s="295" t="s">
        <v>886</v>
      </c>
      <c r="E4" s="296" t="s">
        <v>887</v>
      </c>
      <c r="F4" s="297"/>
      <c r="G4" s="1380"/>
      <c r="H4" s="294" t="s">
        <v>883</v>
      </c>
      <c r="I4" s="295" t="s">
        <v>884</v>
      </c>
      <c r="J4" s="295" t="s">
        <v>885</v>
      </c>
      <c r="K4" s="295" t="s">
        <v>886</v>
      </c>
      <c r="L4" s="296" t="s">
        <v>887</v>
      </c>
      <c r="M4" s="297"/>
    </row>
    <row r="5" spans="1:37" ht="18" customHeight="1">
      <c r="A5" s="298">
        <v>1</v>
      </c>
      <c r="B5" s="299" t="s">
        <v>888</v>
      </c>
      <c r="C5" s="1066">
        <f ca="1">C6+C10+C12</f>
        <v>0</v>
      </c>
      <c r="D5" s="1360" t="s">
        <v>889</v>
      </c>
      <c r="E5" s="1067"/>
      <c r="F5" s="1068"/>
      <c r="G5" s="1380"/>
      <c r="H5" s="298">
        <v>1</v>
      </c>
      <c r="I5" s="299" t="s">
        <v>888</v>
      </c>
      <c r="J5" s="1066">
        <f ca="1">J6+J10+J12</f>
        <v>0</v>
      </c>
      <c r="K5" s="1360" t="s">
        <v>889</v>
      </c>
      <c r="L5" s="1067"/>
      <c r="M5" s="1068"/>
    </row>
    <row r="6" spans="1:37" ht="18" customHeight="1">
      <c r="A6" s="1065" t="s">
        <v>398</v>
      </c>
      <c r="B6" s="3682" t="s">
        <v>694</v>
      </c>
      <c r="C6" s="1070">
        <f ca="1">ROUND(F6*F8*F7*(1-F9),0)</f>
        <v>0</v>
      </c>
      <c r="D6" s="154" t="s">
        <v>2106</v>
      </c>
      <c r="E6" s="301" t="s">
        <v>696</v>
      </c>
      <c r="F6" s="302">
        <f ca="1">INDIRECT("'数据-取费表'!u"&amp;$G$1)</f>
        <v>0</v>
      </c>
      <c r="G6" s="1380"/>
      <c r="H6" s="1065" t="s">
        <v>398</v>
      </c>
      <c r="I6" s="3682" t="s">
        <v>694</v>
      </c>
      <c r="J6" s="300">
        <f ca="1">ROUND(M6*M8*M7*(1-M9),0)</f>
        <v>0</v>
      </c>
      <c r="K6" s="1372" t="s">
        <v>2107</v>
      </c>
      <c r="L6" s="301" t="s">
        <v>696</v>
      </c>
      <c r="M6" s="302">
        <f ca="1">INDIRECT("'数据-取费表'!z"&amp;$G$1)</f>
        <v>0</v>
      </c>
    </row>
    <row r="7" spans="1:37" ht="18" customHeight="1">
      <c r="A7" s="1069"/>
      <c r="B7" s="3683"/>
      <c r="C7" s="1071"/>
      <c r="D7" s="306"/>
      <c r="E7" s="1072" t="s">
        <v>697</v>
      </c>
      <c r="F7" s="302">
        <f ca="1">IF(INDIRECT("'数据-取费表'!ah"&amp;$G$1)="",INDIRECT("'数据-取费表'!k"&amp;$G$1),INDIRECT("'数据-取费表'!ah"&amp;$G$1))</f>
        <v>0</v>
      </c>
      <c r="G7" s="1380"/>
      <c r="H7" s="303"/>
      <c r="I7" s="3683"/>
      <c r="J7" s="305"/>
      <c r="K7" s="306"/>
      <c r="L7" s="301" t="s">
        <v>697</v>
      </c>
      <c r="M7" s="302">
        <f ca="1">F7</f>
        <v>0</v>
      </c>
    </row>
    <row r="8" spans="1:37" ht="18" customHeight="1">
      <c r="A8" s="303"/>
      <c r="B8" s="3683"/>
      <c r="C8" s="305"/>
      <c r="D8" s="306"/>
      <c r="E8" s="301" t="s">
        <v>698</v>
      </c>
      <c r="F8" s="302">
        <f ca="1">INDIRECT("'数据-取费表'!ai"&amp;$G$1)</f>
        <v>0</v>
      </c>
      <c r="G8" s="1380"/>
      <c r="H8" s="303"/>
      <c r="I8" s="3683"/>
      <c r="J8" s="305"/>
      <c r="K8" s="306"/>
      <c r="L8" s="301" t="s">
        <v>698</v>
      </c>
      <c r="M8" s="302">
        <f ca="1">INDIRECT("'数据-取费表'!ai"&amp;$G$1)</f>
        <v>0</v>
      </c>
    </row>
    <row r="9" spans="1:37" ht="18" customHeight="1">
      <c r="A9" s="303"/>
      <c r="B9" s="3684"/>
      <c r="C9" s="305"/>
      <c r="D9" s="306"/>
      <c r="E9" s="301" t="s">
        <v>699</v>
      </c>
      <c r="F9" s="311">
        <f ca="1">INDIRECT("'数据-取费表'!w"&amp;$G$1)</f>
        <v>0</v>
      </c>
      <c r="G9" s="1380"/>
      <c r="H9" s="303"/>
      <c r="I9" s="3684"/>
      <c r="J9" s="305"/>
      <c r="K9" s="306"/>
      <c r="L9" s="312" t="s">
        <v>699</v>
      </c>
      <c r="M9" s="313">
        <f ca="1">INDIRECT("'数据-取费表'!ab"&amp;$G$1)</f>
        <v>0</v>
      </c>
    </row>
    <row r="10" spans="1:37" ht="18" customHeight="1">
      <c r="A10" s="1065" t="s">
        <v>402</v>
      </c>
      <c r="B10" s="1361" t="s">
        <v>700</v>
      </c>
      <c r="C10" s="315">
        <f ca="1">ROUND(IF(F10="押一",C6/12*F11,IF(F10="押二",C6/12*2*F11,IF(F10="押三",C6/12*3*F11,C11*F11))),0)</f>
        <v>0</v>
      </c>
      <c r="D10" s="1362" t="s">
        <v>2116</v>
      </c>
      <c r="E10" s="312" t="s">
        <v>701</v>
      </c>
      <c r="F10" s="1112"/>
      <c r="G10" s="1380"/>
      <c r="H10" s="1065" t="s">
        <v>402</v>
      </c>
      <c r="I10" s="1361" t="s">
        <v>700</v>
      </c>
      <c r="J10" s="300">
        <f ca="1">ROUND(IF(M10="押一",J6/12*M11,IF(M10="押二",J6/12*2*M11,IF(M10="押三",J6/12*3*M11,J11*M11))),0)</f>
        <v>0</v>
      </c>
      <c r="K10" s="1373" t="s">
        <v>2118</v>
      </c>
      <c r="L10" s="312" t="s">
        <v>701</v>
      </c>
      <c r="M10" s="1112"/>
    </row>
    <row r="11" spans="1:37" ht="18" customHeight="1">
      <c r="A11" s="307"/>
      <c r="B11" s="1363" t="s">
        <v>890</v>
      </c>
      <c r="C11" s="955"/>
      <c r="D11" s="306"/>
      <c r="E11" s="312" t="s">
        <v>702</v>
      </c>
      <c r="F11" s="313">
        <f ca="1">'数据-取费表'!B39</f>
        <v>1.4999999999999999E-2</v>
      </c>
      <c r="G11" s="1380"/>
      <c r="H11" s="1073"/>
      <c r="I11" s="1363" t="s">
        <v>891</v>
      </c>
      <c r="J11" s="955"/>
      <c r="K11" s="682"/>
      <c r="L11" s="312"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9">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301" t="s">
        <v>707</v>
      </c>
      <c r="C14" s="317">
        <f ca="1">ROUND(INDIRECT("'数据-取费表'!l"&amp;$G$1)*F43+'数据-取费表'!L14*INDIRECT("'数据-取费表'!S"&amp;$G$1),0)</f>
        <v>0</v>
      </c>
      <c r="D14" s="1341" t="s">
        <v>708</v>
      </c>
      <c r="E14" s="1338"/>
      <c r="F14" s="318"/>
      <c r="G14" s="1380"/>
      <c r="H14" s="978" t="s">
        <v>398</v>
      </c>
      <c r="I14" s="301" t="s">
        <v>709</v>
      </c>
      <c r="J14" s="21">
        <f ca="1">C29</f>
        <v>0</v>
      </c>
      <c r="K14" s="12"/>
      <c r="L14" s="803"/>
      <c r="M14" s="804"/>
    </row>
    <row r="15" spans="1:37" s="1393" customFormat="1" ht="18" customHeight="1" thickBot="1">
      <c r="A15" s="978" t="s">
        <v>399</v>
      </c>
      <c r="B15" s="301" t="s">
        <v>710</v>
      </c>
      <c r="C15" s="21">
        <f ca="1">ROUND(C14*F15,0)</f>
        <v>0</v>
      </c>
      <c r="D15" s="319" t="s">
        <v>711</v>
      </c>
      <c r="E15" s="319" t="s">
        <v>712</v>
      </c>
      <c r="F15" s="320">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1" t="s">
        <v>713</v>
      </c>
      <c r="C16" s="21">
        <f ca="1">ROUND(INDIRECT("'数据-取费表'!l"&amp;$G$1)*F43*F16,0)</f>
        <v>0</v>
      </c>
      <c r="D16" s="301" t="s">
        <v>711</v>
      </c>
      <c r="E16" s="301" t="s">
        <v>712</v>
      </c>
      <c r="F16" s="321">
        <f ca="1">IF(INDIRECT("'数据-取费表'!c"&amp;$G$1)="住宅",'数据-取费表'!B34,0)</f>
        <v>0</v>
      </c>
      <c r="G16" s="1380"/>
      <c r="H16" s="1075" t="s">
        <v>393</v>
      </c>
      <c r="I16" s="1076" t="s">
        <v>714</v>
      </c>
      <c r="J16" s="309">
        <f ca="1">ROUND(J17+J22+J23+J24,0)</f>
        <v>0</v>
      </c>
      <c r="K16" s="1083" t="s">
        <v>715</v>
      </c>
      <c r="L16" s="1084"/>
      <c r="M16" s="1068"/>
    </row>
    <row r="17" spans="1:37" s="1393" customFormat="1" ht="18" customHeight="1">
      <c r="A17" s="978" t="s">
        <v>681</v>
      </c>
      <c r="B17" s="301" t="s">
        <v>716</v>
      </c>
      <c r="C17" s="21">
        <f ca="1">ROUND(F17*(F43+INDIRECT("'数据-取费表'!S"&amp;$G$1)),0)</f>
        <v>0</v>
      </c>
      <c r="D17" s="301" t="s">
        <v>717</v>
      </c>
      <c r="E17" s="301" t="s">
        <v>718</v>
      </c>
      <c r="F17" s="23">
        <f>'数据-取费表'!B35</f>
        <v>200</v>
      </c>
      <c r="G17" s="1392"/>
      <c r="H17" s="978" t="s">
        <v>398</v>
      </c>
      <c r="I17" s="301"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1" t="s">
        <v>722</v>
      </c>
      <c r="C18" s="21">
        <f ca="1">ROUND(C14*F18,0)</f>
        <v>0</v>
      </c>
      <c r="D18" s="301" t="s">
        <v>711</v>
      </c>
      <c r="E18" s="301" t="s">
        <v>712</v>
      </c>
      <c r="F18" s="321">
        <f>'数据-取费表'!B36</f>
        <v>1.4999999999999999E-2</v>
      </c>
      <c r="G18" s="1392"/>
      <c r="H18" s="978" t="s">
        <v>397</v>
      </c>
      <c r="I18" s="301" t="s">
        <v>723</v>
      </c>
      <c r="J18" s="21">
        <f ca="1">ROUND(J6*M18/(1+'数据-取费表'!C42),0)</f>
        <v>0</v>
      </c>
      <c r="K18" s="1340" t="s">
        <v>724</v>
      </c>
      <c r="L18" s="301" t="s">
        <v>712</v>
      </c>
      <c r="M18" s="321">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1" t="s">
        <v>725</v>
      </c>
      <c r="C19" s="21">
        <f ca="1">SUM(C14:C18)</f>
        <v>0</v>
      </c>
      <c r="D19" s="130" t="s">
        <v>726</v>
      </c>
      <c r="E19" s="1356"/>
      <c r="F19" s="23"/>
      <c r="G19" s="1380"/>
      <c r="H19" s="978" t="s">
        <v>399</v>
      </c>
      <c r="I19" s="301" t="s">
        <v>727</v>
      </c>
      <c r="J19" s="21">
        <f ca="1">IF(K19="按租金收入计税",ROUND(J6*M19/(1+'数据-取费表'!C42),0),ROUND(C29*M19*0.7,0))</f>
        <v>0</v>
      </c>
      <c r="K19" s="1366" t="s">
        <v>3342</v>
      </c>
      <c r="L19" s="301" t="s">
        <v>712</v>
      </c>
      <c r="M19" s="321">
        <f>IF(K19="按租金收入计税",'数据-取费表'!B51,'数据-取费表'!B50)</f>
        <v>0.12</v>
      </c>
    </row>
    <row r="20" spans="1:37" s="1393" customFormat="1" ht="18" customHeight="1">
      <c r="A20" s="978" t="s">
        <v>402</v>
      </c>
      <c r="B20" s="301" t="s">
        <v>728</v>
      </c>
      <c r="C20" s="21">
        <f ca="1">ROUND(C19*F20,0)</f>
        <v>0</v>
      </c>
      <c r="D20" s="322" t="s">
        <v>729</v>
      </c>
      <c r="E20" s="301" t="s">
        <v>712</v>
      </c>
      <c r="F20" s="321">
        <f>'数据-取费表'!B37</f>
        <v>0.03</v>
      </c>
      <c r="G20" s="1392"/>
      <c r="H20" s="978" t="s">
        <v>680</v>
      </c>
      <c r="I20" s="154" t="s">
        <v>730</v>
      </c>
      <c r="J20" s="22">
        <f ca="1">ROUND(M20*M21,0)</f>
        <v>0</v>
      </c>
      <c r="K20" s="323" t="s">
        <v>731</v>
      </c>
      <c r="L20" s="301" t="s">
        <v>732</v>
      </c>
      <c r="M20" s="324">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1" t="s">
        <v>733</v>
      </c>
      <c r="C21" s="21" t="s">
        <v>0</v>
      </c>
      <c r="D21" s="322" t="s">
        <v>734</v>
      </c>
      <c r="E21" s="301" t="s">
        <v>735</v>
      </c>
      <c r="F21" s="321">
        <f>'数据-取费表'!B38</f>
        <v>0.03</v>
      </c>
      <c r="G21" s="1392"/>
      <c r="H21" s="325"/>
      <c r="I21" s="310"/>
      <c r="J21" s="26"/>
      <c r="K21" s="326"/>
      <c r="L21" s="301" t="s">
        <v>736</v>
      </c>
      <c r="M21" s="302">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1356"/>
      <c r="F22" s="23"/>
      <c r="G22" s="1380"/>
      <c r="H22" s="978" t="s">
        <v>402</v>
      </c>
      <c r="I22" s="301" t="s">
        <v>738</v>
      </c>
      <c r="J22" s="21">
        <f ca="1">ROUND(J14*M22,0)</f>
        <v>0</v>
      </c>
      <c r="K22" s="1340" t="s">
        <v>739</v>
      </c>
      <c r="L22" s="301" t="s">
        <v>712</v>
      </c>
      <c r="M22" s="327">
        <f ca="1">INDIRECT("'数据-取费表'!Ak"&amp;$G$1)</f>
        <v>0</v>
      </c>
    </row>
    <row r="23" spans="1:37" s="1393" customFormat="1" ht="18" customHeight="1">
      <c r="A23" s="978"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3</v>
      </c>
      <c r="G23" s="1392"/>
      <c r="H23" s="978" t="s">
        <v>437</v>
      </c>
      <c r="I23" s="301" t="s">
        <v>742</v>
      </c>
      <c r="J23" s="21">
        <f ca="1">ROUND(J13*M23,0)</f>
        <v>0</v>
      </c>
      <c r="K23" s="1340" t="s">
        <v>743</v>
      </c>
      <c r="L23" s="301" t="s">
        <v>744</v>
      </c>
      <c r="M23" s="329">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1" t="s">
        <v>746</v>
      </c>
      <c r="C24" s="21">
        <f ca="1">ROUND(IF('数据-取费表'!B22&lt;=1,F21*F24*F23/2,F21*(POWER((1+F24),F23/2)-1)),4)</f>
        <v>1.9E-3</v>
      </c>
      <c r="D24" s="328" t="str">
        <f>IF(F23&lt;=1,"销售费用×利率×(建设周期÷2)","销售费用×((1+利率)^(建设周期÷2)-1)")</f>
        <v>销售费用×((1+利率)^(建设周期÷2)-1)</v>
      </c>
      <c r="E24" s="301" t="s">
        <v>747</v>
      </c>
      <c r="F24" s="330">
        <f ca="1">'数据-取费表'!B40</f>
        <v>4.1499999999999995E-2</v>
      </c>
      <c r="G24" s="1392"/>
      <c r="H24" s="1085" t="s">
        <v>684</v>
      </c>
      <c r="I24" s="1086" t="s">
        <v>728</v>
      </c>
      <c r="J24" s="1087">
        <f ca="1">ROUND(J5*M24,0)</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1" t="s">
        <v>750</v>
      </c>
      <c r="C25" s="21"/>
      <c r="D25" s="130" t="s">
        <v>751</v>
      </c>
      <c r="E25" s="1356"/>
      <c r="F25" s="23"/>
      <c r="G25" s="1380"/>
      <c r="H25" s="1075" t="s">
        <v>394</v>
      </c>
      <c r="I25" s="1090" t="s">
        <v>752</v>
      </c>
      <c r="J25" s="309">
        <f ca="1">J5-J16</f>
        <v>0</v>
      </c>
      <c r="K25" s="1091" t="s">
        <v>753</v>
      </c>
      <c r="L25" s="1092"/>
      <c r="M25" s="1093"/>
    </row>
    <row r="26" spans="1:37" ht="18" customHeight="1">
      <c r="A26" s="978" t="s">
        <v>397</v>
      </c>
      <c r="B26" s="301" t="s">
        <v>754</v>
      </c>
      <c r="C26" s="21">
        <f ca="1">ROUND((C19+C20)*F26,0)</f>
        <v>0</v>
      </c>
      <c r="D26" s="322" t="s">
        <v>755</v>
      </c>
      <c r="E26" s="312" t="s">
        <v>756</v>
      </c>
      <c r="F26" s="311">
        <f ca="1">INDIRECT("'数据-取费表'!q"&amp;$G$1)</f>
        <v>0</v>
      </c>
      <c r="G26" s="1380"/>
      <c r="H26" s="298" t="s">
        <v>395</v>
      </c>
      <c r="I26" s="299" t="s">
        <v>757</v>
      </c>
      <c r="J26" s="300">
        <f ca="1">IF(J5&lt;&gt;0,ROUND(J25*(1-((1+M28)/(1+M26))^M27)/(M26-M28),0),0)</f>
        <v>0</v>
      </c>
      <c r="K26" s="323" t="s">
        <v>758</v>
      </c>
      <c r="L26" s="301" t="s">
        <v>759</v>
      </c>
      <c r="M26" s="311">
        <f ca="1">INDIRECT("'数据-取费表'!I"&amp;$G$1)</f>
        <v>0</v>
      </c>
    </row>
    <row r="27" spans="1:37" ht="18" customHeight="1">
      <c r="A27" s="978" t="s">
        <v>399</v>
      </c>
      <c r="B27" s="301" t="s">
        <v>760</v>
      </c>
      <c r="C27" s="21">
        <f ca="1">ROUND(F21*F26,4)</f>
        <v>0</v>
      </c>
      <c r="D27" s="322" t="s">
        <v>761</v>
      </c>
      <c r="E27" s="319"/>
      <c r="F27" s="320"/>
      <c r="G27" s="1380"/>
      <c r="H27" s="303"/>
      <c r="I27" s="304"/>
      <c r="J27" s="305"/>
      <c r="K27" s="331" t="s">
        <v>762</v>
      </c>
      <c r="L27" s="301" t="s">
        <v>763</v>
      </c>
      <c r="M27" s="332">
        <f ca="1">INDIRECT("'数据-取费表'!ag"&amp;$G$1)</f>
        <v>0</v>
      </c>
    </row>
    <row r="28" spans="1:37" s="1393" customFormat="1" ht="18" customHeight="1">
      <c r="A28" s="978" t="s">
        <v>400</v>
      </c>
      <c r="B28" s="301" t="s">
        <v>764</v>
      </c>
      <c r="C28" s="21">
        <f>ROUND(F28/(1+'数据-取费表'!C42),4)</f>
        <v>5.33E-2</v>
      </c>
      <c r="D28" s="322" t="s">
        <v>765</v>
      </c>
      <c r="E28" s="301" t="s">
        <v>712</v>
      </c>
      <c r="F28" s="321">
        <f>'数据-取费表'!B41</f>
        <v>5.6000000000000001E-2</v>
      </c>
      <c r="G28" s="1392"/>
      <c r="H28" s="307"/>
      <c r="I28" s="308"/>
      <c r="J28" s="309"/>
      <c r="K28" s="326"/>
      <c r="L28" s="301" t="s">
        <v>766</v>
      </c>
      <c r="M28" s="311">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3" t="s">
        <v>396</v>
      </c>
      <c r="I29" s="334" t="s">
        <v>768</v>
      </c>
      <c r="J29" s="335">
        <f ca="1">ROUND(J26/(1+F40)^F41,0)</f>
        <v>0</v>
      </c>
      <c r="K29" s="336" t="s">
        <v>769</v>
      </c>
      <c r="L29" s="337"/>
      <c r="M29" s="338">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9">
        <f ca="1">ROUND(C31+C36+C37+C38,0)</f>
        <v>0</v>
      </c>
      <c r="D30" s="1083" t="s">
        <v>715</v>
      </c>
      <c r="E30" s="1084"/>
      <c r="F30" s="1068"/>
      <c r="G30" s="1380"/>
      <c r="H30" s="2693"/>
      <c r="I30" s="1394"/>
      <c r="J30" s="1395"/>
      <c r="K30" s="2471"/>
      <c r="L30" s="2694"/>
      <c r="M30" s="2695"/>
    </row>
    <row r="31" spans="1:37" ht="18" customHeight="1">
      <c r="A31" s="978" t="s">
        <v>398</v>
      </c>
      <c r="B31" s="301" t="s">
        <v>719</v>
      </c>
      <c r="C31" s="2312">
        <f ca="1">ROUND(IF(AND(项目基本情况!B11="自然人",项目基本情况!B10="北京市"),C6*F31/(1+'数据-取费表'!C42),C32+C33+C34),0)</f>
        <v>0</v>
      </c>
      <c r="D31" s="1341" t="s">
        <v>720</v>
      </c>
      <c r="E31" s="1340" t="s">
        <v>770</v>
      </c>
      <c r="F31" s="2311" t="str">
        <f>IF(项目基本情况!B11="企业","——",IF(M47="住宅",IF(F6*F7*F8/12/(1+'数据-取费表'!F30)&gt;100000,4%,2.5%),IF(F6*F7*F8/12/(1+'数据-取费表'!F30)&gt;100000,12%,7%)))</f>
        <v>——</v>
      </c>
      <c r="G31" s="1380"/>
      <c r="H31" s="2804" t="s">
        <v>2310</v>
      </c>
      <c r="I31" s="1394"/>
      <c r="J31" s="1395"/>
      <c r="K31" s="2471"/>
      <c r="L31" s="2694"/>
      <c r="M31" s="2695"/>
    </row>
    <row r="32" spans="1:37" ht="18" customHeight="1">
      <c r="A32" s="978" t="s">
        <v>397</v>
      </c>
      <c r="B32" s="301" t="s">
        <v>723</v>
      </c>
      <c r="C32" s="21">
        <f ca="1">IF(项目基本情况!B11="自然人","——",ROUND(C6*F32/(1+'数据-取费表'!C42),0))</f>
        <v>0</v>
      </c>
      <c r="D32" s="1340" t="s">
        <v>724</v>
      </c>
      <c r="E32" s="301" t="s">
        <v>712</v>
      </c>
      <c r="F32" s="330">
        <f>'数据-取费表'!B41</f>
        <v>5.6000000000000001E-2</v>
      </c>
      <c r="G32" s="1380"/>
      <c r="H32" s="2693"/>
      <c r="I32" s="1394"/>
      <c r="J32" s="1395"/>
      <c r="K32" s="2471"/>
      <c r="L32" s="2694"/>
      <c r="M32" s="2695"/>
    </row>
    <row r="33" spans="1:18" ht="18" customHeight="1">
      <c r="A33" s="978" t="s">
        <v>399</v>
      </c>
      <c r="B33" s="301" t="s">
        <v>727</v>
      </c>
      <c r="C33" s="21">
        <f ca="1">IF(项目基本情况!B11="自然人","——",IF(D33="按租金收入计税",ROUND(C6*F33/(1+'数据-取费表'!C42),0),IF(D33="按房产原值计税",ROUND(C29*F33*0.7,0),INDIRECT("'数据-取费表'!Aj"&amp;$G$1))))</f>
        <v>0</v>
      </c>
      <c r="D33" s="1366" t="s">
        <v>3342</v>
      </c>
      <c r="E33" s="301" t="s">
        <v>712</v>
      </c>
      <c r="F33" s="321">
        <f>IF(D33="按票据","——",IF(D33="按租金收入计税",'数据-取费表'!B51,'数据-取费表'!B50))</f>
        <v>0.12</v>
      </c>
      <c r="G33" s="1380"/>
      <c r="H33" s="2696"/>
      <c r="I33" s="1394"/>
      <c r="J33" s="1395"/>
      <c r="K33" s="2697"/>
      <c r="L33" s="2696"/>
      <c r="M33" s="2696"/>
    </row>
    <row r="34" spans="1:18" ht="18" customHeight="1">
      <c r="A34" s="1065" t="s">
        <v>680</v>
      </c>
      <c r="B34" s="154" t="s">
        <v>730</v>
      </c>
      <c r="C34" s="22">
        <f ca="1">IF(项目基本情况!B11="自然人","——",ROUND(F34*F35,0))</f>
        <v>0</v>
      </c>
      <c r="D34" s="323" t="s">
        <v>731</v>
      </c>
      <c r="E34" s="301" t="s">
        <v>732</v>
      </c>
      <c r="F34" s="324">
        <f>'数据-取费表'!B52</f>
        <v>3</v>
      </c>
      <c r="G34" s="1380"/>
      <c r="H34" s="2693"/>
      <c r="I34" s="1394"/>
      <c r="J34" s="1395"/>
      <c r="K34" s="2698"/>
      <c r="L34" s="2699"/>
      <c r="M34" s="2699"/>
    </row>
    <row r="35" spans="1:18" ht="18" customHeight="1">
      <c r="A35" s="1099"/>
      <c r="B35" s="1097"/>
      <c r="C35" s="26"/>
      <c r="D35" s="326"/>
      <c r="E35" s="301" t="s">
        <v>736</v>
      </c>
      <c r="F35" s="302">
        <f ca="1">INDIRECT("'数据-取费表'!r"&amp;$G$1)</f>
        <v>0</v>
      </c>
      <c r="G35" s="1380"/>
      <c r="H35" s="2693"/>
      <c r="I35" s="1394"/>
      <c r="J35" s="1395"/>
      <c r="K35" s="2697"/>
      <c r="L35" s="2696"/>
      <c r="M35" s="2696"/>
    </row>
    <row r="36" spans="1:18" ht="18" customHeight="1">
      <c r="A36" s="1098" t="s">
        <v>402</v>
      </c>
      <c r="B36" s="301" t="s">
        <v>738</v>
      </c>
      <c r="C36" s="21">
        <f ca="1">ROUND(C29*F36,0)</f>
        <v>0</v>
      </c>
      <c r="D36" s="1340" t="s">
        <v>771</v>
      </c>
      <c r="E36" s="301" t="s">
        <v>712</v>
      </c>
      <c r="F36" s="327">
        <f ca="1">INDIRECT("'数据-取费表'!Ak"&amp;$G$1)</f>
        <v>0</v>
      </c>
      <c r="G36" s="1380"/>
      <c r="H36" s="2696"/>
      <c r="I36" s="1394"/>
      <c r="J36" s="1395"/>
      <c r="K36" s="2540"/>
      <c r="L36" s="2696"/>
      <c r="M36" s="2696"/>
    </row>
    <row r="37" spans="1:18" ht="18" customHeight="1">
      <c r="A37" s="978" t="s">
        <v>437</v>
      </c>
      <c r="B37" s="301" t="s">
        <v>742</v>
      </c>
      <c r="C37" s="21">
        <f ca="1">ROUND(C13*F37,0)</f>
        <v>0</v>
      </c>
      <c r="D37" s="1340" t="s">
        <v>743</v>
      </c>
      <c r="E37" s="301" t="s">
        <v>744</v>
      </c>
      <c r="F37" s="329">
        <f ca="1">INDIRECT("'数据-取费表'!Al"&amp;$G$1)</f>
        <v>0</v>
      </c>
      <c r="G37" s="1380"/>
      <c r="H37" s="2696"/>
      <c r="I37" s="1394"/>
      <c r="J37" s="1395"/>
      <c r="K37" s="2540"/>
      <c r="L37" s="2696"/>
      <c r="M37" s="2696"/>
    </row>
    <row r="38" spans="1:18" ht="18" customHeight="1" thickBot="1">
      <c r="A38" s="1085" t="s">
        <v>684</v>
      </c>
      <c r="B38" s="1086" t="s">
        <v>728</v>
      </c>
      <c r="C38" s="1087">
        <f ca="1">ROUND(C5*F38,0)</f>
        <v>0</v>
      </c>
      <c r="D38" s="1088" t="s">
        <v>748</v>
      </c>
      <c r="E38" s="1086" t="s">
        <v>744</v>
      </c>
      <c r="F38" s="1082">
        <f ca="1">INDIRECT("'数据-取费表'!Am"&amp;$G$1)</f>
        <v>0</v>
      </c>
      <c r="G38" s="1380"/>
      <c r="H38" s="2696"/>
      <c r="I38" s="1394"/>
      <c r="J38" s="1395"/>
      <c r="K38" s="2700"/>
      <c r="L38" s="2696"/>
      <c r="M38" s="2696"/>
    </row>
    <row r="39" spans="1:18" ht="24.6" customHeight="1" thickTop="1">
      <c r="A39" s="1075" t="s">
        <v>394</v>
      </c>
      <c r="B39" s="1090" t="s">
        <v>772</v>
      </c>
      <c r="C39" s="309">
        <f ca="1">C5-C30</f>
        <v>0</v>
      </c>
      <c r="D39" s="1091" t="s">
        <v>773</v>
      </c>
      <c r="E39" s="1092"/>
      <c r="F39" s="1093"/>
      <c r="G39" s="1380"/>
      <c r="H39" s="2696"/>
      <c r="I39" s="1394"/>
      <c r="J39" s="1395"/>
      <c r="K39" s="2700"/>
      <c r="L39" s="2696"/>
      <c r="M39" s="2696"/>
    </row>
    <row r="40" spans="1:18" ht="18" customHeight="1">
      <c r="A40" s="298" t="s">
        <v>395</v>
      </c>
      <c r="B40" s="299" t="s">
        <v>774</v>
      </c>
      <c r="C40" s="300" t="e">
        <f ca="1">ROUND(C39*(1-((1+F42)/(1+F40))^F41)/(F40-F42),0)</f>
        <v>#DIV/0!</v>
      </c>
      <c r="D40" s="323" t="s">
        <v>758</v>
      </c>
      <c r="E40" s="301" t="s">
        <v>759</v>
      </c>
      <c r="F40" s="311">
        <f ca="1">INDIRECT("'数据-取费表'!I"&amp;$G$1)</f>
        <v>0</v>
      </c>
      <c r="G40" s="1380"/>
      <c r="H40" s="1457"/>
      <c r="I40" s="1394"/>
      <c r="J40" s="1395"/>
      <c r="K40" s="2700"/>
      <c r="L40" s="1457"/>
      <c r="M40" s="1457"/>
    </row>
    <row r="41" spans="1:18" ht="18" customHeight="1">
      <c r="A41" s="303"/>
      <c r="B41" s="304"/>
      <c r="C41" s="305"/>
      <c r="D41" s="331" t="s">
        <v>775</v>
      </c>
      <c r="E41" s="301" t="s">
        <v>763</v>
      </c>
      <c r="F41" s="332">
        <f ca="1">IF(INDIRECT("'数据-取费表'!af"&amp;$G$1)=0,INDIRECT("'数据-取费表'!ae"&amp;$G$1),INDIRECT("'数据-取费表'!af"&amp;$G$1))</f>
        <v>0</v>
      </c>
      <c r="G41" s="1380"/>
      <c r="H41" s="1187"/>
      <c r="I41" s="1394"/>
      <c r="J41" s="1395"/>
      <c r="K41" s="2540"/>
      <c r="L41" s="1187"/>
      <c r="M41" s="1187"/>
    </row>
    <row r="42" spans="1:18" ht="18" customHeight="1">
      <c r="A42" s="307"/>
      <c r="B42" s="308"/>
      <c r="C42" s="309"/>
      <c r="D42" s="326"/>
      <c r="E42" s="301" t="s">
        <v>766</v>
      </c>
      <c r="F42" s="311">
        <f ca="1">INDIRECT("'数据-取费表'!v"&amp;$G$1)</f>
        <v>0</v>
      </c>
      <c r="G42" s="1380"/>
      <c r="H42" s="1187"/>
      <c r="I42" s="1394"/>
      <c r="J42" s="1395"/>
      <c r="K42" s="2540"/>
      <c r="L42" s="1187"/>
      <c r="M42" s="1187"/>
    </row>
    <row r="43" spans="1:18" ht="18" customHeight="1" thickBot="1">
      <c r="A43" s="333" t="s">
        <v>396</v>
      </c>
      <c r="B43" s="334" t="s">
        <v>776</v>
      </c>
      <c r="C43" s="335" t="e">
        <f ca="1">ROUND(C40/F43,0)</f>
        <v>#DIV/0!</v>
      </c>
      <c r="D43" s="336" t="s">
        <v>777</v>
      </c>
      <c r="E43" s="337" t="s">
        <v>778</v>
      </c>
      <c r="F43" s="338">
        <f ca="1">INDIRECT("'数据-取费表'!k"&amp;$G$1)</f>
        <v>0</v>
      </c>
      <c r="G43" s="1380"/>
      <c r="H43" s="1187"/>
      <c r="I43" s="1187"/>
      <c r="J43" s="1187"/>
      <c r="K43" s="2540"/>
      <c r="L43" s="1187"/>
      <c r="M43" s="1187"/>
    </row>
    <row r="44" spans="1:18" s="1380" customFormat="1" ht="18" customHeight="1">
      <c r="A44" s="1396"/>
      <c r="B44" s="1396"/>
      <c r="C44" s="1397"/>
      <c r="D44" s="1396"/>
      <c r="E44" s="1396"/>
      <c r="F44" s="1396"/>
      <c r="K44" s="1398"/>
    </row>
    <row r="45" spans="1:18" s="1380" customFormat="1" ht="18" customHeight="1" thickBot="1">
      <c r="A45" s="3427" t="s">
        <v>3358</v>
      </c>
      <c r="B45" s="1396"/>
      <c r="C45" s="1468" t="e">
        <f ca="1">ROUND((C68-C40)/10000,4)</f>
        <v>#DIV/0!</v>
      </c>
      <c r="D45" s="3428" t="s">
        <v>3359</v>
      </c>
      <c r="E45" s="1396"/>
      <c r="F45" s="1396"/>
      <c r="O45" s="1399" t="s">
        <v>808</v>
      </c>
      <c r="P45" s="1457"/>
      <c r="Q45" s="1457"/>
      <c r="R45" s="1457"/>
    </row>
    <row r="46" spans="1:18" s="1380" customFormat="1" ht="13.8" thickBot="1">
      <c r="A46" s="1400" t="s">
        <v>809</v>
      </c>
      <c r="C46" s="1401" t="e">
        <f ca="1">ROUND(C45,0)</f>
        <v>#DIV/0!</v>
      </c>
      <c r="D46" s="1402" t="str">
        <f>C2</f>
        <v>万元</v>
      </c>
      <c r="I46" s="1403" t="s">
        <v>810</v>
      </c>
      <c r="J46" s="1404"/>
      <c r="K46" s="1405"/>
      <c r="L46" s="1406" t="e">
        <f ca="1">IF(M47="住宅",0,IF(L48&gt;J51,L60,J60))</f>
        <v>#DIV/0!</v>
      </c>
      <c r="O46" s="1407" t="s">
        <v>811</v>
      </c>
      <c r="P46" s="1408" t="s">
        <v>812</v>
      </c>
      <c r="Q46" s="1409" t="s">
        <v>813</v>
      </c>
      <c r="R46" s="1409" t="s">
        <v>814</v>
      </c>
    </row>
    <row r="47" spans="1:18" s="1380" customFormat="1" ht="13.8" thickBot="1">
      <c r="A47" s="942" t="s">
        <v>687</v>
      </c>
      <c r="B47" s="974" t="s">
        <v>688</v>
      </c>
      <c r="C47" s="974" t="s">
        <v>689</v>
      </c>
      <c r="D47" s="974" t="s">
        <v>690</v>
      </c>
      <c r="E47" s="1054" t="s">
        <v>691</v>
      </c>
      <c r="F47" s="1055"/>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40.200000000000003" thickBot="1">
      <c r="A48" s="1106" t="s">
        <v>438</v>
      </c>
      <c r="B48" s="299" t="s">
        <v>692</v>
      </c>
      <c r="C48" s="1355">
        <f ca="1">C49+C53+C55</f>
        <v>0</v>
      </c>
      <c r="D48" s="1108"/>
      <c r="E48" s="1109"/>
      <c r="F48" s="958"/>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8" thickBot="1">
      <c r="A49" s="971" t="s">
        <v>439</v>
      </c>
      <c r="B49" s="1367" t="s">
        <v>779</v>
      </c>
      <c r="C49" s="1110">
        <f ca="1">ROUND(F49*F51*F50*(1-F52),0)</f>
        <v>0</v>
      </c>
      <c r="D49" s="1051" t="s">
        <v>695</v>
      </c>
      <c r="E49" s="1368" t="s">
        <v>780</v>
      </c>
      <c r="F49" s="1056"/>
      <c r="G49" s="1421"/>
      <c r="H49" s="721"/>
      <c r="I49" s="1417" t="s">
        <v>823</v>
      </c>
      <c r="J49" s="1422"/>
      <c r="K49" s="1419" t="s">
        <v>824</v>
      </c>
      <c r="L49" s="1423"/>
      <c r="O49" s="1424" t="s">
        <v>405</v>
      </c>
      <c r="P49" s="1415" t="s">
        <v>825</v>
      </c>
      <c r="Q49" s="1416">
        <f ca="1">C29</f>
        <v>0</v>
      </c>
      <c r="R49" s="1416" t="s">
        <v>818</v>
      </c>
    </row>
    <row r="50" spans="1:18" s="1380" customFormat="1" ht="13.8" thickBot="1">
      <c r="A50" s="972"/>
      <c r="B50" s="975"/>
      <c r="C50" s="976"/>
      <c r="D50" s="949"/>
      <c r="E50" s="1052" t="s">
        <v>697</v>
      </c>
      <c r="F50" s="1053">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8" thickBot="1">
      <c r="A51" s="973"/>
      <c r="B51" s="975"/>
      <c r="C51" s="976"/>
      <c r="D51" s="949"/>
      <c r="E51" s="977" t="s">
        <v>698</v>
      </c>
      <c r="F51" s="302">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8"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0.75" customHeight="1" thickBot="1">
      <c r="A53" s="1107" t="s">
        <v>440</v>
      </c>
      <c r="B53" s="322" t="s">
        <v>700</v>
      </c>
      <c r="C53" s="315">
        <f ca="1">ROUND(IF(F53="押一",C49/12*F11,IF(F53="押二",C49/12*2*F11,IF(F53="押三",C49/12*3*F11,C54*F11))),0)</f>
        <v>0</v>
      </c>
      <c r="D53" s="1362" t="s">
        <v>2119</v>
      </c>
      <c r="E53" s="312" t="s">
        <v>701</v>
      </c>
      <c r="F53" s="1112"/>
      <c r="I53" s="1435" t="s">
        <v>836</v>
      </c>
      <c r="J53" s="2164">
        <f ca="1">IF(M47="住宅",IF(D1="——",MAX(J51,L48),MAX(J51,L48-'数据-取费表'!B24)),IF(D1="——",MIN(J51,L48),MIN(J51,L48-'数据-取费表'!B24)))</f>
        <v>0</v>
      </c>
      <c r="K53" s="3680" t="s">
        <v>837</v>
      </c>
      <c r="L53" s="3681"/>
      <c r="O53" s="1414" t="s">
        <v>409</v>
      </c>
      <c r="P53" s="1415" t="s">
        <v>838</v>
      </c>
      <c r="Q53" s="1416" t="e">
        <f ca="1">Q47+Q48</f>
        <v>#DIV/0!</v>
      </c>
      <c r="R53" s="1416" t="s">
        <v>410</v>
      </c>
    </row>
    <row r="54" spans="1:18" s="1380" customFormat="1" ht="13.8"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6" customHeight="1" thickTop="1" thickBot="1">
      <c r="A56" s="953">
        <v>2</v>
      </c>
      <c r="B56" s="954" t="s">
        <v>704</v>
      </c>
      <c r="C56" s="231">
        <f ca="1">C13</f>
        <v>0</v>
      </c>
      <c r="D56" s="1443"/>
      <c r="E56" s="1444"/>
      <c r="F56" s="1436"/>
      <c r="I56" s="1445" t="s">
        <v>842</v>
      </c>
      <c r="J56" s="1446"/>
      <c r="K56" s="1417" t="s">
        <v>843</v>
      </c>
      <c r="L56" s="1420">
        <f ca="1">IF(L48&lt;J51,"——",L48-J51)</f>
        <v>0</v>
      </c>
      <c r="O56" s="1414" t="s">
        <v>403</v>
      </c>
      <c r="P56" s="1415" t="s">
        <v>817</v>
      </c>
      <c r="Q56" s="1416" t="e">
        <f ca="1">C40+J29</f>
        <v>#DIV/0!</v>
      </c>
      <c r="R56" s="1416" t="s">
        <v>818</v>
      </c>
    </row>
    <row r="57" spans="1:18" s="1380" customFormat="1" ht="24.6" thickBot="1">
      <c r="A57" s="1447"/>
      <c r="B57" s="946" t="s">
        <v>767</v>
      </c>
      <c r="C57" s="237">
        <f ca="1">C29</f>
        <v>0</v>
      </c>
      <c r="D57" s="1448"/>
      <c r="E57" s="1449"/>
      <c r="F57" s="1450"/>
      <c r="I57" s="1451" t="s">
        <v>844</v>
      </c>
      <c r="J57" s="1452">
        <f ca="1">IF(OR(M47="住宅",J51&lt;L48,J56="是"),"——",J51-L48)</f>
        <v>0</v>
      </c>
      <c r="K57" s="1417" t="s">
        <v>892</v>
      </c>
      <c r="L57" s="1420">
        <f ca="1">IF(L48&lt;J51,"——",IF(L55="比较法",L49,IF(L55="基准地价",L50,L51)))</f>
        <v>0</v>
      </c>
      <c r="O57" s="1414" t="s">
        <v>404</v>
      </c>
      <c r="P57" s="1415" t="s">
        <v>893</v>
      </c>
      <c r="Q57" s="1416" t="e">
        <f ca="1">L60</f>
        <v>#DIV/0!</v>
      </c>
      <c r="R57" s="1416" t="s">
        <v>894</v>
      </c>
    </row>
    <row r="58" spans="1:18" s="1380" customFormat="1" ht="24.6" thickBot="1">
      <c r="A58" s="314" t="s">
        <v>393</v>
      </c>
      <c r="B58" s="954" t="s">
        <v>714</v>
      </c>
      <c r="C58" s="315">
        <f ca="1">ROUND(C59+C64+C65+C66,0)</f>
        <v>0</v>
      </c>
      <c r="D58" s="956" t="s">
        <v>715</v>
      </c>
      <c r="E58" s="957"/>
      <c r="F58" s="958"/>
      <c r="I58" s="1451" t="s">
        <v>848</v>
      </c>
      <c r="J58" s="1453" t="e">
        <f ca="1">IF(J55&lt;0.4,0.4,J55)</f>
        <v>#DIV/0!</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IF(项目基本情况!B11="自然人","——",ROUND(C48*F60/(1+'数据-取费表'!C42),0))</f>
        <v>0</v>
      </c>
      <c r="D60" s="960" t="s">
        <v>724</v>
      </c>
      <c r="E60" s="946" t="s">
        <v>712</v>
      </c>
      <c r="F60" s="330">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IF(项目基本情况!B11="自然人","——",IF(D61="按租金收入计税",ROUND(C49*F61/(1+'数据-取费表'!C42),0),IF(D61="按房产原值计税",ROUND(C57*F61*0.7,0),INDIRECT("'数据-取费表'!Aj"&amp;$G$1))))</f>
        <v>0</v>
      </c>
      <c r="D61" s="1366" t="s">
        <v>3342</v>
      </c>
      <c r="E61" s="946" t="s">
        <v>783</v>
      </c>
      <c r="F61" s="321">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IF(项目基本情况!B11="自然人","——",ROUND(F62*F63,0))</f>
        <v>0</v>
      </c>
      <c r="D62" s="961" t="s">
        <v>786</v>
      </c>
      <c r="E62" s="946" t="s">
        <v>787</v>
      </c>
      <c r="F62" s="324">
        <f t="shared" si="0"/>
        <v>3</v>
      </c>
      <c r="I62" s="1458" t="s">
        <v>858</v>
      </c>
      <c r="J62" s="1459" t="s">
        <v>859</v>
      </c>
      <c r="K62" s="1459" t="s">
        <v>860</v>
      </c>
      <c r="L62" s="1459" t="s">
        <v>861</v>
      </c>
      <c r="M62" s="1460" t="s">
        <v>862</v>
      </c>
      <c r="O62" s="1414" t="s">
        <v>409</v>
      </c>
      <c r="P62" s="1415" t="s">
        <v>863</v>
      </c>
      <c r="Q62" s="1416" t="e">
        <f ca="1">Q56+Q57</f>
        <v>#DIV/0!</v>
      </c>
      <c r="R62" s="1416" t="s">
        <v>410</v>
      </c>
    </row>
    <row r="63" spans="1:18" s="1380" customFormat="1" ht="13.8" thickBot="1">
      <c r="A63" s="325"/>
      <c r="B63" s="952"/>
      <c r="C63" s="26"/>
      <c r="D63" s="962"/>
      <c r="E63" s="946" t="s">
        <v>788</v>
      </c>
      <c r="F63" s="302">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ROUND(C57*F64,0)</f>
        <v>0</v>
      </c>
      <c r="D64" s="960" t="s">
        <v>791</v>
      </c>
      <c r="E64" s="946" t="s">
        <v>783</v>
      </c>
      <c r="F64" s="327">
        <f t="shared" ca="1" si="0"/>
        <v>0</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ROUND(C56*F65,0)</f>
        <v>0</v>
      </c>
      <c r="D65" s="960" t="s">
        <v>743</v>
      </c>
      <c r="E65" s="946" t="s">
        <v>744</v>
      </c>
      <c r="F65" s="329">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2" thickBot="1">
      <c r="A66" s="978" t="s">
        <v>793</v>
      </c>
      <c r="B66" s="946" t="s">
        <v>728</v>
      </c>
      <c r="C66" s="21">
        <f ca="1">ROUND(C48*F66,0)</f>
        <v>0</v>
      </c>
      <c r="D66" s="960" t="s">
        <v>794</v>
      </c>
      <c r="E66" s="946" t="s">
        <v>712</v>
      </c>
      <c r="F66" s="311">
        <f t="shared" ca="1" si="0"/>
        <v>0</v>
      </c>
      <c r="O66" s="1414" t="s">
        <v>404</v>
      </c>
      <c r="P66" s="1415" t="s">
        <v>846</v>
      </c>
      <c r="Q66" s="1416" t="e">
        <f ca="1">L60</f>
        <v>#DIV/0!</v>
      </c>
      <c r="R66" s="1416" t="s">
        <v>869</v>
      </c>
    </row>
    <row r="67" spans="1:18" s="1380" customFormat="1" ht="24.6" thickBot="1">
      <c r="A67" s="953" t="s">
        <v>394</v>
      </c>
      <c r="B67" s="963" t="s">
        <v>752</v>
      </c>
      <c r="C67" s="315">
        <f ca="1">C48-C58</f>
        <v>0</v>
      </c>
      <c r="D67" s="959" t="s">
        <v>753</v>
      </c>
      <c r="E67" s="964"/>
      <c r="F67" s="965"/>
      <c r="O67" s="1424" t="s">
        <v>405</v>
      </c>
      <c r="P67" s="1415" t="s">
        <v>850</v>
      </c>
      <c r="Q67" s="1462">
        <f ca="1">L51</f>
        <v>0</v>
      </c>
      <c r="R67" s="1416" t="s">
        <v>870</v>
      </c>
    </row>
    <row r="68" spans="1:18" s="1380" customFormat="1" ht="16.2" thickBot="1">
      <c r="A68" s="943" t="s">
        <v>395</v>
      </c>
      <c r="B68" s="944" t="s">
        <v>774</v>
      </c>
      <c r="C68" s="300" t="e">
        <f ca="1">ROUND(C67*(1-((1+F70)/(1+F68))^F69)/(F68-F70),0)</f>
        <v>#DIV/0!</v>
      </c>
      <c r="D68" s="961" t="s">
        <v>758</v>
      </c>
      <c r="E68" s="946" t="s">
        <v>759</v>
      </c>
      <c r="F68" s="311">
        <f ca="1">F40</f>
        <v>0</v>
      </c>
      <c r="O68" s="1424" t="s">
        <v>406</v>
      </c>
      <c r="P68" s="1463" t="s">
        <v>871</v>
      </c>
      <c r="Q68" s="1416">
        <f ca="1">ROUND(Q69-Q70*Q71,0)</f>
        <v>0</v>
      </c>
      <c r="R68" s="1416" t="s">
        <v>414</v>
      </c>
    </row>
    <row r="69" spans="1:18" s="1380" customFormat="1" ht="13.8" thickBot="1">
      <c r="A69" s="947"/>
      <c r="B69" s="948"/>
      <c r="C69" s="305"/>
      <c r="D69" s="966" t="s">
        <v>762</v>
      </c>
      <c r="E69" s="946" t="s">
        <v>763</v>
      </c>
      <c r="F69" s="332">
        <f ca="1">F41</f>
        <v>0</v>
      </c>
      <c r="O69" s="1424" t="s">
        <v>411</v>
      </c>
      <c r="P69" s="1463" t="s">
        <v>872</v>
      </c>
      <c r="Q69" s="1416">
        <f ca="1">C39</f>
        <v>0</v>
      </c>
      <c r="R69" s="1416" t="s">
        <v>818</v>
      </c>
    </row>
    <row r="70" spans="1:18" s="1380" customFormat="1" ht="13.8" thickBot="1">
      <c r="A70" s="950"/>
      <c r="B70" s="951"/>
      <c r="C70" s="309"/>
      <c r="D70" s="962"/>
      <c r="E70" s="946" t="s">
        <v>766</v>
      </c>
      <c r="F70" s="1050"/>
      <c r="O70" s="1424" t="s">
        <v>412</v>
      </c>
      <c r="P70" s="1463" t="s">
        <v>873</v>
      </c>
      <c r="Q70" s="1416">
        <f ca="1">C13</f>
        <v>0</v>
      </c>
      <c r="R70" s="1416" t="s">
        <v>818</v>
      </c>
    </row>
    <row r="71" spans="1:18" s="1380" customFormat="1" ht="13.8" thickBot="1">
      <c r="A71" s="967" t="s">
        <v>396</v>
      </c>
      <c r="B71" s="968" t="s">
        <v>776</v>
      </c>
      <c r="C71" s="335" t="e">
        <f ca="1">ROUND(C68/F71,0)</f>
        <v>#DIV/0!</v>
      </c>
      <c r="D71" s="969" t="s">
        <v>777</v>
      </c>
      <c r="E71" s="970" t="s">
        <v>778</v>
      </c>
      <c r="F71" s="338">
        <f ca="1">F43</f>
        <v>0</v>
      </c>
      <c r="O71" s="1424" t="s">
        <v>413</v>
      </c>
      <c r="P71" s="1463" t="s">
        <v>874</v>
      </c>
      <c r="Q71" s="1427">
        <f ca="1">C76</f>
        <v>0</v>
      </c>
      <c r="R71" s="1416"/>
    </row>
    <row r="72" spans="1:18" s="1380" customFormat="1" ht="13.8" thickBot="1">
      <c r="B72" s="724"/>
      <c r="C72" s="724"/>
      <c r="O72" s="1424" t="s">
        <v>407</v>
      </c>
      <c r="P72" s="1415" t="s">
        <v>852</v>
      </c>
      <c r="Q72" s="1427">
        <f>L52</f>
        <v>0</v>
      </c>
      <c r="R72" s="1416"/>
    </row>
    <row r="73" spans="1:18" ht="16.2" thickBot="1">
      <c r="A73" s="1380"/>
      <c r="B73" s="724"/>
      <c r="C73" s="724"/>
      <c r="D73" s="1380"/>
      <c r="E73" s="1380"/>
      <c r="F73" s="1380"/>
      <c r="O73" s="1424" t="s">
        <v>408</v>
      </c>
      <c r="P73" s="1415" t="s">
        <v>855</v>
      </c>
      <c r="Q73" s="1416" t="e">
        <f ca="1">L58</f>
        <v>#DIV/0!</v>
      </c>
      <c r="R73" s="1416" t="s">
        <v>856</v>
      </c>
    </row>
    <row r="74" spans="1:18" ht="13.8" thickBot="1">
      <c r="A74" s="1380"/>
      <c r="B74" s="272"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9" t="s">
        <v>795</v>
      </c>
      <c r="C75" s="340">
        <f ca="1">ROUND(C13*C76,0)</f>
        <v>0</v>
      </c>
      <c r="D75" s="1380"/>
      <c r="E75" s="1380"/>
      <c r="F75" s="1380"/>
      <c r="K75" s="1398"/>
      <c r="L75" s="1380"/>
      <c r="O75" s="1414" t="s">
        <v>409</v>
      </c>
      <c r="P75" s="1415" t="s">
        <v>838</v>
      </c>
      <c r="Q75" s="1416" t="e">
        <f ca="1">Q65+Q66</f>
        <v>#DIV/0!</v>
      </c>
      <c r="R75" s="1416" t="s">
        <v>410</v>
      </c>
    </row>
    <row r="76" spans="1:18">
      <c r="B76" s="341" t="s">
        <v>796</v>
      </c>
      <c r="C76" s="342">
        <f ca="1">INDIRECT("'数据-取费表'!j"&amp;$G$1)</f>
        <v>0</v>
      </c>
      <c r="I76" s="1380"/>
      <c r="J76" s="1380"/>
      <c r="K76" s="1398"/>
      <c r="L76" s="1380"/>
    </row>
    <row r="77" spans="1:18">
      <c r="B77" s="343" t="s">
        <v>797</v>
      </c>
      <c r="C77" s="344"/>
      <c r="I77" s="1380"/>
      <c r="J77" s="1380"/>
      <c r="K77" s="1398"/>
      <c r="L77" s="1380"/>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38" customWidth="1"/>
    <col min="2" max="2" width="8.88671875" style="2838"/>
    <col min="3" max="5" width="12.88671875" style="2838" customWidth="1"/>
    <col min="6" max="6" width="47.44140625" style="2838" customWidth="1"/>
    <col min="7" max="7" width="13" style="2997" customWidth="1"/>
    <col min="8" max="8" width="8.88671875" style="2832"/>
    <col min="9" max="9" width="8.88671875" style="2833"/>
    <col min="10" max="10" width="5.77734375" style="2998" customWidth="1"/>
    <col min="11" max="11" width="11.77734375" style="2998" customWidth="1"/>
    <col min="12" max="13" width="10.77734375" style="2998" customWidth="1"/>
    <col min="14" max="14" width="10" style="2998" customWidth="1"/>
    <col min="15" max="16" width="10.44140625" style="2998" bestFit="1" customWidth="1"/>
    <col min="17" max="17" width="10" style="2998" customWidth="1"/>
    <col min="18" max="18" width="10.109375" style="2998" customWidth="1"/>
    <col min="19" max="19" width="10" style="2998" customWidth="1"/>
    <col min="20" max="20" width="26.109375" style="2998" customWidth="1"/>
    <col min="21" max="21" width="8.88671875" style="2998"/>
    <col min="22" max="22" width="8.88671875" style="2833"/>
    <col min="23" max="256" width="8.88671875" style="2838"/>
    <col min="257" max="257" width="9.44140625" style="2838" customWidth="1"/>
    <col min="258" max="258" width="8.88671875" style="2838"/>
    <col min="259" max="261" width="12.88671875" style="2838" customWidth="1"/>
    <col min="262" max="262" width="47.44140625" style="2838" customWidth="1"/>
    <col min="263" max="263" width="13" style="2838" customWidth="1"/>
    <col min="264" max="265" width="8.88671875" style="2838"/>
    <col min="266" max="266" width="5.77734375" style="2838" customWidth="1"/>
    <col min="267" max="267" width="11.77734375" style="2838" customWidth="1"/>
    <col min="268" max="269" width="10.77734375" style="2838" customWidth="1"/>
    <col min="270" max="270" width="10" style="2838" customWidth="1"/>
    <col min="271" max="272" width="10.44140625" style="2838" bestFit="1" customWidth="1"/>
    <col min="273" max="273" width="10" style="2838" customWidth="1"/>
    <col min="274" max="274" width="10.109375" style="2838" customWidth="1"/>
    <col min="275" max="275" width="10" style="2838" customWidth="1"/>
    <col min="276" max="276" width="26.109375" style="2838" customWidth="1"/>
    <col min="277" max="512" width="8.88671875" style="2838"/>
    <col min="513" max="513" width="9.44140625" style="2838" customWidth="1"/>
    <col min="514" max="514" width="8.88671875" style="2838"/>
    <col min="515" max="517" width="12.88671875" style="2838" customWidth="1"/>
    <col min="518" max="518" width="47.44140625" style="2838" customWidth="1"/>
    <col min="519" max="519" width="13" style="2838" customWidth="1"/>
    <col min="520" max="521" width="8.88671875" style="2838"/>
    <col min="522" max="522" width="5.77734375" style="2838" customWidth="1"/>
    <col min="523" max="523" width="11.77734375" style="2838" customWidth="1"/>
    <col min="524" max="525" width="10.77734375" style="2838" customWidth="1"/>
    <col min="526" max="526" width="10" style="2838" customWidth="1"/>
    <col min="527" max="528" width="10.44140625" style="2838" bestFit="1" customWidth="1"/>
    <col min="529" max="529" width="10" style="2838" customWidth="1"/>
    <col min="530" max="530" width="10.109375" style="2838" customWidth="1"/>
    <col min="531" max="531" width="10" style="2838" customWidth="1"/>
    <col min="532" max="532" width="26.109375" style="2838" customWidth="1"/>
    <col min="533" max="768" width="8.88671875" style="2838"/>
    <col min="769" max="769" width="9.44140625" style="2838" customWidth="1"/>
    <col min="770" max="770" width="8.88671875" style="2838"/>
    <col min="771" max="773" width="12.88671875" style="2838" customWidth="1"/>
    <col min="774" max="774" width="47.44140625" style="2838" customWidth="1"/>
    <col min="775" max="775" width="13" style="2838" customWidth="1"/>
    <col min="776" max="777" width="8.88671875" style="2838"/>
    <col min="778" max="778" width="5.77734375" style="2838" customWidth="1"/>
    <col min="779" max="779" width="11.77734375" style="2838" customWidth="1"/>
    <col min="780" max="781" width="10.77734375" style="2838" customWidth="1"/>
    <col min="782" max="782" width="10" style="2838" customWidth="1"/>
    <col min="783" max="784" width="10.44140625" style="2838" bestFit="1" customWidth="1"/>
    <col min="785" max="785" width="10" style="2838" customWidth="1"/>
    <col min="786" max="786" width="10.109375" style="2838" customWidth="1"/>
    <col min="787" max="787" width="10" style="2838" customWidth="1"/>
    <col min="788" max="788" width="26.109375" style="2838" customWidth="1"/>
    <col min="789" max="1024" width="8.88671875" style="2838"/>
    <col min="1025" max="1025" width="9.44140625" style="2838" customWidth="1"/>
    <col min="1026" max="1026" width="8.88671875" style="2838"/>
    <col min="1027" max="1029" width="12.88671875" style="2838" customWidth="1"/>
    <col min="1030" max="1030" width="47.44140625" style="2838" customWidth="1"/>
    <col min="1031" max="1031" width="13" style="2838" customWidth="1"/>
    <col min="1032" max="1033" width="8.88671875" style="2838"/>
    <col min="1034" max="1034" width="5.77734375" style="2838" customWidth="1"/>
    <col min="1035" max="1035" width="11.77734375" style="2838" customWidth="1"/>
    <col min="1036" max="1037" width="10.77734375" style="2838" customWidth="1"/>
    <col min="1038" max="1038" width="10" style="2838" customWidth="1"/>
    <col min="1039" max="1040" width="10.44140625" style="2838" bestFit="1" customWidth="1"/>
    <col min="1041" max="1041" width="10" style="2838" customWidth="1"/>
    <col min="1042" max="1042" width="10.109375" style="2838" customWidth="1"/>
    <col min="1043" max="1043" width="10" style="2838" customWidth="1"/>
    <col min="1044" max="1044" width="26.109375" style="2838" customWidth="1"/>
    <col min="1045" max="1280" width="8.88671875" style="2838"/>
    <col min="1281" max="1281" width="9.44140625" style="2838" customWidth="1"/>
    <col min="1282" max="1282" width="8.88671875" style="2838"/>
    <col min="1283" max="1285" width="12.88671875" style="2838" customWidth="1"/>
    <col min="1286" max="1286" width="47.44140625" style="2838" customWidth="1"/>
    <col min="1287" max="1287" width="13" style="2838" customWidth="1"/>
    <col min="1288" max="1289" width="8.88671875" style="2838"/>
    <col min="1290" max="1290" width="5.77734375" style="2838" customWidth="1"/>
    <col min="1291" max="1291" width="11.77734375" style="2838" customWidth="1"/>
    <col min="1292" max="1293" width="10.77734375" style="2838" customWidth="1"/>
    <col min="1294" max="1294" width="10" style="2838" customWidth="1"/>
    <col min="1295" max="1296" width="10.44140625" style="2838" bestFit="1" customWidth="1"/>
    <col min="1297" max="1297" width="10" style="2838" customWidth="1"/>
    <col min="1298" max="1298" width="10.109375" style="2838" customWidth="1"/>
    <col min="1299" max="1299" width="10" style="2838" customWidth="1"/>
    <col min="1300" max="1300" width="26.109375" style="2838" customWidth="1"/>
    <col min="1301" max="1536" width="8.88671875" style="2838"/>
    <col min="1537" max="1537" width="9.44140625" style="2838" customWidth="1"/>
    <col min="1538" max="1538" width="8.88671875" style="2838"/>
    <col min="1539" max="1541" width="12.88671875" style="2838" customWidth="1"/>
    <col min="1542" max="1542" width="47.44140625" style="2838" customWidth="1"/>
    <col min="1543" max="1543" width="13" style="2838" customWidth="1"/>
    <col min="1544" max="1545" width="8.88671875" style="2838"/>
    <col min="1546" max="1546" width="5.77734375" style="2838" customWidth="1"/>
    <col min="1547" max="1547" width="11.77734375" style="2838" customWidth="1"/>
    <col min="1548" max="1549" width="10.77734375" style="2838" customWidth="1"/>
    <col min="1550" max="1550" width="10" style="2838" customWidth="1"/>
    <col min="1551" max="1552" width="10.44140625" style="2838" bestFit="1" customWidth="1"/>
    <col min="1553" max="1553" width="10" style="2838" customWidth="1"/>
    <col min="1554" max="1554" width="10.109375" style="2838" customWidth="1"/>
    <col min="1555" max="1555" width="10" style="2838" customWidth="1"/>
    <col min="1556" max="1556" width="26.109375" style="2838" customWidth="1"/>
    <col min="1557" max="1792" width="8.88671875" style="2838"/>
    <col min="1793" max="1793" width="9.44140625" style="2838" customWidth="1"/>
    <col min="1794" max="1794" width="8.88671875" style="2838"/>
    <col min="1795" max="1797" width="12.88671875" style="2838" customWidth="1"/>
    <col min="1798" max="1798" width="47.44140625" style="2838" customWidth="1"/>
    <col min="1799" max="1799" width="13" style="2838" customWidth="1"/>
    <col min="1800" max="1801" width="8.88671875" style="2838"/>
    <col min="1802" max="1802" width="5.77734375" style="2838" customWidth="1"/>
    <col min="1803" max="1803" width="11.77734375" style="2838" customWidth="1"/>
    <col min="1804" max="1805" width="10.77734375" style="2838" customWidth="1"/>
    <col min="1806" max="1806" width="10" style="2838" customWidth="1"/>
    <col min="1807" max="1808" width="10.44140625" style="2838" bestFit="1" customWidth="1"/>
    <col min="1809" max="1809" width="10" style="2838" customWidth="1"/>
    <col min="1810" max="1810" width="10.109375" style="2838" customWidth="1"/>
    <col min="1811" max="1811" width="10" style="2838" customWidth="1"/>
    <col min="1812" max="1812" width="26.109375" style="2838" customWidth="1"/>
    <col min="1813" max="2048" width="8.88671875" style="2838"/>
    <col min="2049" max="2049" width="9.44140625" style="2838" customWidth="1"/>
    <col min="2050" max="2050" width="8.88671875" style="2838"/>
    <col min="2051" max="2053" width="12.88671875" style="2838" customWidth="1"/>
    <col min="2054" max="2054" width="47.44140625" style="2838" customWidth="1"/>
    <col min="2055" max="2055" width="13" style="2838" customWidth="1"/>
    <col min="2056" max="2057" width="8.88671875" style="2838"/>
    <col min="2058" max="2058" width="5.77734375" style="2838" customWidth="1"/>
    <col min="2059" max="2059" width="11.77734375" style="2838" customWidth="1"/>
    <col min="2060" max="2061" width="10.77734375" style="2838" customWidth="1"/>
    <col min="2062" max="2062" width="10" style="2838" customWidth="1"/>
    <col min="2063" max="2064" width="10.44140625" style="2838" bestFit="1" customWidth="1"/>
    <col min="2065" max="2065" width="10" style="2838" customWidth="1"/>
    <col min="2066" max="2066" width="10.109375" style="2838" customWidth="1"/>
    <col min="2067" max="2067" width="10" style="2838" customWidth="1"/>
    <col min="2068" max="2068" width="26.109375" style="2838" customWidth="1"/>
    <col min="2069" max="2304" width="8.88671875" style="2838"/>
    <col min="2305" max="2305" width="9.44140625" style="2838" customWidth="1"/>
    <col min="2306" max="2306" width="8.88671875" style="2838"/>
    <col min="2307" max="2309" width="12.88671875" style="2838" customWidth="1"/>
    <col min="2310" max="2310" width="47.44140625" style="2838" customWidth="1"/>
    <col min="2311" max="2311" width="13" style="2838" customWidth="1"/>
    <col min="2312" max="2313" width="8.88671875" style="2838"/>
    <col min="2314" max="2314" width="5.77734375" style="2838" customWidth="1"/>
    <col min="2315" max="2315" width="11.77734375" style="2838" customWidth="1"/>
    <col min="2316" max="2317" width="10.77734375" style="2838" customWidth="1"/>
    <col min="2318" max="2318" width="10" style="2838" customWidth="1"/>
    <col min="2319" max="2320" width="10.44140625" style="2838" bestFit="1" customWidth="1"/>
    <col min="2321" max="2321" width="10" style="2838" customWidth="1"/>
    <col min="2322" max="2322" width="10.109375" style="2838" customWidth="1"/>
    <col min="2323" max="2323" width="10" style="2838" customWidth="1"/>
    <col min="2324" max="2324" width="26.109375" style="2838" customWidth="1"/>
    <col min="2325" max="2560" width="8.88671875" style="2838"/>
    <col min="2561" max="2561" width="9.44140625" style="2838" customWidth="1"/>
    <col min="2562" max="2562" width="8.88671875" style="2838"/>
    <col min="2563" max="2565" width="12.88671875" style="2838" customWidth="1"/>
    <col min="2566" max="2566" width="47.44140625" style="2838" customWidth="1"/>
    <col min="2567" max="2567" width="13" style="2838" customWidth="1"/>
    <col min="2568" max="2569" width="8.88671875" style="2838"/>
    <col min="2570" max="2570" width="5.77734375" style="2838" customWidth="1"/>
    <col min="2571" max="2571" width="11.77734375" style="2838" customWidth="1"/>
    <col min="2572" max="2573" width="10.77734375" style="2838" customWidth="1"/>
    <col min="2574" max="2574" width="10" style="2838" customWidth="1"/>
    <col min="2575" max="2576" width="10.44140625" style="2838" bestFit="1" customWidth="1"/>
    <col min="2577" max="2577" width="10" style="2838" customWidth="1"/>
    <col min="2578" max="2578" width="10.109375" style="2838" customWidth="1"/>
    <col min="2579" max="2579" width="10" style="2838" customWidth="1"/>
    <col min="2580" max="2580" width="26.109375" style="2838" customWidth="1"/>
    <col min="2581" max="2816" width="8.88671875" style="2838"/>
    <col min="2817" max="2817" width="9.44140625" style="2838" customWidth="1"/>
    <col min="2818" max="2818" width="8.88671875" style="2838"/>
    <col min="2819" max="2821" width="12.88671875" style="2838" customWidth="1"/>
    <col min="2822" max="2822" width="47.44140625" style="2838" customWidth="1"/>
    <col min="2823" max="2823" width="13" style="2838" customWidth="1"/>
    <col min="2824" max="2825" width="8.88671875" style="2838"/>
    <col min="2826" max="2826" width="5.77734375" style="2838" customWidth="1"/>
    <col min="2827" max="2827" width="11.77734375" style="2838" customWidth="1"/>
    <col min="2828" max="2829" width="10.77734375" style="2838" customWidth="1"/>
    <col min="2830" max="2830" width="10" style="2838" customWidth="1"/>
    <col min="2831" max="2832" width="10.44140625" style="2838" bestFit="1" customWidth="1"/>
    <col min="2833" max="2833" width="10" style="2838" customWidth="1"/>
    <col min="2834" max="2834" width="10.109375" style="2838" customWidth="1"/>
    <col min="2835" max="2835" width="10" style="2838" customWidth="1"/>
    <col min="2836" max="2836" width="26.109375" style="2838" customWidth="1"/>
    <col min="2837" max="3072" width="8.88671875" style="2838"/>
    <col min="3073" max="3073" width="9.44140625" style="2838" customWidth="1"/>
    <col min="3074" max="3074" width="8.88671875" style="2838"/>
    <col min="3075" max="3077" width="12.88671875" style="2838" customWidth="1"/>
    <col min="3078" max="3078" width="47.44140625" style="2838" customWidth="1"/>
    <col min="3079" max="3079" width="13" style="2838" customWidth="1"/>
    <col min="3080" max="3081" width="8.88671875" style="2838"/>
    <col min="3082" max="3082" width="5.77734375" style="2838" customWidth="1"/>
    <col min="3083" max="3083" width="11.77734375" style="2838" customWidth="1"/>
    <col min="3084" max="3085" width="10.77734375" style="2838" customWidth="1"/>
    <col min="3086" max="3086" width="10" style="2838" customWidth="1"/>
    <col min="3087" max="3088" width="10.44140625" style="2838" bestFit="1" customWidth="1"/>
    <col min="3089" max="3089" width="10" style="2838" customWidth="1"/>
    <col min="3090" max="3090" width="10.109375" style="2838" customWidth="1"/>
    <col min="3091" max="3091" width="10" style="2838" customWidth="1"/>
    <col min="3092" max="3092" width="26.109375" style="2838" customWidth="1"/>
    <col min="3093" max="3328" width="8.88671875" style="2838"/>
    <col min="3329" max="3329" width="9.44140625" style="2838" customWidth="1"/>
    <col min="3330" max="3330" width="8.88671875" style="2838"/>
    <col min="3331" max="3333" width="12.88671875" style="2838" customWidth="1"/>
    <col min="3334" max="3334" width="47.44140625" style="2838" customWidth="1"/>
    <col min="3335" max="3335" width="13" style="2838" customWidth="1"/>
    <col min="3336" max="3337" width="8.88671875" style="2838"/>
    <col min="3338" max="3338" width="5.77734375" style="2838" customWidth="1"/>
    <col min="3339" max="3339" width="11.77734375" style="2838" customWidth="1"/>
    <col min="3340" max="3341" width="10.77734375" style="2838" customWidth="1"/>
    <col min="3342" max="3342" width="10" style="2838" customWidth="1"/>
    <col min="3343" max="3344" width="10.44140625" style="2838" bestFit="1" customWidth="1"/>
    <col min="3345" max="3345" width="10" style="2838" customWidth="1"/>
    <col min="3346" max="3346" width="10.109375" style="2838" customWidth="1"/>
    <col min="3347" max="3347" width="10" style="2838" customWidth="1"/>
    <col min="3348" max="3348" width="26.109375" style="2838" customWidth="1"/>
    <col min="3349" max="3584" width="8.88671875" style="2838"/>
    <col min="3585" max="3585" width="9.44140625" style="2838" customWidth="1"/>
    <col min="3586" max="3586" width="8.88671875" style="2838"/>
    <col min="3587" max="3589" width="12.88671875" style="2838" customWidth="1"/>
    <col min="3590" max="3590" width="47.44140625" style="2838" customWidth="1"/>
    <col min="3591" max="3591" width="13" style="2838" customWidth="1"/>
    <col min="3592" max="3593" width="8.88671875" style="2838"/>
    <col min="3594" max="3594" width="5.77734375" style="2838" customWidth="1"/>
    <col min="3595" max="3595" width="11.77734375" style="2838" customWidth="1"/>
    <col min="3596" max="3597" width="10.77734375" style="2838" customWidth="1"/>
    <col min="3598" max="3598" width="10" style="2838" customWidth="1"/>
    <col min="3599" max="3600" width="10.44140625" style="2838" bestFit="1" customWidth="1"/>
    <col min="3601" max="3601" width="10" style="2838" customWidth="1"/>
    <col min="3602" max="3602" width="10.109375" style="2838" customWidth="1"/>
    <col min="3603" max="3603" width="10" style="2838" customWidth="1"/>
    <col min="3604" max="3604" width="26.109375" style="2838" customWidth="1"/>
    <col min="3605" max="3840" width="8.88671875" style="2838"/>
    <col min="3841" max="3841" width="9.44140625" style="2838" customWidth="1"/>
    <col min="3842" max="3842" width="8.88671875" style="2838"/>
    <col min="3843" max="3845" width="12.88671875" style="2838" customWidth="1"/>
    <col min="3846" max="3846" width="47.44140625" style="2838" customWidth="1"/>
    <col min="3847" max="3847" width="13" style="2838" customWidth="1"/>
    <col min="3848" max="3849" width="8.88671875" style="2838"/>
    <col min="3850" max="3850" width="5.77734375" style="2838" customWidth="1"/>
    <col min="3851" max="3851" width="11.77734375" style="2838" customWidth="1"/>
    <col min="3852" max="3853" width="10.77734375" style="2838" customWidth="1"/>
    <col min="3854" max="3854" width="10" style="2838" customWidth="1"/>
    <col min="3855" max="3856" width="10.44140625" style="2838" bestFit="1" customWidth="1"/>
    <col min="3857" max="3857" width="10" style="2838" customWidth="1"/>
    <col min="3858" max="3858" width="10.109375" style="2838" customWidth="1"/>
    <col min="3859" max="3859" width="10" style="2838" customWidth="1"/>
    <col min="3860" max="3860" width="26.109375" style="2838" customWidth="1"/>
    <col min="3861" max="4096" width="8.88671875" style="2838"/>
    <col min="4097" max="4097" width="9.44140625" style="2838" customWidth="1"/>
    <col min="4098" max="4098" width="8.88671875" style="2838"/>
    <col min="4099" max="4101" width="12.88671875" style="2838" customWidth="1"/>
    <col min="4102" max="4102" width="47.44140625" style="2838" customWidth="1"/>
    <col min="4103" max="4103" width="13" style="2838" customWidth="1"/>
    <col min="4104" max="4105" width="8.88671875" style="2838"/>
    <col min="4106" max="4106" width="5.77734375" style="2838" customWidth="1"/>
    <col min="4107" max="4107" width="11.77734375" style="2838" customWidth="1"/>
    <col min="4108" max="4109" width="10.77734375" style="2838" customWidth="1"/>
    <col min="4110" max="4110" width="10" style="2838" customWidth="1"/>
    <col min="4111" max="4112" width="10.44140625" style="2838" bestFit="1" customWidth="1"/>
    <col min="4113" max="4113" width="10" style="2838" customWidth="1"/>
    <col min="4114" max="4114" width="10.109375" style="2838" customWidth="1"/>
    <col min="4115" max="4115" width="10" style="2838" customWidth="1"/>
    <col min="4116" max="4116" width="26.109375" style="2838" customWidth="1"/>
    <col min="4117" max="4352" width="8.88671875" style="2838"/>
    <col min="4353" max="4353" width="9.44140625" style="2838" customWidth="1"/>
    <col min="4354" max="4354" width="8.88671875" style="2838"/>
    <col min="4355" max="4357" width="12.88671875" style="2838" customWidth="1"/>
    <col min="4358" max="4358" width="47.44140625" style="2838" customWidth="1"/>
    <col min="4359" max="4359" width="13" style="2838" customWidth="1"/>
    <col min="4360" max="4361" width="8.88671875" style="2838"/>
    <col min="4362" max="4362" width="5.77734375" style="2838" customWidth="1"/>
    <col min="4363" max="4363" width="11.77734375" style="2838" customWidth="1"/>
    <col min="4364" max="4365" width="10.77734375" style="2838" customWidth="1"/>
    <col min="4366" max="4366" width="10" style="2838" customWidth="1"/>
    <col min="4367" max="4368" width="10.44140625" style="2838" bestFit="1" customWidth="1"/>
    <col min="4369" max="4369" width="10" style="2838" customWidth="1"/>
    <col min="4370" max="4370" width="10.109375" style="2838" customWidth="1"/>
    <col min="4371" max="4371" width="10" style="2838" customWidth="1"/>
    <col min="4372" max="4372" width="26.109375" style="2838" customWidth="1"/>
    <col min="4373" max="4608" width="8.88671875" style="2838"/>
    <col min="4609" max="4609" width="9.44140625" style="2838" customWidth="1"/>
    <col min="4610" max="4610" width="8.88671875" style="2838"/>
    <col min="4611" max="4613" width="12.88671875" style="2838" customWidth="1"/>
    <col min="4614" max="4614" width="47.44140625" style="2838" customWidth="1"/>
    <col min="4615" max="4615" width="13" style="2838" customWidth="1"/>
    <col min="4616" max="4617" width="8.88671875" style="2838"/>
    <col min="4618" max="4618" width="5.77734375" style="2838" customWidth="1"/>
    <col min="4619" max="4619" width="11.77734375" style="2838" customWidth="1"/>
    <col min="4620" max="4621" width="10.77734375" style="2838" customWidth="1"/>
    <col min="4622" max="4622" width="10" style="2838" customWidth="1"/>
    <col min="4623" max="4624" width="10.44140625" style="2838" bestFit="1" customWidth="1"/>
    <col min="4625" max="4625" width="10" style="2838" customWidth="1"/>
    <col min="4626" max="4626" width="10.109375" style="2838" customWidth="1"/>
    <col min="4627" max="4627" width="10" style="2838" customWidth="1"/>
    <col min="4628" max="4628" width="26.109375" style="2838" customWidth="1"/>
    <col min="4629" max="4864" width="8.88671875" style="2838"/>
    <col min="4865" max="4865" width="9.44140625" style="2838" customWidth="1"/>
    <col min="4866" max="4866" width="8.88671875" style="2838"/>
    <col min="4867" max="4869" width="12.88671875" style="2838" customWidth="1"/>
    <col min="4870" max="4870" width="47.44140625" style="2838" customWidth="1"/>
    <col min="4871" max="4871" width="13" style="2838" customWidth="1"/>
    <col min="4872" max="4873" width="8.88671875" style="2838"/>
    <col min="4874" max="4874" width="5.77734375" style="2838" customWidth="1"/>
    <col min="4875" max="4875" width="11.77734375" style="2838" customWidth="1"/>
    <col min="4876" max="4877" width="10.77734375" style="2838" customWidth="1"/>
    <col min="4878" max="4878" width="10" style="2838" customWidth="1"/>
    <col min="4879" max="4880" width="10.44140625" style="2838" bestFit="1" customWidth="1"/>
    <col min="4881" max="4881" width="10" style="2838" customWidth="1"/>
    <col min="4882" max="4882" width="10.109375" style="2838" customWidth="1"/>
    <col min="4883" max="4883" width="10" style="2838" customWidth="1"/>
    <col min="4884" max="4884" width="26.109375" style="2838" customWidth="1"/>
    <col min="4885" max="5120" width="8.88671875" style="2838"/>
    <col min="5121" max="5121" width="9.44140625" style="2838" customWidth="1"/>
    <col min="5122" max="5122" width="8.88671875" style="2838"/>
    <col min="5123" max="5125" width="12.88671875" style="2838" customWidth="1"/>
    <col min="5126" max="5126" width="47.44140625" style="2838" customWidth="1"/>
    <col min="5127" max="5127" width="13" style="2838" customWidth="1"/>
    <col min="5128" max="5129" width="8.88671875" style="2838"/>
    <col min="5130" max="5130" width="5.77734375" style="2838" customWidth="1"/>
    <col min="5131" max="5131" width="11.77734375" style="2838" customWidth="1"/>
    <col min="5132" max="5133" width="10.77734375" style="2838" customWidth="1"/>
    <col min="5134" max="5134" width="10" style="2838" customWidth="1"/>
    <col min="5135" max="5136" width="10.44140625" style="2838" bestFit="1" customWidth="1"/>
    <col min="5137" max="5137" width="10" style="2838" customWidth="1"/>
    <col min="5138" max="5138" width="10.109375" style="2838" customWidth="1"/>
    <col min="5139" max="5139" width="10" style="2838" customWidth="1"/>
    <col min="5140" max="5140" width="26.109375" style="2838" customWidth="1"/>
    <col min="5141" max="5376" width="8.88671875" style="2838"/>
    <col min="5377" max="5377" width="9.44140625" style="2838" customWidth="1"/>
    <col min="5378" max="5378" width="8.88671875" style="2838"/>
    <col min="5379" max="5381" width="12.88671875" style="2838" customWidth="1"/>
    <col min="5382" max="5382" width="47.44140625" style="2838" customWidth="1"/>
    <col min="5383" max="5383" width="13" style="2838" customWidth="1"/>
    <col min="5384" max="5385" width="8.88671875" style="2838"/>
    <col min="5386" max="5386" width="5.77734375" style="2838" customWidth="1"/>
    <col min="5387" max="5387" width="11.77734375" style="2838" customWidth="1"/>
    <col min="5388" max="5389" width="10.77734375" style="2838" customWidth="1"/>
    <col min="5390" max="5390" width="10" style="2838" customWidth="1"/>
    <col min="5391" max="5392" width="10.44140625" style="2838" bestFit="1" customWidth="1"/>
    <col min="5393" max="5393" width="10" style="2838" customWidth="1"/>
    <col min="5394" max="5394" width="10.109375" style="2838" customWidth="1"/>
    <col min="5395" max="5395" width="10" style="2838" customWidth="1"/>
    <col min="5396" max="5396" width="26.109375" style="2838" customWidth="1"/>
    <col min="5397" max="5632" width="8.88671875" style="2838"/>
    <col min="5633" max="5633" width="9.44140625" style="2838" customWidth="1"/>
    <col min="5634" max="5634" width="8.88671875" style="2838"/>
    <col min="5635" max="5637" width="12.88671875" style="2838" customWidth="1"/>
    <col min="5638" max="5638" width="47.44140625" style="2838" customWidth="1"/>
    <col min="5639" max="5639" width="13" style="2838" customWidth="1"/>
    <col min="5640" max="5641" width="8.88671875" style="2838"/>
    <col min="5642" max="5642" width="5.77734375" style="2838" customWidth="1"/>
    <col min="5643" max="5643" width="11.77734375" style="2838" customWidth="1"/>
    <col min="5644" max="5645" width="10.77734375" style="2838" customWidth="1"/>
    <col min="5646" max="5646" width="10" style="2838" customWidth="1"/>
    <col min="5647" max="5648" width="10.44140625" style="2838" bestFit="1" customWidth="1"/>
    <col min="5649" max="5649" width="10" style="2838" customWidth="1"/>
    <col min="5650" max="5650" width="10.109375" style="2838" customWidth="1"/>
    <col min="5651" max="5651" width="10" style="2838" customWidth="1"/>
    <col min="5652" max="5652" width="26.109375" style="2838" customWidth="1"/>
    <col min="5653" max="5888" width="8.88671875" style="2838"/>
    <col min="5889" max="5889" width="9.44140625" style="2838" customWidth="1"/>
    <col min="5890" max="5890" width="8.88671875" style="2838"/>
    <col min="5891" max="5893" width="12.88671875" style="2838" customWidth="1"/>
    <col min="5894" max="5894" width="47.44140625" style="2838" customWidth="1"/>
    <col min="5895" max="5895" width="13" style="2838" customWidth="1"/>
    <col min="5896" max="5897" width="8.88671875" style="2838"/>
    <col min="5898" max="5898" width="5.77734375" style="2838" customWidth="1"/>
    <col min="5899" max="5899" width="11.77734375" style="2838" customWidth="1"/>
    <col min="5900" max="5901" width="10.77734375" style="2838" customWidth="1"/>
    <col min="5902" max="5902" width="10" style="2838" customWidth="1"/>
    <col min="5903" max="5904" width="10.44140625" style="2838" bestFit="1" customWidth="1"/>
    <col min="5905" max="5905" width="10" style="2838" customWidth="1"/>
    <col min="5906" max="5906" width="10.109375" style="2838" customWidth="1"/>
    <col min="5907" max="5907" width="10" style="2838" customWidth="1"/>
    <col min="5908" max="5908" width="26.109375" style="2838" customWidth="1"/>
    <col min="5909" max="6144" width="8.88671875" style="2838"/>
    <col min="6145" max="6145" width="9.44140625" style="2838" customWidth="1"/>
    <col min="6146" max="6146" width="8.88671875" style="2838"/>
    <col min="6147" max="6149" width="12.88671875" style="2838" customWidth="1"/>
    <col min="6150" max="6150" width="47.44140625" style="2838" customWidth="1"/>
    <col min="6151" max="6151" width="13" style="2838" customWidth="1"/>
    <col min="6152" max="6153" width="8.88671875" style="2838"/>
    <col min="6154" max="6154" width="5.77734375" style="2838" customWidth="1"/>
    <col min="6155" max="6155" width="11.77734375" style="2838" customWidth="1"/>
    <col min="6156" max="6157" width="10.77734375" style="2838" customWidth="1"/>
    <col min="6158" max="6158" width="10" style="2838" customWidth="1"/>
    <col min="6159" max="6160" width="10.44140625" style="2838" bestFit="1" customWidth="1"/>
    <col min="6161" max="6161" width="10" style="2838" customWidth="1"/>
    <col min="6162" max="6162" width="10.109375" style="2838" customWidth="1"/>
    <col min="6163" max="6163" width="10" style="2838" customWidth="1"/>
    <col min="6164" max="6164" width="26.109375" style="2838" customWidth="1"/>
    <col min="6165" max="6400" width="8.88671875" style="2838"/>
    <col min="6401" max="6401" width="9.44140625" style="2838" customWidth="1"/>
    <col min="6402" max="6402" width="8.88671875" style="2838"/>
    <col min="6403" max="6405" width="12.88671875" style="2838" customWidth="1"/>
    <col min="6406" max="6406" width="47.44140625" style="2838" customWidth="1"/>
    <col min="6407" max="6407" width="13" style="2838" customWidth="1"/>
    <col min="6408" max="6409" width="8.88671875" style="2838"/>
    <col min="6410" max="6410" width="5.77734375" style="2838" customWidth="1"/>
    <col min="6411" max="6411" width="11.77734375" style="2838" customWidth="1"/>
    <col min="6412" max="6413" width="10.77734375" style="2838" customWidth="1"/>
    <col min="6414" max="6414" width="10" style="2838" customWidth="1"/>
    <col min="6415" max="6416" width="10.44140625" style="2838" bestFit="1" customWidth="1"/>
    <col min="6417" max="6417" width="10" style="2838" customWidth="1"/>
    <col min="6418" max="6418" width="10.109375" style="2838" customWidth="1"/>
    <col min="6419" max="6419" width="10" style="2838" customWidth="1"/>
    <col min="6420" max="6420" width="26.109375" style="2838" customWidth="1"/>
    <col min="6421" max="6656" width="8.88671875" style="2838"/>
    <col min="6657" max="6657" width="9.44140625" style="2838" customWidth="1"/>
    <col min="6658" max="6658" width="8.88671875" style="2838"/>
    <col min="6659" max="6661" width="12.88671875" style="2838" customWidth="1"/>
    <col min="6662" max="6662" width="47.44140625" style="2838" customWidth="1"/>
    <col min="6663" max="6663" width="13" style="2838" customWidth="1"/>
    <col min="6664" max="6665" width="8.88671875" style="2838"/>
    <col min="6666" max="6666" width="5.77734375" style="2838" customWidth="1"/>
    <col min="6667" max="6667" width="11.77734375" style="2838" customWidth="1"/>
    <col min="6668" max="6669" width="10.77734375" style="2838" customWidth="1"/>
    <col min="6670" max="6670" width="10" style="2838" customWidth="1"/>
    <col min="6671" max="6672" width="10.44140625" style="2838" bestFit="1" customWidth="1"/>
    <col min="6673" max="6673" width="10" style="2838" customWidth="1"/>
    <col min="6674" max="6674" width="10.109375" style="2838" customWidth="1"/>
    <col min="6675" max="6675" width="10" style="2838" customWidth="1"/>
    <col min="6676" max="6676" width="26.109375" style="2838" customWidth="1"/>
    <col min="6677" max="6912" width="8.88671875" style="2838"/>
    <col min="6913" max="6913" width="9.44140625" style="2838" customWidth="1"/>
    <col min="6914" max="6914" width="8.88671875" style="2838"/>
    <col min="6915" max="6917" width="12.88671875" style="2838" customWidth="1"/>
    <col min="6918" max="6918" width="47.44140625" style="2838" customWidth="1"/>
    <col min="6919" max="6919" width="13" style="2838" customWidth="1"/>
    <col min="6920" max="6921" width="8.88671875" style="2838"/>
    <col min="6922" max="6922" width="5.77734375" style="2838" customWidth="1"/>
    <col min="6923" max="6923" width="11.77734375" style="2838" customWidth="1"/>
    <col min="6924" max="6925" width="10.77734375" style="2838" customWidth="1"/>
    <col min="6926" max="6926" width="10" style="2838" customWidth="1"/>
    <col min="6927" max="6928" width="10.44140625" style="2838" bestFit="1" customWidth="1"/>
    <col min="6929" max="6929" width="10" style="2838" customWidth="1"/>
    <col min="6930" max="6930" width="10.109375" style="2838" customWidth="1"/>
    <col min="6931" max="6931" width="10" style="2838" customWidth="1"/>
    <col min="6932" max="6932" width="26.109375" style="2838" customWidth="1"/>
    <col min="6933" max="7168" width="8.88671875" style="2838"/>
    <col min="7169" max="7169" width="9.44140625" style="2838" customWidth="1"/>
    <col min="7170" max="7170" width="8.88671875" style="2838"/>
    <col min="7171" max="7173" width="12.88671875" style="2838" customWidth="1"/>
    <col min="7174" max="7174" width="47.44140625" style="2838" customWidth="1"/>
    <col min="7175" max="7175" width="13" style="2838" customWidth="1"/>
    <col min="7176" max="7177" width="8.88671875" style="2838"/>
    <col min="7178" max="7178" width="5.77734375" style="2838" customWidth="1"/>
    <col min="7179" max="7179" width="11.77734375" style="2838" customWidth="1"/>
    <col min="7180" max="7181" width="10.77734375" style="2838" customWidth="1"/>
    <col min="7182" max="7182" width="10" style="2838" customWidth="1"/>
    <col min="7183" max="7184" width="10.44140625" style="2838" bestFit="1" customWidth="1"/>
    <col min="7185" max="7185" width="10" style="2838" customWidth="1"/>
    <col min="7186" max="7186" width="10.109375" style="2838" customWidth="1"/>
    <col min="7187" max="7187" width="10" style="2838" customWidth="1"/>
    <col min="7188" max="7188" width="26.109375" style="2838" customWidth="1"/>
    <col min="7189" max="7424" width="8.88671875" style="2838"/>
    <col min="7425" max="7425" width="9.44140625" style="2838" customWidth="1"/>
    <col min="7426" max="7426" width="8.88671875" style="2838"/>
    <col min="7427" max="7429" width="12.88671875" style="2838" customWidth="1"/>
    <col min="7430" max="7430" width="47.44140625" style="2838" customWidth="1"/>
    <col min="7431" max="7431" width="13" style="2838" customWidth="1"/>
    <col min="7432" max="7433" width="8.88671875" style="2838"/>
    <col min="7434" max="7434" width="5.77734375" style="2838" customWidth="1"/>
    <col min="7435" max="7435" width="11.77734375" style="2838" customWidth="1"/>
    <col min="7436" max="7437" width="10.77734375" style="2838" customWidth="1"/>
    <col min="7438" max="7438" width="10" style="2838" customWidth="1"/>
    <col min="7439" max="7440" width="10.44140625" style="2838" bestFit="1" customWidth="1"/>
    <col min="7441" max="7441" width="10" style="2838" customWidth="1"/>
    <col min="7442" max="7442" width="10.109375" style="2838" customWidth="1"/>
    <col min="7443" max="7443" width="10" style="2838" customWidth="1"/>
    <col min="7444" max="7444" width="26.109375" style="2838" customWidth="1"/>
    <col min="7445" max="7680" width="8.88671875" style="2838"/>
    <col min="7681" max="7681" width="9.44140625" style="2838" customWidth="1"/>
    <col min="7682" max="7682" width="8.88671875" style="2838"/>
    <col min="7683" max="7685" width="12.88671875" style="2838" customWidth="1"/>
    <col min="7686" max="7686" width="47.44140625" style="2838" customWidth="1"/>
    <col min="7687" max="7687" width="13" style="2838" customWidth="1"/>
    <col min="7688" max="7689" width="8.88671875" style="2838"/>
    <col min="7690" max="7690" width="5.77734375" style="2838" customWidth="1"/>
    <col min="7691" max="7691" width="11.77734375" style="2838" customWidth="1"/>
    <col min="7692" max="7693" width="10.77734375" style="2838" customWidth="1"/>
    <col min="7694" max="7694" width="10" style="2838" customWidth="1"/>
    <col min="7695" max="7696" width="10.44140625" style="2838" bestFit="1" customWidth="1"/>
    <col min="7697" max="7697" width="10" style="2838" customWidth="1"/>
    <col min="7698" max="7698" width="10.109375" style="2838" customWidth="1"/>
    <col min="7699" max="7699" width="10" style="2838" customWidth="1"/>
    <col min="7700" max="7700" width="26.109375" style="2838" customWidth="1"/>
    <col min="7701" max="7936" width="8.88671875" style="2838"/>
    <col min="7937" max="7937" width="9.44140625" style="2838" customWidth="1"/>
    <col min="7938" max="7938" width="8.88671875" style="2838"/>
    <col min="7939" max="7941" width="12.88671875" style="2838" customWidth="1"/>
    <col min="7942" max="7942" width="47.44140625" style="2838" customWidth="1"/>
    <col min="7943" max="7943" width="13" style="2838" customWidth="1"/>
    <col min="7944" max="7945" width="8.88671875" style="2838"/>
    <col min="7946" max="7946" width="5.77734375" style="2838" customWidth="1"/>
    <col min="7947" max="7947" width="11.77734375" style="2838" customWidth="1"/>
    <col min="7948" max="7949" width="10.77734375" style="2838" customWidth="1"/>
    <col min="7950" max="7950" width="10" style="2838" customWidth="1"/>
    <col min="7951" max="7952" width="10.44140625" style="2838" bestFit="1" customWidth="1"/>
    <col min="7953" max="7953" width="10" style="2838" customWidth="1"/>
    <col min="7954" max="7954" width="10.109375" style="2838" customWidth="1"/>
    <col min="7955" max="7955" width="10" style="2838" customWidth="1"/>
    <col min="7956" max="7956" width="26.109375" style="2838" customWidth="1"/>
    <col min="7957" max="8192" width="8.88671875" style="2838"/>
    <col min="8193" max="8193" width="9.44140625" style="2838" customWidth="1"/>
    <col min="8194" max="8194" width="8.88671875" style="2838"/>
    <col min="8195" max="8197" width="12.88671875" style="2838" customWidth="1"/>
    <col min="8198" max="8198" width="47.44140625" style="2838" customWidth="1"/>
    <col min="8199" max="8199" width="13" style="2838" customWidth="1"/>
    <col min="8200" max="8201" width="8.88671875" style="2838"/>
    <col min="8202" max="8202" width="5.77734375" style="2838" customWidth="1"/>
    <col min="8203" max="8203" width="11.77734375" style="2838" customWidth="1"/>
    <col min="8204" max="8205" width="10.77734375" style="2838" customWidth="1"/>
    <col min="8206" max="8206" width="10" style="2838" customWidth="1"/>
    <col min="8207" max="8208" width="10.44140625" style="2838" bestFit="1" customWidth="1"/>
    <col min="8209" max="8209" width="10" style="2838" customWidth="1"/>
    <col min="8210" max="8210" width="10.109375" style="2838" customWidth="1"/>
    <col min="8211" max="8211" width="10" style="2838" customWidth="1"/>
    <col min="8212" max="8212" width="26.109375" style="2838" customWidth="1"/>
    <col min="8213" max="8448" width="8.88671875" style="2838"/>
    <col min="8449" max="8449" width="9.44140625" style="2838" customWidth="1"/>
    <col min="8450" max="8450" width="8.88671875" style="2838"/>
    <col min="8451" max="8453" width="12.88671875" style="2838" customWidth="1"/>
    <col min="8454" max="8454" width="47.44140625" style="2838" customWidth="1"/>
    <col min="8455" max="8455" width="13" style="2838" customWidth="1"/>
    <col min="8456" max="8457" width="8.88671875" style="2838"/>
    <col min="8458" max="8458" width="5.77734375" style="2838" customWidth="1"/>
    <col min="8459" max="8459" width="11.77734375" style="2838" customWidth="1"/>
    <col min="8460" max="8461" width="10.77734375" style="2838" customWidth="1"/>
    <col min="8462" max="8462" width="10" style="2838" customWidth="1"/>
    <col min="8463" max="8464" width="10.44140625" style="2838" bestFit="1" customWidth="1"/>
    <col min="8465" max="8465" width="10" style="2838" customWidth="1"/>
    <col min="8466" max="8466" width="10.109375" style="2838" customWidth="1"/>
    <col min="8467" max="8467" width="10" style="2838" customWidth="1"/>
    <col min="8468" max="8468" width="26.109375" style="2838" customWidth="1"/>
    <col min="8469" max="8704" width="8.88671875" style="2838"/>
    <col min="8705" max="8705" width="9.44140625" style="2838" customWidth="1"/>
    <col min="8706" max="8706" width="8.88671875" style="2838"/>
    <col min="8707" max="8709" width="12.88671875" style="2838" customWidth="1"/>
    <col min="8710" max="8710" width="47.44140625" style="2838" customWidth="1"/>
    <col min="8711" max="8711" width="13" style="2838" customWidth="1"/>
    <col min="8712" max="8713" width="8.88671875" style="2838"/>
    <col min="8714" max="8714" width="5.77734375" style="2838" customWidth="1"/>
    <col min="8715" max="8715" width="11.77734375" style="2838" customWidth="1"/>
    <col min="8716" max="8717" width="10.77734375" style="2838" customWidth="1"/>
    <col min="8718" max="8718" width="10" style="2838" customWidth="1"/>
    <col min="8719" max="8720" width="10.44140625" style="2838" bestFit="1" customWidth="1"/>
    <col min="8721" max="8721" width="10" style="2838" customWidth="1"/>
    <col min="8722" max="8722" width="10.109375" style="2838" customWidth="1"/>
    <col min="8723" max="8723" width="10" style="2838" customWidth="1"/>
    <col min="8724" max="8724" width="26.109375" style="2838" customWidth="1"/>
    <col min="8725" max="8960" width="8.88671875" style="2838"/>
    <col min="8961" max="8961" width="9.44140625" style="2838" customWidth="1"/>
    <col min="8962" max="8962" width="8.88671875" style="2838"/>
    <col min="8963" max="8965" width="12.88671875" style="2838" customWidth="1"/>
    <col min="8966" max="8966" width="47.44140625" style="2838" customWidth="1"/>
    <col min="8967" max="8967" width="13" style="2838" customWidth="1"/>
    <col min="8968" max="8969" width="8.88671875" style="2838"/>
    <col min="8970" max="8970" width="5.77734375" style="2838" customWidth="1"/>
    <col min="8971" max="8971" width="11.77734375" style="2838" customWidth="1"/>
    <col min="8972" max="8973" width="10.77734375" style="2838" customWidth="1"/>
    <col min="8974" max="8974" width="10" style="2838" customWidth="1"/>
    <col min="8975" max="8976" width="10.44140625" style="2838" bestFit="1" customWidth="1"/>
    <col min="8977" max="8977" width="10" style="2838" customWidth="1"/>
    <col min="8978" max="8978" width="10.109375" style="2838" customWidth="1"/>
    <col min="8979" max="8979" width="10" style="2838" customWidth="1"/>
    <col min="8980" max="8980" width="26.109375" style="2838" customWidth="1"/>
    <col min="8981" max="9216" width="8.88671875" style="2838"/>
    <col min="9217" max="9217" width="9.44140625" style="2838" customWidth="1"/>
    <col min="9218" max="9218" width="8.88671875" style="2838"/>
    <col min="9219" max="9221" width="12.88671875" style="2838" customWidth="1"/>
    <col min="9222" max="9222" width="47.44140625" style="2838" customWidth="1"/>
    <col min="9223" max="9223" width="13" style="2838" customWidth="1"/>
    <col min="9224" max="9225" width="8.88671875" style="2838"/>
    <col min="9226" max="9226" width="5.77734375" style="2838" customWidth="1"/>
    <col min="9227" max="9227" width="11.77734375" style="2838" customWidth="1"/>
    <col min="9228" max="9229" width="10.77734375" style="2838" customWidth="1"/>
    <col min="9230" max="9230" width="10" style="2838" customWidth="1"/>
    <col min="9231" max="9232" width="10.44140625" style="2838" bestFit="1" customWidth="1"/>
    <col min="9233" max="9233" width="10" style="2838" customWidth="1"/>
    <col min="9234" max="9234" width="10.109375" style="2838" customWidth="1"/>
    <col min="9235" max="9235" width="10" style="2838" customWidth="1"/>
    <col min="9236" max="9236" width="26.109375" style="2838" customWidth="1"/>
    <col min="9237" max="9472" width="8.88671875" style="2838"/>
    <col min="9473" max="9473" width="9.44140625" style="2838" customWidth="1"/>
    <col min="9474" max="9474" width="8.88671875" style="2838"/>
    <col min="9475" max="9477" width="12.88671875" style="2838" customWidth="1"/>
    <col min="9478" max="9478" width="47.44140625" style="2838" customWidth="1"/>
    <col min="9479" max="9479" width="13" style="2838" customWidth="1"/>
    <col min="9480" max="9481" width="8.88671875" style="2838"/>
    <col min="9482" max="9482" width="5.77734375" style="2838" customWidth="1"/>
    <col min="9483" max="9483" width="11.77734375" style="2838" customWidth="1"/>
    <col min="9484" max="9485" width="10.77734375" style="2838" customWidth="1"/>
    <col min="9486" max="9486" width="10" style="2838" customWidth="1"/>
    <col min="9487" max="9488" width="10.44140625" style="2838" bestFit="1" customWidth="1"/>
    <col min="9489" max="9489" width="10" style="2838" customWidth="1"/>
    <col min="9490" max="9490" width="10.109375" style="2838" customWidth="1"/>
    <col min="9491" max="9491" width="10" style="2838" customWidth="1"/>
    <col min="9492" max="9492" width="26.109375" style="2838" customWidth="1"/>
    <col min="9493" max="9728" width="8.88671875" style="2838"/>
    <col min="9729" max="9729" width="9.44140625" style="2838" customWidth="1"/>
    <col min="9730" max="9730" width="8.88671875" style="2838"/>
    <col min="9731" max="9733" width="12.88671875" style="2838" customWidth="1"/>
    <col min="9734" max="9734" width="47.44140625" style="2838" customWidth="1"/>
    <col min="9735" max="9735" width="13" style="2838" customWidth="1"/>
    <col min="9736" max="9737" width="8.88671875" style="2838"/>
    <col min="9738" max="9738" width="5.77734375" style="2838" customWidth="1"/>
    <col min="9739" max="9739" width="11.77734375" style="2838" customWidth="1"/>
    <col min="9740" max="9741" width="10.77734375" style="2838" customWidth="1"/>
    <col min="9742" max="9742" width="10" style="2838" customWidth="1"/>
    <col min="9743" max="9744" width="10.44140625" style="2838" bestFit="1" customWidth="1"/>
    <col min="9745" max="9745" width="10" style="2838" customWidth="1"/>
    <col min="9746" max="9746" width="10.109375" style="2838" customWidth="1"/>
    <col min="9747" max="9747" width="10" style="2838" customWidth="1"/>
    <col min="9748" max="9748" width="26.109375" style="2838" customWidth="1"/>
    <col min="9749" max="9984" width="8.88671875" style="2838"/>
    <col min="9985" max="9985" width="9.44140625" style="2838" customWidth="1"/>
    <col min="9986" max="9986" width="8.88671875" style="2838"/>
    <col min="9987" max="9989" width="12.88671875" style="2838" customWidth="1"/>
    <col min="9990" max="9990" width="47.44140625" style="2838" customWidth="1"/>
    <col min="9991" max="9991" width="13" style="2838" customWidth="1"/>
    <col min="9992" max="9993" width="8.88671875" style="2838"/>
    <col min="9994" max="9994" width="5.77734375" style="2838" customWidth="1"/>
    <col min="9995" max="9995" width="11.77734375" style="2838" customWidth="1"/>
    <col min="9996" max="9997" width="10.77734375" style="2838" customWidth="1"/>
    <col min="9998" max="9998" width="10" style="2838" customWidth="1"/>
    <col min="9999" max="10000" width="10.44140625" style="2838" bestFit="1" customWidth="1"/>
    <col min="10001" max="10001" width="10" style="2838" customWidth="1"/>
    <col min="10002" max="10002" width="10.109375" style="2838" customWidth="1"/>
    <col min="10003" max="10003" width="10" style="2838" customWidth="1"/>
    <col min="10004" max="10004" width="26.109375" style="2838" customWidth="1"/>
    <col min="10005" max="10240" width="8.88671875" style="2838"/>
    <col min="10241" max="10241" width="9.44140625" style="2838" customWidth="1"/>
    <col min="10242" max="10242" width="8.88671875" style="2838"/>
    <col min="10243" max="10245" width="12.88671875" style="2838" customWidth="1"/>
    <col min="10246" max="10246" width="47.44140625" style="2838" customWidth="1"/>
    <col min="10247" max="10247" width="13" style="2838" customWidth="1"/>
    <col min="10248" max="10249" width="8.88671875" style="2838"/>
    <col min="10250" max="10250" width="5.77734375" style="2838" customWidth="1"/>
    <col min="10251" max="10251" width="11.77734375" style="2838" customWidth="1"/>
    <col min="10252" max="10253" width="10.77734375" style="2838" customWidth="1"/>
    <col min="10254" max="10254" width="10" style="2838" customWidth="1"/>
    <col min="10255" max="10256" width="10.44140625" style="2838" bestFit="1" customWidth="1"/>
    <col min="10257" max="10257" width="10" style="2838" customWidth="1"/>
    <col min="10258" max="10258" width="10.109375" style="2838" customWidth="1"/>
    <col min="10259" max="10259" width="10" style="2838" customWidth="1"/>
    <col min="10260" max="10260" width="26.109375" style="2838" customWidth="1"/>
    <col min="10261" max="10496" width="8.88671875" style="2838"/>
    <col min="10497" max="10497" width="9.44140625" style="2838" customWidth="1"/>
    <col min="10498" max="10498" width="8.88671875" style="2838"/>
    <col min="10499" max="10501" width="12.88671875" style="2838" customWidth="1"/>
    <col min="10502" max="10502" width="47.44140625" style="2838" customWidth="1"/>
    <col min="10503" max="10503" width="13" style="2838" customWidth="1"/>
    <col min="10504" max="10505" width="8.88671875" style="2838"/>
    <col min="10506" max="10506" width="5.77734375" style="2838" customWidth="1"/>
    <col min="10507" max="10507" width="11.77734375" style="2838" customWidth="1"/>
    <col min="10508" max="10509" width="10.77734375" style="2838" customWidth="1"/>
    <col min="10510" max="10510" width="10" style="2838" customWidth="1"/>
    <col min="10511" max="10512" width="10.44140625" style="2838" bestFit="1" customWidth="1"/>
    <col min="10513" max="10513" width="10" style="2838" customWidth="1"/>
    <col min="10514" max="10514" width="10.109375" style="2838" customWidth="1"/>
    <col min="10515" max="10515" width="10" style="2838" customWidth="1"/>
    <col min="10516" max="10516" width="26.109375" style="2838" customWidth="1"/>
    <col min="10517" max="10752" width="8.88671875" style="2838"/>
    <col min="10753" max="10753" width="9.44140625" style="2838" customWidth="1"/>
    <col min="10754" max="10754" width="8.88671875" style="2838"/>
    <col min="10755" max="10757" width="12.88671875" style="2838" customWidth="1"/>
    <col min="10758" max="10758" width="47.44140625" style="2838" customWidth="1"/>
    <col min="10759" max="10759" width="13" style="2838" customWidth="1"/>
    <col min="10760" max="10761" width="8.88671875" style="2838"/>
    <col min="10762" max="10762" width="5.77734375" style="2838" customWidth="1"/>
    <col min="10763" max="10763" width="11.77734375" style="2838" customWidth="1"/>
    <col min="10764" max="10765" width="10.77734375" style="2838" customWidth="1"/>
    <col min="10766" max="10766" width="10" style="2838" customWidth="1"/>
    <col min="10767" max="10768" width="10.44140625" style="2838" bestFit="1" customWidth="1"/>
    <col min="10769" max="10769" width="10" style="2838" customWidth="1"/>
    <col min="10770" max="10770" width="10.109375" style="2838" customWidth="1"/>
    <col min="10771" max="10771" width="10" style="2838" customWidth="1"/>
    <col min="10772" max="10772" width="26.109375" style="2838" customWidth="1"/>
    <col min="10773" max="11008" width="8.88671875" style="2838"/>
    <col min="11009" max="11009" width="9.44140625" style="2838" customWidth="1"/>
    <col min="11010" max="11010" width="8.88671875" style="2838"/>
    <col min="11011" max="11013" width="12.88671875" style="2838" customWidth="1"/>
    <col min="11014" max="11014" width="47.44140625" style="2838" customWidth="1"/>
    <col min="11015" max="11015" width="13" style="2838" customWidth="1"/>
    <col min="11016" max="11017" width="8.88671875" style="2838"/>
    <col min="11018" max="11018" width="5.77734375" style="2838" customWidth="1"/>
    <col min="11019" max="11019" width="11.77734375" style="2838" customWidth="1"/>
    <col min="11020" max="11021" width="10.77734375" style="2838" customWidth="1"/>
    <col min="11022" max="11022" width="10" style="2838" customWidth="1"/>
    <col min="11023" max="11024" width="10.44140625" style="2838" bestFit="1" customWidth="1"/>
    <col min="11025" max="11025" width="10" style="2838" customWidth="1"/>
    <col min="11026" max="11026" width="10.109375" style="2838" customWidth="1"/>
    <col min="11027" max="11027" width="10" style="2838" customWidth="1"/>
    <col min="11028" max="11028" width="26.109375" style="2838" customWidth="1"/>
    <col min="11029" max="11264" width="8.88671875" style="2838"/>
    <col min="11265" max="11265" width="9.44140625" style="2838" customWidth="1"/>
    <col min="11266" max="11266" width="8.88671875" style="2838"/>
    <col min="11267" max="11269" width="12.88671875" style="2838" customWidth="1"/>
    <col min="11270" max="11270" width="47.44140625" style="2838" customWidth="1"/>
    <col min="11271" max="11271" width="13" style="2838" customWidth="1"/>
    <col min="11272" max="11273" width="8.88671875" style="2838"/>
    <col min="11274" max="11274" width="5.77734375" style="2838" customWidth="1"/>
    <col min="11275" max="11275" width="11.77734375" style="2838" customWidth="1"/>
    <col min="11276" max="11277" width="10.77734375" style="2838" customWidth="1"/>
    <col min="11278" max="11278" width="10" style="2838" customWidth="1"/>
    <col min="11279" max="11280" width="10.44140625" style="2838" bestFit="1" customWidth="1"/>
    <col min="11281" max="11281" width="10" style="2838" customWidth="1"/>
    <col min="11282" max="11282" width="10.109375" style="2838" customWidth="1"/>
    <col min="11283" max="11283" width="10" style="2838" customWidth="1"/>
    <col min="11284" max="11284" width="26.109375" style="2838" customWidth="1"/>
    <col min="11285" max="11520" width="8.88671875" style="2838"/>
    <col min="11521" max="11521" width="9.44140625" style="2838" customWidth="1"/>
    <col min="11522" max="11522" width="8.88671875" style="2838"/>
    <col min="11523" max="11525" width="12.88671875" style="2838" customWidth="1"/>
    <col min="11526" max="11526" width="47.44140625" style="2838" customWidth="1"/>
    <col min="11527" max="11527" width="13" style="2838" customWidth="1"/>
    <col min="11528" max="11529" width="8.88671875" style="2838"/>
    <col min="11530" max="11530" width="5.77734375" style="2838" customWidth="1"/>
    <col min="11531" max="11531" width="11.77734375" style="2838" customWidth="1"/>
    <col min="11532" max="11533" width="10.77734375" style="2838" customWidth="1"/>
    <col min="11534" max="11534" width="10" style="2838" customWidth="1"/>
    <col min="11535" max="11536" width="10.44140625" style="2838" bestFit="1" customWidth="1"/>
    <col min="11537" max="11537" width="10" style="2838" customWidth="1"/>
    <col min="11538" max="11538" width="10.109375" style="2838" customWidth="1"/>
    <col min="11539" max="11539" width="10" style="2838" customWidth="1"/>
    <col min="11540" max="11540" width="26.109375" style="2838" customWidth="1"/>
    <col min="11541" max="11776" width="8.88671875" style="2838"/>
    <col min="11777" max="11777" width="9.44140625" style="2838" customWidth="1"/>
    <col min="11778" max="11778" width="8.88671875" style="2838"/>
    <col min="11779" max="11781" width="12.88671875" style="2838" customWidth="1"/>
    <col min="11782" max="11782" width="47.44140625" style="2838" customWidth="1"/>
    <col min="11783" max="11783" width="13" style="2838" customWidth="1"/>
    <col min="11784" max="11785" width="8.88671875" style="2838"/>
    <col min="11786" max="11786" width="5.77734375" style="2838" customWidth="1"/>
    <col min="11787" max="11787" width="11.77734375" style="2838" customWidth="1"/>
    <col min="11788" max="11789" width="10.77734375" style="2838" customWidth="1"/>
    <col min="11790" max="11790" width="10" style="2838" customWidth="1"/>
    <col min="11791" max="11792" width="10.44140625" style="2838" bestFit="1" customWidth="1"/>
    <col min="11793" max="11793" width="10" style="2838" customWidth="1"/>
    <col min="11794" max="11794" width="10.109375" style="2838" customWidth="1"/>
    <col min="11795" max="11795" width="10" style="2838" customWidth="1"/>
    <col min="11796" max="11796" width="26.109375" style="2838" customWidth="1"/>
    <col min="11797" max="12032" width="8.88671875" style="2838"/>
    <col min="12033" max="12033" width="9.44140625" style="2838" customWidth="1"/>
    <col min="12034" max="12034" width="8.88671875" style="2838"/>
    <col min="12035" max="12037" width="12.88671875" style="2838" customWidth="1"/>
    <col min="12038" max="12038" width="47.44140625" style="2838" customWidth="1"/>
    <col min="12039" max="12039" width="13" style="2838" customWidth="1"/>
    <col min="12040" max="12041" width="8.88671875" style="2838"/>
    <col min="12042" max="12042" width="5.77734375" style="2838" customWidth="1"/>
    <col min="12043" max="12043" width="11.77734375" style="2838" customWidth="1"/>
    <col min="12044" max="12045" width="10.77734375" style="2838" customWidth="1"/>
    <col min="12046" max="12046" width="10" style="2838" customWidth="1"/>
    <col min="12047" max="12048" width="10.44140625" style="2838" bestFit="1" customWidth="1"/>
    <col min="12049" max="12049" width="10" style="2838" customWidth="1"/>
    <col min="12050" max="12050" width="10.109375" style="2838" customWidth="1"/>
    <col min="12051" max="12051" width="10" style="2838" customWidth="1"/>
    <col min="12052" max="12052" width="26.109375" style="2838" customWidth="1"/>
    <col min="12053" max="12288" width="8.88671875" style="2838"/>
    <col min="12289" max="12289" width="9.44140625" style="2838" customWidth="1"/>
    <col min="12290" max="12290" width="8.88671875" style="2838"/>
    <col min="12291" max="12293" width="12.88671875" style="2838" customWidth="1"/>
    <col min="12294" max="12294" width="47.44140625" style="2838" customWidth="1"/>
    <col min="12295" max="12295" width="13" style="2838" customWidth="1"/>
    <col min="12296" max="12297" width="8.88671875" style="2838"/>
    <col min="12298" max="12298" width="5.77734375" style="2838" customWidth="1"/>
    <col min="12299" max="12299" width="11.77734375" style="2838" customWidth="1"/>
    <col min="12300" max="12301" width="10.77734375" style="2838" customWidth="1"/>
    <col min="12302" max="12302" width="10" style="2838" customWidth="1"/>
    <col min="12303" max="12304" width="10.44140625" style="2838" bestFit="1" customWidth="1"/>
    <col min="12305" max="12305" width="10" style="2838" customWidth="1"/>
    <col min="12306" max="12306" width="10.109375" style="2838" customWidth="1"/>
    <col min="12307" max="12307" width="10" style="2838" customWidth="1"/>
    <col min="12308" max="12308" width="26.109375" style="2838" customWidth="1"/>
    <col min="12309" max="12544" width="8.88671875" style="2838"/>
    <col min="12545" max="12545" width="9.44140625" style="2838" customWidth="1"/>
    <col min="12546" max="12546" width="8.88671875" style="2838"/>
    <col min="12547" max="12549" width="12.88671875" style="2838" customWidth="1"/>
    <col min="12550" max="12550" width="47.44140625" style="2838" customWidth="1"/>
    <col min="12551" max="12551" width="13" style="2838" customWidth="1"/>
    <col min="12552" max="12553" width="8.88671875" style="2838"/>
    <col min="12554" max="12554" width="5.77734375" style="2838" customWidth="1"/>
    <col min="12555" max="12555" width="11.77734375" style="2838" customWidth="1"/>
    <col min="12556" max="12557" width="10.77734375" style="2838" customWidth="1"/>
    <col min="12558" max="12558" width="10" style="2838" customWidth="1"/>
    <col min="12559" max="12560" width="10.44140625" style="2838" bestFit="1" customWidth="1"/>
    <col min="12561" max="12561" width="10" style="2838" customWidth="1"/>
    <col min="12562" max="12562" width="10.109375" style="2838" customWidth="1"/>
    <col min="12563" max="12563" width="10" style="2838" customWidth="1"/>
    <col min="12564" max="12564" width="26.109375" style="2838" customWidth="1"/>
    <col min="12565" max="12800" width="8.88671875" style="2838"/>
    <col min="12801" max="12801" width="9.44140625" style="2838" customWidth="1"/>
    <col min="12802" max="12802" width="8.88671875" style="2838"/>
    <col min="12803" max="12805" width="12.88671875" style="2838" customWidth="1"/>
    <col min="12806" max="12806" width="47.44140625" style="2838" customWidth="1"/>
    <col min="12807" max="12807" width="13" style="2838" customWidth="1"/>
    <col min="12808" max="12809" width="8.88671875" style="2838"/>
    <col min="12810" max="12810" width="5.77734375" style="2838" customWidth="1"/>
    <col min="12811" max="12811" width="11.77734375" style="2838" customWidth="1"/>
    <col min="12812" max="12813" width="10.77734375" style="2838" customWidth="1"/>
    <col min="12814" max="12814" width="10" style="2838" customWidth="1"/>
    <col min="12815" max="12816" width="10.44140625" style="2838" bestFit="1" customWidth="1"/>
    <col min="12817" max="12817" width="10" style="2838" customWidth="1"/>
    <col min="12818" max="12818" width="10.109375" style="2838" customWidth="1"/>
    <col min="12819" max="12819" width="10" style="2838" customWidth="1"/>
    <col min="12820" max="12820" width="26.109375" style="2838" customWidth="1"/>
    <col min="12821" max="13056" width="8.88671875" style="2838"/>
    <col min="13057" max="13057" width="9.44140625" style="2838" customWidth="1"/>
    <col min="13058" max="13058" width="8.88671875" style="2838"/>
    <col min="13059" max="13061" width="12.88671875" style="2838" customWidth="1"/>
    <col min="13062" max="13062" width="47.44140625" style="2838" customWidth="1"/>
    <col min="13063" max="13063" width="13" style="2838" customWidth="1"/>
    <col min="13064" max="13065" width="8.88671875" style="2838"/>
    <col min="13066" max="13066" width="5.77734375" style="2838" customWidth="1"/>
    <col min="13067" max="13067" width="11.77734375" style="2838" customWidth="1"/>
    <col min="13068" max="13069" width="10.77734375" style="2838" customWidth="1"/>
    <col min="13070" max="13070" width="10" style="2838" customWidth="1"/>
    <col min="13071" max="13072" width="10.44140625" style="2838" bestFit="1" customWidth="1"/>
    <col min="13073" max="13073" width="10" style="2838" customWidth="1"/>
    <col min="13074" max="13074" width="10.109375" style="2838" customWidth="1"/>
    <col min="13075" max="13075" width="10" style="2838" customWidth="1"/>
    <col min="13076" max="13076" width="26.109375" style="2838" customWidth="1"/>
    <col min="13077" max="13312" width="8.88671875" style="2838"/>
    <col min="13313" max="13313" width="9.44140625" style="2838" customWidth="1"/>
    <col min="13314" max="13314" width="8.88671875" style="2838"/>
    <col min="13315" max="13317" width="12.88671875" style="2838" customWidth="1"/>
    <col min="13318" max="13318" width="47.44140625" style="2838" customWidth="1"/>
    <col min="13319" max="13319" width="13" style="2838" customWidth="1"/>
    <col min="13320" max="13321" width="8.88671875" style="2838"/>
    <col min="13322" max="13322" width="5.77734375" style="2838" customWidth="1"/>
    <col min="13323" max="13323" width="11.77734375" style="2838" customWidth="1"/>
    <col min="13324" max="13325" width="10.77734375" style="2838" customWidth="1"/>
    <col min="13326" max="13326" width="10" style="2838" customWidth="1"/>
    <col min="13327" max="13328" width="10.44140625" style="2838" bestFit="1" customWidth="1"/>
    <col min="13329" max="13329" width="10" style="2838" customWidth="1"/>
    <col min="13330" max="13330" width="10.109375" style="2838" customWidth="1"/>
    <col min="13331" max="13331" width="10" style="2838" customWidth="1"/>
    <col min="13332" max="13332" width="26.109375" style="2838" customWidth="1"/>
    <col min="13333" max="13568" width="8.88671875" style="2838"/>
    <col min="13569" max="13569" width="9.44140625" style="2838" customWidth="1"/>
    <col min="13570" max="13570" width="8.88671875" style="2838"/>
    <col min="13571" max="13573" width="12.88671875" style="2838" customWidth="1"/>
    <col min="13574" max="13574" width="47.44140625" style="2838" customWidth="1"/>
    <col min="13575" max="13575" width="13" style="2838" customWidth="1"/>
    <col min="13576" max="13577" width="8.88671875" style="2838"/>
    <col min="13578" max="13578" width="5.77734375" style="2838" customWidth="1"/>
    <col min="13579" max="13579" width="11.77734375" style="2838" customWidth="1"/>
    <col min="13580" max="13581" width="10.77734375" style="2838" customWidth="1"/>
    <col min="13582" max="13582" width="10" style="2838" customWidth="1"/>
    <col min="13583" max="13584" width="10.44140625" style="2838" bestFit="1" customWidth="1"/>
    <col min="13585" max="13585" width="10" style="2838" customWidth="1"/>
    <col min="13586" max="13586" width="10.109375" style="2838" customWidth="1"/>
    <col min="13587" max="13587" width="10" style="2838" customWidth="1"/>
    <col min="13588" max="13588" width="26.109375" style="2838" customWidth="1"/>
    <col min="13589" max="13824" width="8.88671875" style="2838"/>
    <col min="13825" max="13825" width="9.44140625" style="2838" customWidth="1"/>
    <col min="13826" max="13826" width="8.88671875" style="2838"/>
    <col min="13827" max="13829" width="12.88671875" style="2838" customWidth="1"/>
    <col min="13830" max="13830" width="47.44140625" style="2838" customWidth="1"/>
    <col min="13831" max="13831" width="13" style="2838" customWidth="1"/>
    <col min="13832" max="13833" width="8.88671875" style="2838"/>
    <col min="13834" max="13834" width="5.77734375" style="2838" customWidth="1"/>
    <col min="13835" max="13835" width="11.77734375" style="2838" customWidth="1"/>
    <col min="13836" max="13837" width="10.77734375" style="2838" customWidth="1"/>
    <col min="13838" max="13838" width="10" style="2838" customWidth="1"/>
    <col min="13839" max="13840" width="10.44140625" style="2838" bestFit="1" customWidth="1"/>
    <col min="13841" max="13841" width="10" style="2838" customWidth="1"/>
    <col min="13842" max="13842" width="10.109375" style="2838" customWidth="1"/>
    <col min="13843" max="13843" width="10" style="2838" customWidth="1"/>
    <col min="13844" max="13844" width="26.109375" style="2838" customWidth="1"/>
    <col min="13845" max="14080" width="8.88671875" style="2838"/>
    <col min="14081" max="14081" width="9.44140625" style="2838" customWidth="1"/>
    <col min="14082" max="14082" width="8.88671875" style="2838"/>
    <col min="14083" max="14085" width="12.88671875" style="2838" customWidth="1"/>
    <col min="14086" max="14086" width="47.44140625" style="2838" customWidth="1"/>
    <col min="14087" max="14087" width="13" style="2838" customWidth="1"/>
    <col min="14088" max="14089" width="8.88671875" style="2838"/>
    <col min="14090" max="14090" width="5.77734375" style="2838" customWidth="1"/>
    <col min="14091" max="14091" width="11.77734375" style="2838" customWidth="1"/>
    <col min="14092" max="14093" width="10.77734375" style="2838" customWidth="1"/>
    <col min="14094" max="14094" width="10" style="2838" customWidth="1"/>
    <col min="14095" max="14096" width="10.44140625" style="2838" bestFit="1" customWidth="1"/>
    <col min="14097" max="14097" width="10" style="2838" customWidth="1"/>
    <col min="14098" max="14098" width="10.109375" style="2838" customWidth="1"/>
    <col min="14099" max="14099" width="10" style="2838" customWidth="1"/>
    <col min="14100" max="14100" width="26.109375" style="2838" customWidth="1"/>
    <col min="14101" max="14336" width="8.88671875" style="2838"/>
    <col min="14337" max="14337" width="9.44140625" style="2838" customWidth="1"/>
    <col min="14338" max="14338" width="8.88671875" style="2838"/>
    <col min="14339" max="14341" width="12.88671875" style="2838" customWidth="1"/>
    <col min="14342" max="14342" width="47.44140625" style="2838" customWidth="1"/>
    <col min="14343" max="14343" width="13" style="2838" customWidth="1"/>
    <col min="14344" max="14345" width="8.88671875" style="2838"/>
    <col min="14346" max="14346" width="5.77734375" style="2838" customWidth="1"/>
    <col min="14347" max="14347" width="11.77734375" style="2838" customWidth="1"/>
    <col min="14348" max="14349" width="10.77734375" style="2838" customWidth="1"/>
    <col min="14350" max="14350" width="10" style="2838" customWidth="1"/>
    <col min="14351" max="14352" width="10.44140625" style="2838" bestFit="1" customWidth="1"/>
    <col min="14353" max="14353" width="10" style="2838" customWidth="1"/>
    <col min="14354" max="14354" width="10.109375" style="2838" customWidth="1"/>
    <col min="14355" max="14355" width="10" style="2838" customWidth="1"/>
    <col min="14356" max="14356" width="26.109375" style="2838" customWidth="1"/>
    <col min="14357" max="14592" width="8.88671875" style="2838"/>
    <col min="14593" max="14593" width="9.44140625" style="2838" customWidth="1"/>
    <col min="14594" max="14594" width="8.88671875" style="2838"/>
    <col min="14595" max="14597" width="12.88671875" style="2838" customWidth="1"/>
    <col min="14598" max="14598" width="47.44140625" style="2838" customWidth="1"/>
    <col min="14599" max="14599" width="13" style="2838" customWidth="1"/>
    <col min="14600" max="14601" width="8.88671875" style="2838"/>
    <col min="14602" max="14602" width="5.77734375" style="2838" customWidth="1"/>
    <col min="14603" max="14603" width="11.77734375" style="2838" customWidth="1"/>
    <col min="14604" max="14605" width="10.77734375" style="2838" customWidth="1"/>
    <col min="14606" max="14606" width="10" style="2838" customWidth="1"/>
    <col min="14607" max="14608" width="10.44140625" style="2838" bestFit="1" customWidth="1"/>
    <col min="14609" max="14609" width="10" style="2838" customWidth="1"/>
    <col min="14610" max="14610" width="10.109375" style="2838" customWidth="1"/>
    <col min="14611" max="14611" width="10" style="2838" customWidth="1"/>
    <col min="14612" max="14612" width="26.109375" style="2838" customWidth="1"/>
    <col min="14613" max="14848" width="8.88671875" style="2838"/>
    <col min="14849" max="14849" width="9.44140625" style="2838" customWidth="1"/>
    <col min="14850" max="14850" width="8.88671875" style="2838"/>
    <col min="14851" max="14853" width="12.88671875" style="2838" customWidth="1"/>
    <col min="14854" max="14854" width="47.44140625" style="2838" customWidth="1"/>
    <col min="14855" max="14855" width="13" style="2838" customWidth="1"/>
    <col min="14856" max="14857" width="8.88671875" style="2838"/>
    <col min="14858" max="14858" width="5.77734375" style="2838" customWidth="1"/>
    <col min="14859" max="14859" width="11.77734375" style="2838" customWidth="1"/>
    <col min="14860" max="14861" width="10.77734375" style="2838" customWidth="1"/>
    <col min="14862" max="14862" width="10" style="2838" customWidth="1"/>
    <col min="14863" max="14864" width="10.44140625" style="2838" bestFit="1" customWidth="1"/>
    <col min="14865" max="14865" width="10" style="2838" customWidth="1"/>
    <col min="14866" max="14866" width="10.109375" style="2838" customWidth="1"/>
    <col min="14867" max="14867" width="10" style="2838" customWidth="1"/>
    <col min="14868" max="14868" width="26.109375" style="2838" customWidth="1"/>
    <col min="14869" max="15104" width="8.88671875" style="2838"/>
    <col min="15105" max="15105" width="9.44140625" style="2838" customWidth="1"/>
    <col min="15106" max="15106" width="8.88671875" style="2838"/>
    <col min="15107" max="15109" width="12.88671875" style="2838" customWidth="1"/>
    <col min="15110" max="15110" width="47.44140625" style="2838" customWidth="1"/>
    <col min="15111" max="15111" width="13" style="2838" customWidth="1"/>
    <col min="15112" max="15113" width="8.88671875" style="2838"/>
    <col min="15114" max="15114" width="5.77734375" style="2838" customWidth="1"/>
    <col min="15115" max="15115" width="11.77734375" style="2838" customWidth="1"/>
    <col min="15116" max="15117" width="10.77734375" style="2838" customWidth="1"/>
    <col min="15118" max="15118" width="10" style="2838" customWidth="1"/>
    <col min="15119" max="15120" width="10.44140625" style="2838" bestFit="1" customWidth="1"/>
    <col min="15121" max="15121" width="10" style="2838" customWidth="1"/>
    <col min="15122" max="15122" width="10.109375" style="2838" customWidth="1"/>
    <col min="15123" max="15123" width="10" style="2838" customWidth="1"/>
    <col min="15124" max="15124" width="26.109375" style="2838" customWidth="1"/>
    <col min="15125" max="15360" width="8.88671875" style="2838"/>
    <col min="15361" max="15361" width="9.44140625" style="2838" customWidth="1"/>
    <col min="15362" max="15362" width="8.88671875" style="2838"/>
    <col min="15363" max="15365" width="12.88671875" style="2838" customWidth="1"/>
    <col min="15366" max="15366" width="47.44140625" style="2838" customWidth="1"/>
    <col min="15367" max="15367" width="13" style="2838" customWidth="1"/>
    <col min="15368" max="15369" width="8.88671875" style="2838"/>
    <col min="15370" max="15370" width="5.77734375" style="2838" customWidth="1"/>
    <col min="15371" max="15371" width="11.77734375" style="2838" customWidth="1"/>
    <col min="15372" max="15373" width="10.77734375" style="2838" customWidth="1"/>
    <col min="15374" max="15374" width="10" style="2838" customWidth="1"/>
    <col min="15375" max="15376" width="10.44140625" style="2838" bestFit="1" customWidth="1"/>
    <col min="15377" max="15377" width="10" style="2838" customWidth="1"/>
    <col min="15378" max="15378" width="10.109375" style="2838" customWidth="1"/>
    <col min="15379" max="15379" width="10" style="2838" customWidth="1"/>
    <col min="15380" max="15380" width="26.109375" style="2838" customWidth="1"/>
    <col min="15381" max="15616" width="8.88671875" style="2838"/>
    <col min="15617" max="15617" width="9.44140625" style="2838" customWidth="1"/>
    <col min="15618" max="15618" width="8.88671875" style="2838"/>
    <col min="15619" max="15621" width="12.88671875" style="2838" customWidth="1"/>
    <col min="15622" max="15622" width="47.44140625" style="2838" customWidth="1"/>
    <col min="15623" max="15623" width="13" style="2838" customWidth="1"/>
    <col min="15624" max="15625" width="8.88671875" style="2838"/>
    <col min="15626" max="15626" width="5.77734375" style="2838" customWidth="1"/>
    <col min="15627" max="15627" width="11.77734375" style="2838" customWidth="1"/>
    <col min="15628" max="15629" width="10.77734375" style="2838" customWidth="1"/>
    <col min="15630" max="15630" width="10" style="2838" customWidth="1"/>
    <col min="15631" max="15632" width="10.44140625" style="2838" bestFit="1" customWidth="1"/>
    <col min="15633" max="15633" width="10" style="2838" customWidth="1"/>
    <col min="15634" max="15634" width="10.109375" style="2838" customWidth="1"/>
    <col min="15635" max="15635" width="10" style="2838" customWidth="1"/>
    <col min="15636" max="15636" width="26.109375" style="2838" customWidth="1"/>
    <col min="15637" max="15872" width="8.88671875" style="2838"/>
    <col min="15873" max="15873" width="9.44140625" style="2838" customWidth="1"/>
    <col min="15874" max="15874" width="8.88671875" style="2838"/>
    <col min="15875" max="15877" width="12.88671875" style="2838" customWidth="1"/>
    <col min="15878" max="15878" width="47.44140625" style="2838" customWidth="1"/>
    <col min="15879" max="15879" width="13" style="2838" customWidth="1"/>
    <col min="15880" max="15881" width="8.88671875" style="2838"/>
    <col min="15882" max="15882" width="5.77734375" style="2838" customWidth="1"/>
    <col min="15883" max="15883" width="11.77734375" style="2838" customWidth="1"/>
    <col min="15884" max="15885" width="10.77734375" style="2838" customWidth="1"/>
    <col min="15886" max="15886" width="10" style="2838" customWidth="1"/>
    <col min="15887" max="15888" width="10.44140625" style="2838" bestFit="1" customWidth="1"/>
    <col min="15889" max="15889" width="10" style="2838" customWidth="1"/>
    <col min="15890" max="15890" width="10.109375" style="2838" customWidth="1"/>
    <col min="15891" max="15891" width="10" style="2838" customWidth="1"/>
    <col min="15892" max="15892" width="26.109375" style="2838" customWidth="1"/>
    <col min="15893" max="16128" width="8.88671875" style="2838"/>
    <col min="16129" max="16129" width="9.44140625" style="2838" customWidth="1"/>
    <col min="16130" max="16130" width="8.88671875" style="2838"/>
    <col min="16131" max="16133" width="12.88671875" style="2838" customWidth="1"/>
    <col min="16134" max="16134" width="47.44140625" style="2838" customWidth="1"/>
    <col min="16135" max="16135" width="13" style="2838" customWidth="1"/>
    <col min="16136" max="16137" width="8.88671875" style="2838"/>
    <col min="16138" max="16138" width="5.77734375" style="2838" customWidth="1"/>
    <col min="16139" max="16139" width="11.77734375" style="2838" customWidth="1"/>
    <col min="16140" max="16141" width="10.77734375" style="2838" customWidth="1"/>
    <col min="16142" max="16142" width="10" style="2838" customWidth="1"/>
    <col min="16143" max="16144" width="10.44140625" style="2838" bestFit="1" customWidth="1"/>
    <col min="16145" max="16145" width="10" style="2838" customWidth="1"/>
    <col min="16146" max="16146" width="10.109375" style="2838" customWidth="1"/>
    <col min="16147" max="16147" width="10" style="2838" customWidth="1"/>
    <col min="16148" max="16148" width="26.109375" style="2838" customWidth="1"/>
    <col min="16149" max="16384" width="8.88671875" style="2838"/>
  </cols>
  <sheetData>
    <row r="1" spans="1:22" ht="21" customHeight="1">
      <c r="A1" s="2827" t="s">
        <v>2438</v>
      </c>
      <c r="B1" s="2828"/>
      <c r="C1" s="2840"/>
      <c r="D1" s="2840"/>
      <c r="E1" s="2829"/>
      <c r="F1" s="2830"/>
      <c r="G1" s="2831"/>
      <c r="J1" s="2834" t="s">
        <v>2317</v>
      </c>
      <c r="K1" s="2835"/>
      <c r="L1" s="2835"/>
      <c r="M1" s="2835"/>
      <c r="N1" s="2835"/>
      <c r="O1" s="2835"/>
      <c r="P1" s="2835"/>
      <c r="Q1" s="2835"/>
      <c r="R1" s="2836"/>
      <c r="S1" s="2837"/>
      <c r="T1" s="2837"/>
      <c r="U1" s="2837"/>
    </row>
    <row r="2" spans="1:22" s="2849" customFormat="1" ht="13.2" customHeight="1">
      <c r="A2" s="1381" t="s">
        <v>2318</v>
      </c>
      <c r="B2" s="2839" t="e">
        <f>IF(D2="——",C40,C40+E2)</f>
        <v>#DIV/0!</v>
      </c>
      <c r="C2" s="2840" t="s">
        <v>2319</v>
      </c>
      <c r="D2" s="3439" t="s">
        <v>3365</v>
      </c>
      <c r="E2" s="3440"/>
      <c r="F2" s="2842"/>
      <c r="G2" s="2843"/>
      <c r="H2" s="2844"/>
      <c r="I2" s="2845"/>
      <c r="J2" s="3685" t="s">
        <v>2320</v>
      </c>
      <c r="K2" s="3686"/>
      <c r="L2" s="2846" t="s">
        <v>2321</v>
      </c>
      <c r="M2" s="2846" t="s">
        <v>2322</v>
      </c>
      <c r="N2" s="2846" t="s">
        <v>2323</v>
      </c>
      <c r="O2" s="2846" t="s">
        <v>2324</v>
      </c>
      <c r="P2" s="2846" t="s">
        <v>2325</v>
      </c>
      <c r="Q2" s="2847" t="s">
        <v>2326</v>
      </c>
      <c r="R2" s="2848" t="s">
        <v>2327</v>
      </c>
      <c r="S2" s="2837"/>
      <c r="T2" s="2837"/>
      <c r="U2" s="2837"/>
      <c r="V2" s="2845"/>
    </row>
    <row r="3" spans="1:22" s="2849" customFormat="1" ht="13.2" customHeight="1">
      <c r="A3" s="2850" t="s">
        <v>2328</v>
      </c>
      <c r="B3" s="2851" t="e">
        <f>ROUND(B2*10000/B4,0)</f>
        <v>#DIV/0!</v>
      </c>
      <c r="C3" s="2840" t="s">
        <v>2329</v>
      </c>
      <c r="D3" s="2840"/>
      <c r="E3" s="2841"/>
      <c r="F3" s="2842"/>
      <c r="G3" s="2843"/>
      <c r="H3" s="2844"/>
      <c r="I3" s="2845"/>
      <c r="J3" s="3687" t="s">
        <v>2330</v>
      </c>
      <c r="K3" s="3688"/>
      <c r="L3" s="2852"/>
      <c r="M3" s="2852"/>
      <c r="N3" s="2852"/>
      <c r="O3" s="2852"/>
      <c r="P3" s="2852"/>
      <c r="Q3" s="2853"/>
      <c r="R3" s="2854">
        <f>SUM(L3:Q3)</f>
        <v>0</v>
      </c>
      <c r="S3" s="2837"/>
      <c r="T3" s="2837"/>
      <c r="U3" s="2837"/>
      <c r="V3" s="2845"/>
    </row>
    <row r="4" spans="1:22" s="2849" customFormat="1" ht="13.2" customHeight="1">
      <c r="A4" s="2855" t="s">
        <v>2331</v>
      </c>
      <c r="B4" s="2856"/>
      <c r="C4" s="2840"/>
      <c r="D4" s="2840"/>
      <c r="E4" s="2841"/>
      <c r="F4" s="2842"/>
      <c r="G4" s="2843"/>
      <c r="H4" s="2844"/>
      <c r="I4" s="2845"/>
      <c r="J4" s="3687" t="s">
        <v>2332</v>
      </c>
      <c r="K4" s="3688"/>
      <c r="L4" s="2857"/>
      <c r="M4" s="2857"/>
      <c r="N4" s="2857"/>
      <c r="O4" s="2857"/>
      <c r="P4" s="2857"/>
      <c r="Q4" s="2858"/>
      <c r="R4" s="2859">
        <f>SUM(L4:Q4)</f>
        <v>0</v>
      </c>
      <c r="S4" s="2837"/>
      <c r="T4" s="2837"/>
      <c r="U4" s="2837"/>
      <c r="V4" s="2845"/>
    </row>
    <row r="5" spans="1:22" s="2849" customFormat="1" ht="13.2" customHeight="1" thickBot="1">
      <c r="A5" s="2860" t="s">
        <v>2333</v>
      </c>
      <c r="B5" s="2861"/>
      <c r="C5" s="2840"/>
      <c r="D5" s="2862"/>
      <c r="E5" s="2842"/>
      <c r="F5" s="2842"/>
      <c r="G5" s="2843"/>
      <c r="H5" s="2844"/>
      <c r="I5" s="2845"/>
      <c r="J5" s="2863" t="s">
        <v>2334</v>
      </c>
      <c r="K5" s="2864"/>
      <c r="L5" s="2864"/>
      <c r="M5" s="2865"/>
      <c r="N5" s="2865"/>
      <c r="O5" s="2865"/>
      <c r="P5" s="2865"/>
      <c r="Q5" s="2865"/>
      <c r="R5" s="2848">
        <f>SUM(R14,R19,R24,R25,R27,R28)</f>
        <v>0</v>
      </c>
      <c r="S5" s="2837"/>
      <c r="T5" s="2837" t="s">
        <v>2335</v>
      </c>
      <c r="U5" s="2837" t="e">
        <f>ROUND(R5*10000/365/R3,1)</f>
        <v>#DIV/0!</v>
      </c>
      <c r="V5" s="2845"/>
    </row>
    <row r="6" spans="1:22" s="2849" customFormat="1" ht="13.2" customHeight="1" thickBot="1">
      <c r="A6" s="3689" t="s">
        <v>2336</v>
      </c>
      <c r="B6" s="3690"/>
      <c r="C6" s="3691"/>
      <c r="D6" s="2866"/>
      <c r="E6" s="2867"/>
      <c r="F6" s="2868"/>
      <c r="G6" s="2869"/>
      <c r="H6" s="2844"/>
      <c r="I6" s="2845"/>
      <c r="J6" s="3692">
        <v>1</v>
      </c>
      <c r="K6" s="3693" t="s">
        <v>2337</v>
      </c>
      <c r="L6" s="2870" t="s">
        <v>2338</v>
      </c>
      <c r="M6" s="2871" t="s">
        <v>2339</v>
      </c>
      <c r="N6" s="2871" t="s">
        <v>2340</v>
      </c>
      <c r="O6" s="2871" t="s">
        <v>2341</v>
      </c>
      <c r="P6" s="2871" t="s">
        <v>2342</v>
      </c>
      <c r="Q6" s="2871" t="s">
        <v>2343</v>
      </c>
      <c r="R6" s="2854" t="s">
        <v>2344</v>
      </c>
      <c r="S6" s="2837"/>
      <c r="T6" s="2837" t="s">
        <v>2345</v>
      </c>
      <c r="U6" s="2837"/>
      <c r="V6" s="2845"/>
    </row>
    <row r="7" spans="1:22" s="2849" customFormat="1" ht="13.2" customHeight="1">
      <c r="A7" s="2872" t="s">
        <v>2346</v>
      </c>
      <c r="B7" s="2873"/>
      <c r="C7" s="2874"/>
      <c r="D7" s="2875">
        <f>SUM(D9,D10,D11,D17,0)</f>
        <v>0</v>
      </c>
      <c r="E7" s="2876" t="e">
        <f>E9+E10+E11+E17</f>
        <v>#DIV/0!</v>
      </c>
      <c r="F7" s="2877"/>
      <c r="G7" s="2878"/>
      <c r="H7" s="2844"/>
      <c r="I7" s="2845"/>
      <c r="J7" s="3692"/>
      <c r="K7" s="3694"/>
      <c r="L7" s="2879" t="s">
        <v>2347</v>
      </c>
      <c r="M7" s="2880"/>
      <c r="N7" s="2856"/>
      <c r="O7" s="2881"/>
      <c r="P7" s="2881"/>
      <c r="Q7" s="2882">
        <v>365</v>
      </c>
      <c r="R7" s="2883">
        <f>ROUND(M7*N7*O7*P7*Q7/10000,0)</f>
        <v>0</v>
      </c>
      <c r="S7" s="2837"/>
      <c r="T7" s="2837" t="s">
        <v>2348</v>
      </c>
      <c r="U7" s="2837"/>
      <c r="V7" s="2845"/>
    </row>
    <row r="8" spans="1:22" s="2849" customFormat="1" ht="13.2" customHeight="1">
      <c r="A8" s="2884" t="s">
        <v>2349</v>
      </c>
      <c r="B8" s="3696" t="s">
        <v>2350</v>
      </c>
      <c r="C8" s="3697"/>
      <c r="D8" s="2885" t="s">
        <v>2351</v>
      </c>
      <c r="E8" s="2886" t="s">
        <v>2352</v>
      </c>
      <c r="F8" s="2887" t="s">
        <v>2353</v>
      </c>
      <c r="G8" s="2888"/>
      <c r="H8" s="2844"/>
      <c r="I8" s="2845"/>
      <c r="J8" s="3692"/>
      <c r="K8" s="3694"/>
      <c r="L8" s="2879" t="s">
        <v>2354</v>
      </c>
      <c r="M8" s="2880"/>
      <c r="N8" s="2856"/>
      <c r="O8" s="2881"/>
      <c r="P8" s="2881"/>
      <c r="Q8" s="2882">
        <v>365</v>
      </c>
      <c r="R8" s="2883">
        <f t="shared" ref="R8:R13" si="0">ROUND(M8*N8*O8*P8*Q8/10000,0)</f>
        <v>0</v>
      </c>
      <c r="S8" s="2837"/>
      <c r="T8" s="2837" t="s">
        <v>2355</v>
      </c>
      <c r="U8" s="2837"/>
      <c r="V8" s="2845"/>
    </row>
    <row r="9" spans="1:22" s="2849" customFormat="1" ht="13.2" customHeight="1">
      <c r="A9" s="2884">
        <v>1</v>
      </c>
      <c r="B9" s="3696" t="s">
        <v>2356</v>
      </c>
      <c r="C9" s="3697"/>
      <c r="D9" s="2885">
        <f>ROUND(D6*E9,0)</f>
        <v>0</v>
      </c>
      <c r="E9" s="2889"/>
      <c r="F9" s="2890" t="s">
        <v>2357</v>
      </c>
      <c r="G9" s="2869"/>
      <c r="H9" s="2844"/>
      <c r="I9" s="2845"/>
      <c r="J9" s="3692"/>
      <c r="K9" s="3694"/>
      <c r="L9" s="2879" t="s">
        <v>2358</v>
      </c>
      <c r="M9" s="2880"/>
      <c r="N9" s="2856"/>
      <c r="O9" s="2881"/>
      <c r="P9" s="2881"/>
      <c r="Q9" s="2882">
        <v>365</v>
      </c>
      <c r="R9" s="2883">
        <f t="shared" si="0"/>
        <v>0</v>
      </c>
      <c r="S9" s="2837"/>
      <c r="T9" s="2837"/>
      <c r="U9" s="2837"/>
      <c r="V9" s="2845"/>
    </row>
    <row r="10" spans="1:22" s="2849" customFormat="1" ht="13.2" customHeight="1">
      <c r="A10" s="2884">
        <v>2</v>
      </c>
      <c r="B10" s="3696" t="s">
        <v>2359</v>
      </c>
      <c r="C10" s="3697"/>
      <c r="D10" s="2885">
        <f>ROUND(D6*E10,0)</f>
        <v>0</v>
      </c>
      <c r="E10" s="2889"/>
      <c r="F10" s="2890" t="s">
        <v>2360</v>
      </c>
      <c r="G10" s="2869"/>
      <c r="H10" s="2844"/>
      <c r="I10" s="2845"/>
      <c r="J10" s="3692"/>
      <c r="K10" s="3694"/>
      <c r="L10" s="2879" t="s">
        <v>2361</v>
      </c>
      <c r="M10" s="2880"/>
      <c r="N10" s="2856"/>
      <c r="O10" s="2881"/>
      <c r="P10" s="2881"/>
      <c r="Q10" s="2882">
        <v>365</v>
      </c>
      <c r="R10" s="2883">
        <f t="shared" si="0"/>
        <v>0</v>
      </c>
      <c r="S10" s="2837"/>
      <c r="T10" s="2837"/>
      <c r="U10" s="2837"/>
      <c r="V10" s="2845"/>
    </row>
    <row r="11" spans="1:22" s="2849" customFormat="1" ht="13.2" customHeight="1">
      <c r="A11" s="2884">
        <v>3</v>
      </c>
      <c r="B11" s="3696" t="s">
        <v>2362</v>
      </c>
      <c r="C11" s="3697"/>
      <c r="D11" s="2885">
        <f>D12+D14+D15+D16</f>
        <v>0</v>
      </c>
      <c r="E11" s="2891" t="e">
        <f>D11/D6</f>
        <v>#DIV/0!</v>
      </c>
      <c r="F11" s="2887"/>
      <c r="G11" s="2888"/>
      <c r="H11" s="2844"/>
      <c r="I11" s="2845"/>
      <c r="J11" s="3692"/>
      <c r="K11" s="3694"/>
      <c r="L11" s="2879" t="s">
        <v>2363</v>
      </c>
      <c r="M11" s="2880"/>
      <c r="N11" s="2856"/>
      <c r="O11" s="2881"/>
      <c r="P11" s="2881"/>
      <c r="Q11" s="2882">
        <v>365</v>
      </c>
      <c r="R11" s="2883">
        <f t="shared" si="0"/>
        <v>0</v>
      </c>
      <c r="S11" s="2837"/>
      <c r="T11" s="2837"/>
      <c r="U11" s="2837"/>
      <c r="V11" s="2845"/>
    </row>
    <row r="12" spans="1:22" s="2849" customFormat="1" ht="13.2" customHeight="1">
      <c r="A12" s="2892" t="s">
        <v>2364</v>
      </c>
      <c r="B12" s="3698" t="s">
        <v>2365</v>
      </c>
      <c r="C12" s="3699"/>
      <c r="D12" s="2893">
        <f>ROUND(D13*1.2%*(1-30%),0)</f>
        <v>0</v>
      </c>
      <c r="E12" s="2894">
        <v>1.2E-2</v>
      </c>
      <c r="F12" s="2887" t="s">
        <v>2366</v>
      </c>
      <c r="G12" s="2888"/>
      <c r="H12" s="2844"/>
      <c r="I12" s="2845"/>
      <c r="J12" s="3692"/>
      <c r="K12" s="3694"/>
      <c r="L12" s="2879" t="s">
        <v>2367</v>
      </c>
      <c r="M12" s="2880"/>
      <c r="N12" s="2856"/>
      <c r="O12" s="2881"/>
      <c r="P12" s="2881"/>
      <c r="Q12" s="2882">
        <v>365</v>
      </c>
      <c r="R12" s="2883">
        <f t="shared" si="0"/>
        <v>0</v>
      </c>
      <c r="S12" s="2837"/>
      <c r="T12" s="2837"/>
      <c r="U12" s="2837"/>
      <c r="V12" s="2845"/>
    </row>
    <row r="13" spans="1:22" s="2849" customFormat="1" ht="13.2" customHeight="1">
      <c r="A13" s="2892"/>
      <c r="B13" s="2895"/>
      <c r="C13" s="2896" t="s">
        <v>2368</v>
      </c>
      <c r="D13" s="2897"/>
      <c r="E13" s="2898"/>
      <c r="F13" s="2887"/>
      <c r="G13" s="2888"/>
      <c r="H13" s="2844"/>
      <c r="I13" s="2845"/>
      <c r="J13" s="3692"/>
      <c r="K13" s="3694"/>
      <c r="L13" s="2879" t="s">
        <v>2369</v>
      </c>
      <c r="M13" s="2880"/>
      <c r="N13" s="2856"/>
      <c r="O13" s="2881"/>
      <c r="P13" s="2881"/>
      <c r="Q13" s="2882">
        <v>365</v>
      </c>
      <c r="R13" s="2883">
        <f t="shared" si="0"/>
        <v>0</v>
      </c>
      <c r="S13" s="2837"/>
      <c r="T13" s="2837"/>
      <c r="U13" s="2837"/>
      <c r="V13" s="2845"/>
    </row>
    <row r="14" spans="1:22" s="2849" customFormat="1" ht="13.2" customHeight="1">
      <c r="A14" s="2892" t="s">
        <v>2370</v>
      </c>
      <c r="B14" s="3698" t="s">
        <v>2371</v>
      </c>
      <c r="C14" s="3699"/>
      <c r="D14" s="2893">
        <f>ROUND(E14*B5/10000,0)</f>
        <v>0</v>
      </c>
      <c r="E14" s="2882"/>
      <c r="F14" s="2887" t="s">
        <v>2372</v>
      </c>
      <c r="G14" s="2888"/>
      <c r="H14" s="2844"/>
      <c r="I14" s="2845"/>
      <c r="J14" s="3692"/>
      <c r="K14" s="3695"/>
      <c r="L14" s="2899" t="s">
        <v>2373</v>
      </c>
      <c r="M14" s="2900">
        <f>SUM(M7:M13)</f>
        <v>0</v>
      </c>
      <c r="N14" s="2900" t="e">
        <f>ROUND((N7*M7+N8*M8+N9*M9+N10*M10+N11*M11+N12*M12+N13*M13)/M14,0)</f>
        <v>#DIV/0!</v>
      </c>
      <c r="O14" s="2901"/>
      <c r="P14" s="2901"/>
      <c r="Q14" s="2902"/>
      <c r="R14" s="2848">
        <f>SUM(R7:R13)</f>
        <v>0</v>
      </c>
      <c r="S14" s="2837"/>
      <c r="T14" s="2837"/>
      <c r="U14" s="2837"/>
      <c r="V14" s="2845"/>
    </row>
    <row r="15" spans="1:22" s="2849" customFormat="1" ht="13.2" customHeight="1">
      <c r="A15" s="2892" t="s">
        <v>2374</v>
      </c>
      <c r="B15" s="3698" t="s">
        <v>2375</v>
      </c>
      <c r="C15" s="3699"/>
      <c r="D15" s="2893">
        <f>ROUND(D6*E15,0)</f>
        <v>0</v>
      </c>
      <c r="E15" s="2894">
        <v>5.5E-2</v>
      </c>
      <c r="F15" s="2887" t="s">
        <v>2376</v>
      </c>
      <c r="G15" s="2869"/>
      <c r="H15" s="2844"/>
      <c r="I15" s="2845"/>
      <c r="J15" s="3692">
        <v>2</v>
      </c>
      <c r="K15" s="3693" t="s">
        <v>2377</v>
      </c>
      <c r="L15" s="2879" t="s">
        <v>2378</v>
      </c>
      <c r="M15" s="2880" t="s">
        <v>2379</v>
      </c>
      <c r="N15" s="2880" t="s">
        <v>2380</v>
      </c>
      <c r="O15" s="2881" t="s">
        <v>2381</v>
      </c>
      <c r="P15" s="2881" t="s">
        <v>2343</v>
      </c>
      <c r="Q15" s="2856" t="s">
        <v>2382</v>
      </c>
      <c r="R15" s="2903" t="s">
        <v>2344</v>
      </c>
      <c r="S15" s="2837"/>
      <c r="T15" s="2837"/>
      <c r="U15" s="2837"/>
      <c r="V15" s="2845"/>
    </row>
    <row r="16" spans="1:22" s="2849" customFormat="1" ht="13.2" customHeight="1">
      <c r="A16" s="2892" t="s">
        <v>2383</v>
      </c>
      <c r="B16" s="3698" t="s">
        <v>2384</v>
      </c>
      <c r="C16" s="3699"/>
      <c r="D16" s="2904">
        <f>D6*E16</f>
        <v>0</v>
      </c>
      <c r="E16" s="2905"/>
      <c r="F16" s="2890" t="s">
        <v>2385</v>
      </c>
      <c r="G16" s="2869"/>
      <c r="H16" s="2844"/>
      <c r="I16" s="2845"/>
      <c r="J16" s="3692"/>
      <c r="K16" s="3694"/>
      <c r="L16" s="2879" t="s">
        <v>2386</v>
      </c>
      <c r="M16" s="2880"/>
      <c r="N16" s="2880"/>
      <c r="O16" s="2881"/>
      <c r="P16" s="2882">
        <v>365</v>
      </c>
      <c r="Q16" s="2856"/>
      <c r="R16" s="2903">
        <f>ROUND(M16*N16*O16*P16/10000,0)</f>
        <v>0</v>
      </c>
      <c r="S16" s="2837"/>
      <c r="T16" s="2837"/>
      <c r="U16" s="2837"/>
      <c r="V16" s="2845"/>
    </row>
    <row r="17" spans="1:22" s="2849" customFormat="1" ht="13.2" customHeight="1" thickBot="1">
      <c r="A17" s="2906">
        <v>4</v>
      </c>
      <c r="B17" s="3700" t="s">
        <v>2387</v>
      </c>
      <c r="C17" s="3701"/>
      <c r="D17" s="2907">
        <f>ROUND(D6*E17,0)</f>
        <v>0</v>
      </c>
      <c r="E17" s="2908"/>
      <c r="F17" s="2909" t="s">
        <v>2388</v>
      </c>
      <c r="G17" s="2869"/>
      <c r="H17" s="2844"/>
      <c r="I17" s="2845"/>
      <c r="J17" s="3692"/>
      <c r="K17" s="3694"/>
      <c r="L17" s="2879" t="s">
        <v>2389</v>
      </c>
      <c r="M17" s="2880"/>
      <c r="N17" s="2880"/>
      <c r="O17" s="2881"/>
      <c r="P17" s="2882">
        <v>365</v>
      </c>
      <c r="Q17" s="2856"/>
      <c r="R17" s="2903">
        <f>ROUND(M17*N17*O17*P17/10000,0)</f>
        <v>0</v>
      </c>
      <c r="S17" s="2837"/>
      <c r="T17" s="2837"/>
      <c r="U17" s="2837"/>
      <c r="V17" s="2845"/>
    </row>
    <row r="18" spans="1:22" s="2849" customFormat="1" ht="13.2" customHeight="1" thickBot="1">
      <c r="A18" s="2872" t="s">
        <v>2390</v>
      </c>
      <c r="B18" s="2873"/>
      <c r="C18" s="2873"/>
      <c r="D18" s="2910">
        <f>ROUND(D6*E18,0)</f>
        <v>0</v>
      </c>
      <c r="E18" s="2911"/>
      <c r="F18" s="2912" t="s">
        <v>2391</v>
      </c>
      <c r="G18" s="2869"/>
      <c r="H18" s="2844"/>
      <c r="I18" s="2845"/>
      <c r="J18" s="3692"/>
      <c r="K18" s="3694"/>
      <c r="L18" s="2879" t="s">
        <v>2392</v>
      </c>
      <c r="M18" s="2880"/>
      <c r="N18" s="2880"/>
      <c r="O18" s="2881"/>
      <c r="P18" s="2882">
        <v>365</v>
      </c>
      <c r="Q18" s="2856"/>
      <c r="R18" s="2903">
        <f>ROUND(M18*N18*O18*P18/10000,0)</f>
        <v>0</v>
      </c>
      <c r="S18" s="2837"/>
      <c r="T18" s="2837"/>
      <c r="U18" s="2837"/>
      <c r="V18" s="2845"/>
    </row>
    <row r="19" spans="1:22" s="2849" customFormat="1" ht="13.2" customHeight="1" thickBot="1">
      <c r="A19" s="2913" t="s">
        <v>2393</v>
      </c>
      <c r="B19" s="2867"/>
      <c r="C19" s="2867"/>
      <c r="D19" s="2867"/>
      <c r="E19" s="2867"/>
      <c r="F19" s="2868"/>
      <c r="G19" s="2888"/>
      <c r="H19" s="2844"/>
      <c r="I19" s="2845"/>
      <c r="J19" s="3692"/>
      <c r="K19" s="3695"/>
      <c r="L19" s="2899" t="s">
        <v>2373</v>
      </c>
      <c r="M19" s="2900"/>
      <c r="N19" s="2900">
        <f>SUM(N16:N18)</f>
        <v>0</v>
      </c>
      <c r="O19" s="2901"/>
      <c r="P19" s="2914" t="s">
        <v>2437</v>
      </c>
      <c r="Q19" s="2881">
        <v>0</v>
      </c>
      <c r="R19" s="2915">
        <f>ROUND(IF(P19="按比例",R14*Q19,SUM(R16:R18)),0)</f>
        <v>0</v>
      </c>
      <c r="S19" s="2837"/>
      <c r="T19" s="2837"/>
      <c r="U19" s="2837"/>
      <c r="V19" s="2845"/>
    </row>
    <row r="20" spans="1:22" s="2849" customFormat="1" ht="13.2" customHeight="1">
      <c r="A20" s="2872"/>
      <c r="B20" s="2873"/>
      <c r="C20" s="2873"/>
      <c r="D20" s="2873"/>
      <c r="E20" s="2873"/>
      <c r="F20" s="2916"/>
      <c r="G20" s="2888"/>
      <c r="H20" s="2844"/>
      <c r="I20" s="2845"/>
      <c r="J20" s="3692">
        <v>3</v>
      </c>
      <c r="K20" s="3693" t="s">
        <v>2394</v>
      </c>
      <c r="L20" s="2879" t="s">
        <v>2395</v>
      </c>
      <c r="M20" s="2880" t="s">
        <v>2396</v>
      </c>
      <c r="N20" s="2917" t="s">
        <v>2397</v>
      </c>
      <c r="O20" s="2881" t="s">
        <v>2398</v>
      </c>
      <c r="P20" s="2882" t="s">
        <v>2399</v>
      </c>
      <c r="Q20" s="2856" t="s">
        <v>2400</v>
      </c>
      <c r="R20" s="2903" t="s">
        <v>2401</v>
      </c>
      <c r="S20" s="2918"/>
      <c r="T20" s="2918"/>
      <c r="U20" s="2918"/>
      <c r="V20" s="2845"/>
    </row>
    <row r="21" spans="1:22" s="2849" customFormat="1" ht="13.2" customHeight="1">
      <c r="A21" s="2872"/>
      <c r="B21" s="2873"/>
      <c r="C21" s="2919" t="s">
        <v>2402</v>
      </c>
      <c r="D21" s="2920" t="s">
        <v>2403</v>
      </c>
      <c r="E21" s="2921" t="s">
        <v>2404</v>
      </c>
      <c r="F21" s="2916"/>
      <c r="G21" s="2888"/>
      <c r="H21" s="2844"/>
      <c r="I21" s="2845"/>
      <c r="J21" s="3692"/>
      <c r="K21" s="3694"/>
      <c r="L21" s="2879" t="s">
        <v>2405</v>
      </c>
      <c r="M21" s="2880"/>
      <c r="N21" s="2880"/>
      <c r="O21" s="2881"/>
      <c r="P21" s="2882">
        <v>365</v>
      </c>
      <c r="Q21" s="2856"/>
      <c r="R21" s="2922">
        <f>ROUND(M21*N21*O21*P21/10000,0)</f>
        <v>0</v>
      </c>
      <c r="S21" s="2918"/>
      <c r="T21" s="2918"/>
      <c r="U21" s="2918"/>
      <c r="V21" s="2845"/>
    </row>
    <row r="22" spans="1:22" s="2849" customFormat="1" ht="13.2" customHeight="1">
      <c r="A22" s="2872"/>
      <c r="B22" s="2873"/>
      <c r="C22" s="2923" t="s">
        <v>2406</v>
      </c>
      <c r="D22" s="2924" t="s">
        <v>2407</v>
      </c>
      <c r="E22" s="2925" t="s">
        <v>2408</v>
      </c>
      <c r="F22" s="2916"/>
      <c r="G22" s="2926"/>
      <c r="H22" s="2844"/>
      <c r="I22" s="2845"/>
      <c r="J22" s="3692"/>
      <c r="K22" s="3694"/>
      <c r="L22" s="2879" t="s">
        <v>2409</v>
      </c>
      <c r="M22" s="2880"/>
      <c r="N22" s="2880"/>
      <c r="O22" s="2881"/>
      <c r="P22" s="2882">
        <v>365</v>
      </c>
      <c r="Q22" s="2856"/>
      <c r="R22" s="2922">
        <f>ROUND(M22*N22*O22*P22/10000,0)</f>
        <v>0</v>
      </c>
      <c r="S22" s="2918"/>
      <c r="T22" s="2918"/>
      <c r="U22" s="2918"/>
      <c r="V22" s="2845"/>
    </row>
    <row r="23" spans="1:22" s="2849" customFormat="1" ht="13.2" customHeight="1">
      <c r="A23" s="2927">
        <v>1</v>
      </c>
      <c r="B23" s="2928" t="s">
        <v>2410</v>
      </c>
      <c r="C23" s="2929">
        <f>D6</f>
        <v>0</v>
      </c>
      <c r="D23" s="2930">
        <f>C23*(1+D24)</f>
        <v>0</v>
      </c>
      <c r="E23" s="2931">
        <f>D23*(1+E24)</f>
        <v>0</v>
      </c>
      <c r="F23" s="2932"/>
      <c r="G23" s="2933"/>
      <c r="H23" s="2844"/>
      <c r="I23" s="2845"/>
      <c r="J23" s="3692"/>
      <c r="K23" s="3694"/>
      <c r="L23" s="2879" t="s">
        <v>2411</v>
      </c>
      <c r="M23" s="2880"/>
      <c r="N23" s="2880"/>
      <c r="O23" s="2881"/>
      <c r="P23" s="2882">
        <v>365</v>
      </c>
      <c r="Q23" s="2856"/>
      <c r="R23" s="2922">
        <f>ROUND(M23*N23*O23*P23/10000,0)</f>
        <v>0</v>
      </c>
      <c r="S23" s="2837"/>
      <c r="T23" s="2837"/>
      <c r="U23" s="2837"/>
      <c r="V23" s="2845"/>
    </row>
    <row r="24" spans="1:22" s="2849" customFormat="1" ht="13.2" customHeight="1">
      <c r="A24" s="2934"/>
      <c r="B24" s="2935" t="s">
        <v>2412</v>
      </c>
      <c r="C24" s="2936"/>
      <c r="D24" s="2937"/>
      <c r="E24" s="2938"/>
      <c r="F24" s="2939"/>
      <c r="G24" s="2933"/>
      <c r="H24" s="2844"/>
      <c r="I24" s="2845"/>
      <c r="J24" s="3692"/>
      <c r="K24" s="3695"/>
      <c r="L24" s="2899" t="s">
        <v>2373</v>
      </c>
      <c r="M24" s="2900">
        <f>SUM(M21:M23)</f>
        <v>0</v>
      </c>
      <c r="N24" s="2900"/>
      <c r="O24" s="2901"/>
      <c r="P24" s="2914" t="s">
        <v>2437</v>
      </c>
      <c r="Q24" s="2881">
        <v>0</v>
      </c>
      <c r="R24" s="2915">
        <f>ROUND(IF(P24="按比例",R14*Q24,SUM(R21:R23)),0)</f>
        <v>0</v>
      </c>
      <c r="S24" s="2837"/>
      <c r="T24" s="2837"/>
      <c r="U24" s="2837"/>
      <c r="V24" s="2845"/>
    </row>
    <row r="25" spans="1:22" s="2946" customFormat="1" ht="13.2" customHeight="1">
      <c r="A25" s="2934"/>
      <c r="B25" s="2935"/>
      <c r="C25" s="2936"/>
      <c r="D25" s="2937"/>
      <c r="E25" s="2938"/>
      <c r="F25" s="2939"/>
      <c r="G25" s="2926"/>
      <c r="H25" s="2844"/>
      <c r="I25" s="2845"/>
      <c r="J25" s="2940">
        <v>4</v>
      </c>
      <c r="K25" s="2941" t="s">
        <v>2413</v>
      </c>
      <c r="L25" s="2942"/>
      <c r="M25" s="2942"/>
      <c r="N25" s="2942"/>
      <c r="O25" s="2942"/>
      <c r="P25" s="2943"/>
      <c r="Q25" s="2944">
        <v>0</v>
      </c>
      <c r="R25" s="2915">
        <f>ROUND(R14*Q25,0)</f>
        <v>0</v>
      </c>
      <c r="S25" s="2837"/>
      <c r="T25" s="2837"/>
      <c r="U25" s="2837"/>
      <c r="V25" s="2945"/>
    </row>
    <row r="26" spans="1:22" s="2946" customFormat="1" ht="13.2" customHeight="1">
      <c r="A26" s="2927">
        <v>2</v>
      </c>
      <c r="B26" s="2928" t="s">
        <v>2414</v>
      </c>
      <c r="C26" s="2929">
        <f>D7</f>
        <v>0</v>
      </c>
      <c r="D26" s="2930">
        <f>D23*D27</f>
        <v>0</v>
      </c>
      <c r="E26" s="2931">
        <f>E23*E27</f>
        <v>0</v>
      </c>
      <c r="F26" s="2932"/>
      <c r="G26" s="2933"/>
      <c r="H26" s="2844"/>
      <c r="I26" s="2845"/>
      <c r="J26" s="3702">
        <v>5</v>
      </c>
      <c r="K26" s="2947" t="s">
        <v>2415</v>
      </c>
      <c r="L26" s="2948"/>
      <c r="M26" s="2949"/>
      <c r="N26" s="2950" t="s">
        <v>2416</v>
      </c>
      <c r="O26" s="2950" t="s">
        <v>2417</v>
      </c>
      <c r="P26" s="2951" t="s">
        <v>2418</v>
      </c>
      <c r="Q26" s="2951" t="s">
        <v>2419</v>
      </c>
      <c r="R26" s="2854" t="s">
        <v>2344</v>
      </c>
      <c r="S26" s="2952"/>
      <c r="T26" s="2952"/>
      <c r="U26" s="2952"/>
      <c r="V26" s="2945"/>
    </row>
    <row r="27" spans="1:22" s="2849" customFormat="1" ht="13.2" customHeight="1">
      <c r="A27" s="2934"/>
      <c r="B27" s="2935" t="s">
        <v>2420</v>
      </c>
      <c r="C27" s="2953" t="e">
        <f>E7</f>
        <v>#DIV/0!</v>
      </c>
      <c r="D27" s="2937"/>
      <c r="E27" s="2938"/>
      <c r="F27" s="2939"/>
      <c r="G27" s="2933"/>
      <c r="H27" s="2954"/>
      <c r="I27" s="2945"/>
      <c r="J27" s="3703"/>
      <c r="K27" s="2955"/>
      <c r="L27" s="2956"/>
      <c r="M27" s="2957"/>
      <c r="N27" s="2958"/>
      <c r="O27" s="2958"/>
      <c r="P27" s="2958"/>
      <c r="Q27" s="2959"/>
      <c r="R27" s="2915">
        <f>ROUND(O27*N27*P27*(1-Q27)/10000,0)</f>
        <v>0</v>
      </c>
      <c r="S27" s="2837"/>
      <c r="T27" s="2837"/>
      <c r="U27" s="2837"/>
      <c r="V27" s="2845"/>
    </row>
    <row r="28" spans="1:22" s="2946" customFormat="1" ht="13.2" customHeight="1" thickBot="1">
      <c r="A28" s="2934"/>
      <c r="B28" s="2935"/>
      <c r="C28" s="2953"/>
      <c r="D28" s="2937"/>
      <c r="E28" s="2938" t="s">
        <v>2421</v>
      </c>
      <c r="F28" s="2939"/>
      <c r="G28" s="2926"/>
      <c r="H28" s="2954"/>
      <c r="I28" s="2945"/>
      <c r="J28" s="2960">
        <v>6</v>
      </c>
      <c r="K28" s="2961" t="s">
        <v>2422</v>
      </c>
      <c r="L28" s="2962" t="s">
        <v>2423</v>
      </c>
      <c r="M28" s="2963"/>
      <c r="N28" s="2962" t="s">
        <v>2424</v>
      </c>
      <c r="O28" s="2964"/>
      <c r="P28" s="2962" t="s">
        <v>2425</v>
      </c>
      <c r="Q28" s="2965">
        <v>1.4999999999999999E-2</v>
      </c>
      <c r="R28" s="2966"/>
      <c r="S28" s="2918"/>
      <c r="T28" s="2918"/>
      <c r="U28" s="2918"/>
      <c r="V28" s="2945"/>
    </row>
    <row r="29" spans="1:22" s="2946" customFormat="1" ht="13.2" customHeight="1">
      <c r="A29" s="2927">
        <v>3</v>
      </c>
      <c r="B29" s="2928" t="s">
        <v>2426</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2" customHeight="1" thickBot="1">
      <c r="A30" s="2934"/>
      <c r="B30" s="2935" t="s">
        <v>2420</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2" customHeight="1">
      <c r="A31" s="2934"/>
      <c r="B31" s="2935"/>
      <c r="C31" s="2968"/>
      <c r="D31" s="2967"/>
      <c r="E31" s="2898"/>
      <c r="F31" s="2939"/>
      <c r="G31" s="2926"/>
      <c r="H31" s="2954"/>
      <c r="I31" s="2945"/>
      <c r="J31" s="2834" t="s">
        <v>2427</v>
      </c>
      <c r="K31" s="2835"/>
      <c r="L31" s="2835"/>
      <c r="M31" s="2835"/>
      <c r="N31" s="2835"/>
      <c r="O31" s="2835"/>
      <c r="P31" s="2835"/>
      <c r="Q31" s="2835"/>
      <c r="R31" s="2836"/>
      <c r="S31" s="2918"/>
      <c r="T31" s="2837"/>
      <c r="U31" s="2837"/>
      <c r="V31" s="2945"/>
    </row>
    <row r="32" spans="1:22" s="2946" customFormat="1" ht="13.2" customHeight="1">
      <c r="A32" s="2927">
        <v>4</v>
      </c>
      <c r="B32" s="2928" t="s">
        <v>2428</v>
      </c>
      <c r="C32" s="2929">
        <f>C23-C26-C29</f>
        <v>0</v>
      </c>
      <c r="D32" s="2930">
        <f>D23-D26-D29</f>
        <v>0</v>
      </c>
      <c r="E32" s="2931">
        <f>E23-E26-E29</f>
        <v>0</v>
      </c>
      <c r="F32" s="2932"/>
      <c r="G32" s="2926"/>
      <c r="H32" s="2844"/>
      <c r="I32" s="2845"/>
      <c r="J32" s="3685" t="s">
        <v>2320</v>
      </c>
      <c r="K32" s="3686"/>
      <c r="L32" s="2846" t="s">
        <v>2321</v>
      </c>
      <c r="M32" s="2846" t="s">
        <v>2322</v>
      </c>
      <c r="N32" s="2846" t="s">
        <v>2323</v>
      </c>
      <c r="O32" s="2846" t="s">
        <v>2324</v>
      </c>
      <c r="P32" s="2846" t="s">
        <v>2325</v>
      </c>
      <c r="Q32" s="2847" t="s">
        <v>2326</v>
      </c>
      <c r="R32" s="2969" t="s">
        <v>2327</v>
      </c>
      <c r="S32" s="2918"/>
      <c r="T32" s="2837"/>
      <c r="U32" s="2837"/>
      <c r="V32" s="2945"/>
    </row>
    <row r="33" spans="1:23" s="2849" customFormat="1" ht="13.2" customHeight="1">
      <c r="A33" s="2927"/>
      <c r="B33" s="2928"/>
      <c r="C33" s="2929"/>
      <c r="D33" s="2970"/>
      <c r="E33" s="2971"/>
      <c r="F33" s="2932"/>
      <c r="G33" s="2926"/>
      <c r="H33" s="2954"/>
      <c r="I33" s="2945"/>
      <c r="J33" s="3687" t="s">
        <v>2330</v>
      </c>
      <c r="K33" s="3688"/>
      <c r="L33" s="2852"/>
      <c r="M33" s="2852"/>
      <c r="N33" s="2852"/>
      <c r="O33" s="2852"/>
      <c r="P33" s="2852"/>
      <c r="Q33" s="2853"/>
      <c r="R33" s="2972">
        <f>SUM(L33:Q33)</f>
        <v>0</v>
      </c>
      <c r="S33" s="2918"/>
      <c r="T33" s="2837"/>
      <c r="U33" s="2837"/>
      <c r="V33" s="2845"/>
    </row>
    <row r="34" spans="1:23" s="2849" customFormat="1" ht="13.2" customHeight="1">
      <c r="A34" s="2927">
        <v>5</v>
      </c>
      <c r="B34" s="2928" t="s">
        <v>2429</v>
      </c>
      <c r="C34" s="2973"/>
      <c r="D34" s="2974"/>
      <c r="E34" s="2975"/>
      <c r="F34" s="2932"/>
      <c r="G34" s="2926"/>
      <c r="H34" s="2954"/>
      <c r="I34" s="2945"/>
      <c r="J34" s="3687" t="s">
        <v>2332</v>
      </c>
      <c r="K34" s="3688"/>
      <c r="L34" s="2857"/>
      <c r="M34" s="2857"/>
      <c r="N34" s="2857"/>
      <c r="O34" s="2857"/>
      <c r="P34" s="2857"/>
      <c r="Q34" s="2858"/>
      <c r="R34" s="2976">
        <f>SUM(L34:Q34)</f>
        <v>0</v>
      </c>
      <c r="S34" s="2918"/>
      <c r="T34" s="2837"/>
      <c r="U34" s="2837" t="e">
        <f>ROUND(R35*10000/365/R33,1)</f>
        <v>#DIV/0!</v>
      </c>
      <c r="V34" s="2845"/>
    </row>
    <row r="35" spans="1:23" s="2849" customFormat="1" ht="13.2" customHeight="1">
      <c r="A35" s="2927">
        <v>6</v>
      </c>
      <c r="B35" s="2928" t="s">
        <v>2430</v>
      </c>
      <c r="C35" s="2977"/>
      <c r="D35" s="2978"/>
      <c r="E35" s="2979"/>
      <c r="F35" s="2932"/>
      <c r="G35" s="2980"/>
      <c r="H35" s="2844"/>
      <c r="I35" s="2945"/>
      <c r="J35" s="2863" t="s">
        <v>2334</v>
      </c>
      <c r="K35" s="2864"/>
      <c r="L35" s="2864"/>
      <c r="M35" s="2865"/>
      <c r="N35" s="2865"/>
      <c r="O35" s="2865"/>
      <c r="P35" s="2865"/>
      <c r="Q35" s="2865"/>
      <c r="R35" s="2981">
        <f>R40+R41+R43</f>
        <v>0</v>
      </c>
      <c r="S35" s="2918"/>
      <c r="T35" s="2837" t="s">
        <v>2335</v>
      </c>
      <c r="U35" s="2837"/>
      <c r="V35" s="2845"/>
    </row>
    <row r="36" spans="1:23" s="2849" customFormat="1" ht="13.2" customHeight="1" thickBot="1">
      <c r="A36" s="2927">
        <v>7</v>
      </c>
      <c r="B36" s="2982" t="s">
        <v>2431</v>
      </c>
      <c r="C36" s="2983"/>
      <c r="D36" s="2984"/>
      <c r="E36" s="2985"/>
      <c r="F36" s="2986">
        <f>C36+D36+E36</f>
        <v>0</v>
      </c>
      <c r="G36" s="2926"/>
      <c r="H36" s="2844"/>
      <c r="I36" s="2845"/>
      <c r="J36" s="3692">
        <v>1</v>
      </c>
      <c r="K36" s="3693" t="s">
        <v>2432</v>
      </c>
      <c r="L36" s="2870"/>
      <c r="M36" s="2871"/>
      <c r="N36" s="2871"/>
      <c r="O36" s="2871"/>
      <c r="P36" s="2871"/>
      <c r="Q36" s="2871"/>
      <c r="R36" s="2854" t="s">
        <v>2344</v>
      </c>
      <c r="S36" s="2918"/>
      <c r="T36" s="2837" t="s">
        <v>2345</v>
      </c>
      <c r="U36" s="2837"/>
      <c r="V36" s="2845"/>
    </row>
    <row r="37" spans="1:23" s="2849" customFormat="1" ht="13.2" customHeight="1">
      <c r="A37" s="2927"/>
      <c r="B37" s="2928"/>
      <c r="C37" s="2928"/>
      <c r="D37" s="2928"/>
      <c r="E37" s="2928"/>
      <c r="F37" s="2932"/>
      <c r="G37" s="2926"/>
      <c r="H37" s="2844"/>
      <c r="I37" s="2845"/>
      <c r="J37" s="3692"/>
      <c r="K37" s="3694"/>
      <c r="L37" s="2879"/>
      <c r="M37" s="2880"/>
      <c r="N37" s="2856"/>
      <c r="O37" s="2881"/>
      <c r="P37" s="2881"/>
      <c r="Q37" s="2882"/>
      <c r="R37" s="2883"/>
      <c r="S37" s="2918"/>
      <c r="T37" s="2837" t="s">
        <v>2348</v>
      </c>
      <c r="U37" s="2837"/>
      <c r="V37" s="2845"/>
    </row>
    <row r="38" spans="1:23" s="2849" customFormat="1" ht="13.2" customHeight="1">
      <c r="A38" s="2927">
        <v>8</v>
      </c>
      <c r="B38" s="2928"/>
      <c r="C38" s="2885" t="e">
        <f>ROUND(C32*(1-((1+C35)/(1+C34))^C36)/(C34-C35),0)</f>
        <v>#DIV/0!</v>
      </c>
      <c r="D38" s="2885">
        <f>IF(D23=0,0,ROUND(D32*(1-((1+D35)/(1+D34))^D36)/(D34-D35),0))</f>
        <v>0</v>
      </c>
      <c r="E38" s="2885">
        <f>IF(E23=0,0,ROUND(E32*(1-((1+E35)/(1+E34))^E36)/(E34-E35),0))</f>
        <v>0</v>
      </c>
      <c r="F38" s="2932"/>
      <c r="G38" s="2926"/>
      <c r="H38" s="2844"/>
      <c r="I38" s="2845"/>
      <c r="J38" s="3692"/>
      <c r="K38" s="3694"/>
      <c r="L38" s="2879"/>
      <c r="M38" s="2880"/>
      <c r="N38" s="2856"/>
      <c r="O38" s="2881"/>
      <c r="P38" s="2881"/>
      <c r="Q38" s="2882"/>
      <c r="R38" s="2883"/>
      <c r="S38" s="2918"/>
      <c r="T38" s="2837" t="s">
        <v>2355</v>
      </c>
      <c r="U38" s="2837"/>
      <c r="V38" s="2845"/>
    </row>
    <row r="39" spans="1:23" s="2849" customFormat="1" ht="13.2" customHeight="1">
      <c r="A39" s="2927">
        <v>9</v>
      </c>
      <c r="B39" s="2928" t="s">
        <v>2433</v>
      </c>
      <c r="C39" s="2893" t="e">
        <f>C38</f>
        <v>#DIV/0!</v>
      </c>
      <c r="D39" s="2928">
        <f>D38/(1+D34)^C36</f>
        <v>0</v>
      </c>
      <c r="E39" s="2928">
        <f>E38/(1+E34)^(C36+D36)</f>
        <v>0</v>
      </c>
      <c r="F39" s="2932"/>
      <c r="G39" s="2987"/>
      <c r="H39" s="2844"/>
      <c r="I39" s="2845"/>
      <c r="J39" s="3692"/>
      <c r="K39" s="3694"/>
      <c r="L39" s="2879"/>
      <c r="M39" s="2880"/>
      <c r="N39" s="2856"/>
      <c r="O39" s="2881"/>
      <c r="P39" s="2881"/>
      <c r="Q39" s="2882"/>
      <c r="R39" s="2883"/>
      <c r="S39" s="2918"/>
      <c r="T39" s="2837"/>
      <c r="U39" s="2837"/>
      <c r="V39" s="2845"/>
    </row>
    <row r="40" spans="1:23" s="2849" customFormat="1" ht="13.2" customHeight="1">
      <c r="A40" s="2988">
        <v>10</v>
      </c>
      <c r="B40" s="2928" t="s">
        <v>2434</v>
      </c>
      <c r="C40" s="2989" t="e">
        <f>C39+D39+E39</f>
        <v>#DIV/0!</v>
      </c>
      <c r="D40" s="2990"/>
      <c r="E40" s="2990"/>
      <c r="F40" s="2991"/>
      <c r="G40" s="2926"/>
      <c r="H40" s="2844"/>
      <c r="I40" s="2845"/>
      <c r="J40" s="3692"/>
      <c r="K40" s="3695"/>
      <c r="L40" s="2899" t="s">
        <v>2373</v>
      </c>
      <c r="M40" s="2900"/>
      <c r="N40" s="2900"/>
      <c r="O40" s="2901"/>
      <c r="P40" s="2901"/>
      <c r="Q40" s="2902"/>
      <c r="R40" s="2848">
        <f>SUM(R37:R39)</f>
        <v>0</v>
      </c>
      <c r="S40" s="2918"/>
      <c r="T40" s="2837"/>
      <c r="U40" s="2837"/>
      <c r="V40" s="2845"/>
    </row>
    <row r="41" spans="1:23" s="2849" customFormat="1" ht="13.2" customHeight="1" thickBot="1">
      <c r="A41" s="2992">
        <v>11</v>
      </c>
      <c r="B41" s="2993" t="s">
        <v>2435</v>
      </c>
      <c r="C41" s="2993" t="e">
        <f>ROUND(C40*10000/B4,0)</f>
        <v>#DIV/0!</v>
      </c>
      <c r="D41" s="2994"/>
      <c r="E41" s="2994"/>
      <c r="F41" s="2995"/>
      <c r="G41" s="2996"/>
      <c r="H41" s="2844"/>
      <c r="I41" s="2845"/>
      <c r="J41" s="2940">
        <v>2</v>
      </c>
      <c r="K41" s="2941" t="s">
        <v>2413</v>
      </c>
      <c r="L41" s="2942"/>
      <c r="M41" s="2942"/>
      <c r="N41" s="2942"/>
      <c r="O41" s="2942"/>
      <c r="P41" s="2943"/>
      <c r="Q41" s="2944"/>
      <c r="R41" s="2915">
        <f>ROUND(R40*Q41,0)</f>
        <v>0</v>
      </c>
      <c r="S41" s="2918"/>
      <c r="T41" s="2837"/>
      <c r="U41" s="2952"/>
      <c r="V41" s="2845"/>
    </row>
    <row r="42" spans="1:23" s="2849" customFormat="1" ht="13.2" customHeight="1">
      <c r="G42" s="2996"/>
      <c r="H42" s="2844"/>
      <c r="I42" s="2845"/>
      <c r="J42" s="3702">
        <v>3</v>
      </c>
      <c r="K42" s="2947" t="s">
        <v>2415</v>
      </c>
      <c r="L42" s="2948"/>
      <c r="M42" s="2949"/>
      <c r="N42" s="2950" t="s">
        <v>2416</v>
      </c>
      <c r="O42" s="2950" t="s">
        <v>2417</v>
      </c>
      <c r="P42" s="2951" t="s">
        <v>2418</v>
      </c>
      <c r="Q42" s="2951" t="s">
        <v>2419</v>
      </c>
      <c r="R42" s="2854" t="s">
        <v>2344</v>
      </c>
      <c r="S42" s="2952"/>
      <c r="T42" s="2952"/>
      <c r="U42" s="2837"/>
      <c r="V42" s="2845"/>
    </row>
    <row r="43" spans="1:23" ht="13.2" customHeight="1">
      <c r="A43" s="2849"/>
      <c r="B43" s="2849"/>
      <c r="C43" s="2849"/>
      <c r="D43" s="2849"/>
      <c r="E43" s="2849"/>
      <c r="F43" s="2849"/>
      <c r="I43" s="2832"/>
      <c r="J43" s="3703"/>
      <c r="K43" s="2955"/>
      <c r="L43" s="2956"/>
      <c r="M43" s="2957"/>
      <c r="N43" s="2880"/>
      <c r="O43" s="2880"/>
      <c r="P43" s="2880"/>
      <c r="Q43" s="2944"/>
      <c r="R43" s="2915">
        <f>ROUND(O43*N43*P43*(1-Q43)/10000,0)</f>
        <v>0</v>
      </c>
      <c r="S43" s="2918"/>
      <c r="T43" s="2837"/>
      <c r="V43" s="2998"/>
      <c r="W43" s="2999"/>
    </row>
    <row r="44" spans="1:23" ht="13.2" customHeight="1" thickBot="1">
      <c r="J44" s="2960">
        <v>6</v>
      </c>
      <c r="K44" s="2961" t="s">
        <v>2422</v>
      </c>
      <c r="L44" s="3000" t="s">
        <v>2423</v>
      </c>
      <c r="M44" s="2963"/>
      <c r="N44" s="3000" t="s">
        <v>2424</v>
      </c>
      <c r="O44" s="2963"/>
      <c r="P44" s="3000" t="s">
        <v>2425</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3" customWidth="1"/>
    <col min="2" max="2" width="12" style="1473" customWidth="1"/>
    <col min="3" max="3" width="9" style="1473"/>
    <col min="4" max="4" width="14.109375" style="1473" customWidth="1"/>
    <col min="5" max="5" width="9" style="1473"/>
    <col min="6" max="6" width="12.88671875" style="1473" customWidth="1"/>
    <col min="7" max="16384" width="9" style="1473"/>
  </cols>
  <sheetData>
    <row r="1" spans="1:22" ht="21.6">
      <c r="A1" s="1863" t="s">
        <v>1658</v>
      </c>
      <c r="B1" s="1864"/>
      <c r="C1" s="1864"/>
      <c r="D1" s="1864"/>
      <c r="E1" s="1865"/>
      <c r="F1" s="2703"/>
      <c r="G1" s="1485"/>
      <c r="H1" s="1485"/>
      <c r="I1" s="1485"/>
      <c r="J1" s="1485"/>
      <c r="K1" s="1485"/>
      <c r="L1" s="1485"/>
      <c r="M1" s="1485"/>
      <c r="N1" s="1485"/>
      <c r="O1" s="1485"/>
      <c r="P1" s="1485"/>
      <c r="Q1" s="1485"/>
      <c r="R1" s="1485"/>
      <c r="S1" s="1485"/>
    </row>
    <row r="2" spans="1:22" ht="15.6">
      <c r="A2" s="1866" t="s">
        <v>1462</v>
      </c>
      <c r="B2" s="1867">
        <f ca="1">SUMIF(B6:B13,"&lt;&gt;#ref!",B6:B13)</f>
        <v>192611</v>
      </c>
      <c r="C2" s="1868" t="s">
        <v>1651</v>
      </c>
      <c r="D2" s="1869" t="s">
        <v>1652</v>
      </c>
      <c r="E2" s="2603">
        <f>SUM(E6:E13)</f>
        <v>99232.33</v>
      </c>
      <c r="F2" s="2703"/>
      <c r="G2" s="1485"/>
      <c r="H2" s="1485"/>
      <c r="I2" s="1485"/>
      <c r="J2" s="1485"/>
      <c r="K2" s="1485"/>
      <c r="L2" s="1485"/>
      <c r="M2" s="1485"/>
      <c r="N2" s="1485"/>
      <c r="O2" s="1485"/>
      <c r="P2" s="1485"/>
      <c r="Q2" s="1485"/>
      <c r="R2" s="1485"/>
      <c r="S2" s="1485"/>
    </row>
    <row r="3" spans="1:22" ht="15.6">
      <c r="A3" s="1866" t="s">
        <v>686</v>
      </c>
      <c r="B3" s="2597">
        <f ca="1">ROUND(B2*10000/E2,0)</f>
        <v>19410</v>
      </c>
      <c r="C3" s="1868" t="s">
        <v>1659</v>
      </c>
      <c r="D3" s="2705"/>
      <c r="E3" s="2707"/>
      <c r="F3" s="2703"/>
      <c r="G3" s="1485"/>
      <c r="H3" s="1485"/>
      <c r="I3" s="1485"/>
      <c r="J3" s="1485"/>
      <c r="K3" s="1485"/>
      <c r="L3" s="1485"/>
      <c r="M3" s="1485"/>
      <c r="N3" s="1485"/>
      <c r="O3" s="1485"/>
      <c r="P3" s="1485"/>
      <c r="Q3" s="1485"/>
      <c r="R3" s="1485"/>
      <c r="S3" s="1485"/>
    </row>
    <row r="4" spans="1:22" ht="15.6">
      <c r="A4" s="2708"/>
      <c r="B4" s="2705"/>
      <c r="C4" s="2705"/>
      <c r="D4" s="2705"/>
      <c r="E4" s="2707"/>
      <c r="F4" s="2703"/>
      <c r="G4" s="1485"/>
      <c r="H4" s="1485"/>
      <c r="I4" s="1485"/>
      <c r="J4" s="1485"/>
      <c r="K4" s="1485"/>
      <c r="L4" s="1485"/>
      <c r="M4" s="1485"/>
      <c r="N4" s="1485"/>
      <c r="O4" s="1485"/>
      <c r="P4" s="1485"/>
      <c r="Q4" s="1485"/>
      <c r="R4" s="1485"/>
      <c r="S4" s="1485"/>
    </row>
    <row r="5" spans="1:22" ht="14.4">
      <c r="A5" s="2599" t="s">
        <v>1653</v>
      </c>
      <c r="B5" s="3704" t="s">
        <v>1654</v>
      </c>
      <c r="C5" s="3705"/>
      <c r="D5" s="2704"/>
      <c r="E5" s="1870" t="s">
        <v>1655</v>
      </c>
      <c r="F5" s="1871" t="s">
        <v>1656</v>
      </c>
      <c r="G5" s="1485"/>
      <c r="H5" s="1485"/>
      <c r="I5" s="1485"/>
      <c r="J5" s="1485"/>
      <c r="K5" s="1485"/>
      <c r="L5" s="1485"/>
      <c r="M5" s="1485"/>
      <c r="N5" s="1485"/>
      <c r="O5" s="1485"/>
      <c r="P5" s="1485"/>
      <c r="Q5" s="1485"/>
      <c r="R5" s="1485"/>
      <c r="S5" s="1485"/>
    </row>
    <row r="6" spans="1:22" ht="14.4">
      <c r="A6" s="2600" t="str">
        <f>'数据-取费表'!AN6</f>
        <v>收益法</v>
      </c>
      <c r="B6" s="2598">
        <f ca="1">IF(F6="是",'数据-取费表'!AO6,0)</f>
        <v>88111</v>
      </c>
      <c r="C6" s="1868" t="s">
        <v>1651</v>
      </c>
      <c r="D6" s="2705"/>
      <c r="E6" s="2602">
        <f>IF(OR(A6=0,F6="否"),0,'数据-取费表'!K6+'数据-取费表'!S6)</f>
        <v>19830.27</v>
      </c>
      <c r="F6" s="1872" t="s">
        <v>1657</v>
      </c>
      <c r="G6" s="1485"/>
      <c r="H6" s="1485"/>
      <c r="I6" s="1485"/>
      <c r="J6" s="1485"/>
      <c r="K6" s="1485"/>
      <c r="L6" s="1485"/>
      <c r="M6" s="1485"/>
      <c r="N6" s="1485"/>
      <c r="O6" s="1485"/>
      <c r="P6" s="1485"/>
      <c r="Q6" s="1485"/>
      <c r="R6" s="1485"/>
      <c r="S6" s="1485"/>
    </row>
    <row r="7" spans="1:22" ht="14.4">
      <c r="A7" s="2600" t="str">
        <f>'数据-取费表'!AN7</f>
        <v>收益法-地下商业1</v>
      </c>
      <c r="B7" s="2598">
        <f ca="1">IF(F7="是",'数据-取费表'!AO7,0)</f>
        <v>59424</v>
      </c>
      <c r="C7" s="1868" t="s">
        <v>1651</v>
      </c>
      <c r="D7" s="2705"/>
      <c r="E7" s="2602">
        <f>IF(OR(A7=0,F7="否"),0,'数据-取费表'!K7+'数据-取费表'!S7)</f>
        <v>31986.760000000002</v>
      </c>
      <c r="F7" s="1872" t="s">
        <v>1657</v>
      </c>
      <c r="G7" s="1485"/>
      <c r="H7" s="1485"/>
      <c r="I7" s="1485"/>
      <c r="J7" s="1485"/>
      <c r="K7" s="1485"/>
      <c r="L7" s="1485"/>
      <c r="M7" s="1485"/>
      <c r="N7" s="1485"/>
      <c r="O7" s="1485"/>
      <c r="P7" s="1485"/>
      <c r="Q7" s="1485"/>
      <c r="R7" s="1485"/>
      <c r="S7" s="1485"/>
    </row>
    <row r="8" spans="1:22" ht="14.4">
      <c r="A8" s="2600" t="str">
        <f>'数据-取费表'!AN8</f>
        <v>收益法-地下车库</v>
      </c>
      <c r="B8" s="2598">
        <f ca="1">IF(F8="是",'数据-取费表'!AO8,0)</f>
        <v>15106</v>
      </c>
      <c r="C8" s="1868" t="s">
        <v>1651</v>
      </c>
      <c r="D8" s="2705"/>
      <c r="E8" s="2602">
        <f>IF(OR(A8=0,F8="否"),0,'数据-取费表'!K8+'数据-取费表'!S8)</f>
        <v>30659.07</v>
      </c>
      <c r="F8" s="1872" t="s">
        <v>1657</v>
      </c>
      <c r="G8" s="1485"/>
      <c r="H8" s="1485"/>
      <c r="I8" s="1485"/>
      <c r="J8" s="1485"/>
      <c r="K8" s="1485"/>
      <c r="L8" s="1485"/>
      <c r="M8" s="1485"/>
      <c r="N8" s="1485"/>
      <c r="O8" s="1485"/>
      <c r="P8" s="1485"/>
      <c r="Q8" s="1485"/>
      <c r="R8" s="1485"/>
      <c r="S8" s="1485"/>
    </row>
    <row r="9" spans="1:22" ht="14.4">
      <c r="A9" s="2600" t="str">
        <f>'数据-取费表'!AN9</f>
        <v>收益法-地下商业2</v>
      </c>
      <c r="B9" s="2598">
        <f ca="1">IF(F9="是",'数据-取费表'!AO9,0)</f>
        <v>29970</v>
      </c>
      <c r="C9" s="1868" t="s">
        <v>1651</v>
      </c>
      <c r="D9" s="2705"/>
      <c r="E9" s="2602">
        <f>IF(OR(A9=0,F9="否"),0,'数据-取费表'!K9+'数据-取费表'!S9)</f>
        <v>16756.23</v>
      </c>
      <c r="F9" s="1872" t="s">
        <v>1657</v>
      </c>
      <c r="G9" s="1485"/>
      <c r="H9" s="1485"/>
      <c r="I9" s="1485"/>
      <c r="J9" s="1485"/>
      <c r="K9" s="1485"/>
      <c r="L9" s="1485"/>
      <c r="M9" s="1485"/>
      <c r="N9" s="1485"/>
      <c r="O9" s="1485"/>
      <c r="P9" s="1485"/>
      <c r="Q9" s="1485"/>
      <c r="R9" s="1485"/>
      <c r="S9" s="1485"/>
    </row>
    <row r="10" spans="1:22" ht="14.4">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ht="14.4">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ht="14.4">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6" customWidth="1"/>
    <col min="2" max="3" width="15.77734375" style="356" customWidth="1"/>
    <col min="4" max="4" width="12.21875" style="356" customWidth="1"/>
    <col min="5" max="5" width="17.109375" style="356" customWidth="1"/>
    <col min="6" max="6" width="12.21875" style="356" customWidth="1"/>
    <col min="7" max="7" width="16.44140625" style="356" customWidth="1"/>
    <col min="8" max="8" width="12.21875" style="356" customWidth="1"/>
    <col min="9" max="9" width="15.6640625" style="356" customWidth="1"/>
    <col min="10" max="10" width="12.21875" style="356" customWidth="1"/>
    <col min="11" max="11" width="12.21875" style="443" customWidth="1"/>
    <col min="12" max="12" width="12.21875" style="444" customWidth="1"/>
    <col min="13" max="15" width="12.21875" style="356" customWidth="1"/>
    <col min="16" max="16" width="4.77734375" style="1912"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1660</v>
      </c>
      <c r="B1" s="1874" t="s">
        <v>1661</v>
      </c>
      <c r="C1" s="1234" t="s">
        <v>1662</v>
      </c>
      <c r="D1" s="1221"/>
      <c r="E1" s="3422"/>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6" customFormat="1" ht="28.5" customHeight="1" thickTop="1">
      <c r="A2" s="1217" t="s">
        <v>685</v>
      </c>
      <c r="B2" s="3423"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9"/>
      <c r="M2" s="2710"/>
      <c r="N2" s="2710"/>
      <c r="O2" s="2710"/>
      <c r="P2" s="1881"/>
      <c r="Q2" s="1882"/>
      <c r="R2" s="1882"/>
      <c r="S2" s="1882"/>
      <c r="T2" s="1882"/>
      <c r="U2" s="1882"/>
      <c r="V2" s="1882"/>
      <c r="W2" s="1882"/>
      <c r="X2" s="1882"/>
      <c r="Y2" s="1882"/>
      <c r="Z2" s="1882"/>
      <c r="AA2" s="1882"/>
      <c r="AB2" s="1882"/>
      <c r="AC2" s="1883"/>
    </row>
    <row r="3" spans="1:29" s="346" customFormat="1" ht="28.5" customHeight="1" thickBot="1">
      <c r="A3" s="202" t="s">
        <v>686</v>
      </c>
      <c r="B3" s="352">
        <f>IF(C2="——",C49,ROUND(B2*10000/D3,0))</f>
        <v>0</v>
      </c>
      <c r="C3" s="353" t="s">
        <v>1665</v>
      </c>
      <c r="D3" s="352">
        <f>IF(D1="",'数据-汇总表'!E3,SUMIF('数据-汇总表'!$C19:$C33,D1,'数据-汇总表'!$E19:$E33))</f>
        <v>99232.329999999987</v>
      </c>
      <c r="E3" s="903"/>
      <c r="F3" s="1884"/>
      <c r="G3" s="903"/>
      <c r="H3" s="903"/>
      <c r="I3" s="903"/>
      <c r="J3" s="903"/>
      <c r="K3" s="1880"/>
      <c r="L3" s="2709"/>
      <c r="M3" s="2710"/>
      <c r="N3" s="2710"/>
      <c r="O3" s="2710"/>
      <c r="P3" s="1881"/>
      <c r="Q3" s="1882"/>
      <c r="R3" s="1882"/>
      <c r="S3" s="1882"/>
      <c r="T3" s="1882"/>
      <c r="U3" s="1882"/>
      <c r="V3" s="1882"/>
      <c r="W3" s="1882"/>
      <c r="X3" s="1882"/>
      <c r="Y3" s="1882"/>
      <c r="Z3" s="1882"/>
      <c r="AA3" s="1882"/>
      <c r="AB3" s="1882"/>
      <c r="AC3" s="1057"/>
    </row>
    <row r="4" spans="1:29" ht="14.4">
      <c r="A4" s="354" t="s">
        <v>1666</v>
      </c>
      <c r="B4" s="355"/>
      <c r="C4" s="3724" t="s">
        <v>1667</v>
      </c>
      <c r="D4" s="3725"/>
      <c r="E4" s="3726" t="s">
        <v>1668</v>
      </c>
      <c r="F4" s="3727"/>
      <c r="G4" s="3724" t="s">
        <v>1669</v>
      </c>
      <c r="H4" s="3725"/>
      <c r="I4" s="3724" t="s">
        <v>1670</v>
      </c>
      <c r="J4" s="3725"/>
      <c r="K4" s="1885" t="s">
        <v>1671</v>
      </c>
      <c r="L4" s="2711"/>
      <c r="M4" s="2712"/>
      <c r="N4" s="2712"/>
      <c r="O4" s="2712"/>
      <c r="P4" s="3728" t="s">
        <v>1672</v>
      </c>
      <c r="Q4" s="3729"/>
      <c r="R4" s="3711" t="s">
        <v>1668</v>
      </c>
      <c r="S4" s="3712"/>
      <c r="T4" s="3711" t="s">
        <v>1669</v>
      </c>
      <c r="U4" s="3712"/>
      <c r="V4" s="3736" t="s">
        <v>1670</v>
      </c>
      <c r="W4" s="3736"/>
      <c r="X4" s="1351"/>
      <c r="Y4" s="3711" t="s">
        <v>1672</v>
      </c>
      <c r="Z4" s="3712"/>
      <c r="AA4" s="3706" t="s">
        <v>1668</v>
      </c>
      <c r="AB4" s="3706" t="s">
        <v>1669</v>
      </c>
      <c r="AC4" s="3706" t="s">
        <v>1670</v>
      </c>
    </row>
    <row r="5" spans="1:29">
      <c r="A5" s="357"/>
      <c r="B5" s="358"/>
      <c r="C5" s="3717" t="s">
        <v>1673</v>
      </c>
      <c r="D5" s="3718"/>
      <c r="E5" s="3715" t="s">
        <v>1674</v>
      </c>
      <c r="F5" s="3716"/>
      <c r="G5" s="3717" t="s">
        <v>1675</v>
      </c>
      <c r="H5" s="3718"/>
      <c r="I5" s="3717" t="s">
        <v>1676</v>
      </c>
      <c r="J5" s="3718"/>
      <c r="K5" s="1886"/>
      <c r="L5" s="2711"/>
      <c r="M5" s="2712"/>
      <c r="N5" s="2712"/>
      <c r="O5" s="2712"/>
      <c r="P5" s="3730"/>
      <c r="Q5" s="3731"/>
      <c r="R5" s="3713"/>
      <c r="S5" s="3714"/>
      <c r="T5" s="3713"/>
      <c r="U5" s="3714"/>
      <c r="V5" s="3736"/>
      <c r="W5" s="3736"/>
      <c r="X5" s="1351"/>
      <c r="Y5" s="3713"/>
      <c r="Z5" s="3714"/>
      <c r="AA5" s="3707"/>
      <c r="AB5" s="3707"/>
      <c r="AC5" s="3707"/>
    </row>
    <row r="6" spans="1:29" ht="15" thickBot="1">
      <c r="A6" s="359"/>
      <c r="B6" s="360"/>
      <c r="C6" s="3719" t="s">
        <v>1677</v>
      </c>
      <c r="D6" s="3720"/>
      <c r="E6" s="3721" t="s">
        <v>1677</v>
      </c>
      <c r="F6" s="3722"/>
      <c r="G6" s="3719" t="s">
        <v>1677</v>
      </c>
      <c r="H6" s="3720"/>
      <c r="I6" s="3719" t="s">
        <v>1677</v>
      </c>
      <c r="J6" s="3720"/>
      <c r="K6" s="1886" t="s">
        <v>1678</v>
      </c>
      <c r="L6" s="2711"/>
      <c r="M6" s="2712"/>
      <c r="N6" s="2712"/>
      <c r="O6" s="2712"/>
      <c r="P6" s="3732"/>
      <c r="Q6" s="3733"/>
      <c r="R6" s="3713"/>
      <c r="S6" s="3714"/>
      <c r="T6" s="3734"/>
      <c r="U6" s="3735"/>
      <c r="V6" s="3736"/>
      <c r="W6" s="3736"/>
      <c r="X6" s="1351"/>
      <c r="Y6" s="3734"/>
      <c r="Z6" s="3735"/>
      <c r="AA6" s="3708"/>
      <c r="AB6" s="3708"/>
      <c r="AC6" s="3708"/>
    </row>
    <row r="7" spans="1:29" s="108" customFormat="1" ht="15" thickBot="1">
      <c r="A7" s="361" t="s">
        <v>1679</v>
      </c>
      <c r="B7" s="362"/>
      <c r="C7" s="363">
        <f>'数据-取费表'!B2</f>
        <v>44995</v>
      </c>
      <c r="D7" s="364">
        <v>100</v>
      </c>
      <c r="E7" s="365"/>
      <c r="F7" s="366">
        <f>SUMIF(58:58,YEAR(E7)&amp;"-"&amp;MONTH(E7),59:59)</f>
        <v>0</v>
      </c>
      <c r="G7" s="365"/>
      <c r="H7" s="364">
        <f>SUMIF(58:58,YEAR(G7)&amp;"-"&amp;MONTH(G7),59:59)</f>
        <v>0</v>
      </c>
      <c r="I7" s="365"/>
      <c r="J7" s="364">
        <f>SUMIF(58:58,YEAR(I7)&amp;"-"&amp;MONTH(I7),59:59)</f>
        <v>0</v>
      </c>
      <c r="K7" s="1887"/>
      <c r="L7" s="2713"/>
      <c r="M7" s="2714"/>
      <c r="N7" s="2714"/>
      <c r="O7" s="2714"/>
      <c r="P7" s="3709" t="s">
        <v>1680</v>
      </c>
      <c r="Q7" s="3737"/>
      <c r="R7" s="699" t="s">
        <v>20</v>
      </c>
      <c r="S7" s="700">
        <f t="shared" ref="S7:S15" si="0">F7</f>
        <v>0</v>
      </c>
      <c r="T7" s="699" t="s">
        <v>20</v>
      </c>
      <c r="U7" s="700">
        <f t="shared" ref="U7:U15" si="1">H7</f>
        <v>0</v>
      </c>
      <c r="V7" s="699" t="s">
        <v>20</v>
      </c>
      <c r="W7" s="700">
        <f t="shared" ref="W7:W15" si="2">J7</f>
        <v>0</v>
      </c>
      <c r="X7" s="701"/>
      <c r="Y7" s="3709" t="s">
        <v>1680</v>
      </c>
      <c r="Z7" s="3710"/>
      <c r="AA7" s="702" t="e">
        <f>D7/F7</f>
        <v>#DIV/0!</v>
      </c>
      <c r="AB7" s="702" t="e">
        <f>D7/H7</f>
        <v>#DIV/0!</v>
      </c>
      <c r="AC7" s="702" t="e">
        <f>D7/J7</f>
        <v>#DIV/0!</v>
      </c>
    </row>
    <row r="8" spans="1:29" s="108" customFormat="1" ht="15" thickBot="1">
      <c r="A8" s="361" t="s">
        <v>1681</v>
      </c>
      <c r="B8" s="362"/>
      <c r="C8" s="367"/>
      <c r="D8" s="364">
        <v>100</v>
      </c>
      <c r="E8" s="1888"/>
      <c r="F8" s="366">
        <f>SUMIF(61:61,E8,62:62)-SUMIF(61:61,C8,62:62)+100</f>
        <v>100</v>
      </c>
      <c r="G8" s="367"/>
      <c r="H8" s="364">
        <f>SUMIF(61:61,G8,62:62)-SUMIF(61:61,C8,62:62)+100</f>
        <v>100</v>
      </c>
      <c r="I8" s="1888"/>
      <c r="J8" s="364">
        <f>SUMIF(61:61,I8,62:62)-SUMIF(61:61,C8,62:62)+100</f>
        <v>100</v>
      </c>
      <c r="K8" s="1887"/>
      <c r="L8" s="2713"/>
      <c r="M8" s="2714"/>
      <c r="N8" s="2714"/>
      <c r="O8" s="2714"/>
      <c r="P8" s="3709" t="s">
        <v>1683</v>
      </c>
      <c r="Q8" s="3710"/>
      <c r="R8" s="699" t="s">
        <v>20</v>
      </c>
      <c r="S8" s="700">
        <f t="shared" si="0"/>
        <v>100</v>
      </c>
      <c r="T8" s="699" t="s">
        <v>20</v>
      </c>
      <c r="U8" s="700">
        <f t="shared" si="1"/>
        <v>100</v>
      </c>
      <c r="V8" s="699" t="s">
        <v>20</v>
      </c>
      <c r="W8" s="700">
        <f t="shared" si="2"/>
        <v>100</v>
      </c>
      <c r="X8" s="701"/>
      <c r="Y8" s="3709" t="s">
        <v>1683</v>
      </c>
      <c r="Z8" s="3710"/>
      <c r="AA8" s="702">
        <f t="shared" ref="AA8:AA19" si="3">D8/F8</f>
        <v>1</v>
      </c>
      <c r="AB8" s="702">
        <f t="shared" ref="AB8:AB19" si="4">D8/H8</f>
        <v>1</v>
      </c>
      <c r="AC8" s="702">
        <f t="shared" ref="AC8:AC19" si="5">D8/J8</f>
        <v>1</v>
      </c>
    </row>
    <row r="9" spans="1:29" s="108" customFormat="1" ht="14.4">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7"/>
      <c r="L9" s="2713"/>
      <c r="M9" s="2714"/>
      <c r="N9" s="2714"/>
      <c r="O9" s="2714"/>
      <c r="P9" s="3723"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702">
        <f t="shared" si="5"/>
        <v>1</v>
      </c>
    </row>
    <row r="10" spans="1:29" s="377" customFormat="1" ht="28.8">
      <c r="A10" s="373"/>
      <c r="B10" s="374" t="s">
        <v>1688</v>
      </c>
      <c r="C10" s="3430"/>
      <c r="D10" s="126">
        <v>100</v>
      </c>
      <c r="E10" s="3431"/>
      <c r="F10" s="375">
        <f>SUMIF(65:65,E10,66:66)-SUMIF(65:65,C10,66:66)+100</f>
        <v>100</v>
      </c>
      <c r="G10" s="3430"/>
      <c r="H10" s="126">
        <f>SUMIF(65:65,G10,66:66)-SUMIF(65:65,C10,66:66)+100</f>
        <v>100</v>
      </c>
      <c r="I10" s="3430"/>
      <c r="J10" s="126">
        <f>SUMIF(65:65,I10,66:66)-SUMIF(65:65,C10,66:66)+100</f>
        <v>100</v>
      </c>
      <c r="K10" s="1887"/>
      <c r="L10" s="2715"/>
      <c r="M10" s="2716"/>
      <c r="N10" s="2716"/>
      <c r="O10" s="2716"/>
      <c r="P10" s="3723"/>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7"/>
      <c r="M11" s="2712"/>
      <c r="N11" s="2712"/>
      <c r="O11" s="2712"/>
      <c r="P11" s="3723"/>
      <c r="Q11" s="1339" t="str">
        <f t="shared" si="6"/>
        <v>容积率</v>
      </c>
      <c r="R11" s="699" t="s">
        <v>18</v>
      </c>
      <c r="S11" s="700" t="e">
        <f t="shared" si="0"/>
        <v>#N/A</v>
      </c>
      <c r="T11" s="699" t="s">
        <v>18</v>
      </c>
      <c r="U11" s="700" t="e">
        <f t="shared" si="1"/>
        <v>#N/A</v>
      </c>
      <c r="V11" s="699" t="s">
        <v>18</v>
      </c>
      <c r="W11" s="700" t="e">
        <f t="shared" si="2"/>
        <v>#N/A</v>
      </c>
      <c r="X11" s="701"/>
      <c r="Y11" s="3634"/>
      <c r="Z11" s="52" t="str">
        <f t="shared" si="7"/>
        <v>容积率</v>
      </c>
      <c r="AA11" s="702" t="e">
        <f t="shared" si="3"/>
        <v>#N/A</v>
      </c>
      <c r="AB11" s="702" t="e">
        <f t="shared" si="4"/>
        <v>#N/A</v>
      </c>
      <c r="AC11" s="702" t="e">
        <f t="shared" si="5"/>
        <v>#N/A</v>
      </c>
    </row>
    <row r="12" spans="1:29" s="108" customFormat="1" ht="15">
      <c r="A12" s="381"/>
      <c r="B12" s="1889">
        <v>111</v>
      </c>
      <c r="C12" s="382"/>
      <c r="D12" s="383">
        <v>100</v>
      </c>
      <c r="E12" s="382"/>
      <c r="F12" s="375">
        <f>SUMIF(70:70,E12,71:71)-SUMIF(70:70,C12,71:71)+100</f>
        <v>100</v>
      </c>
      <c r="G12" s="382"/>
      <c r="H12" s="126">
        <f>SUMIF(70:70,G12,71:71)-SUMIF(70:70,C12,71:71)+100</f>
        <v>100</v>
      </c>
      <c r="I12" s="382"/>
      <c r="J12" s="126">
        <f>SUMIF(70:70,I12,71:71)-SUMIF(70:70,C12,71:71)+100</f>
        <v>100</v>
      </c>
      <c r="K12" s="1890"/>
      <c r="L12" s="2713"/>
      <c r="M12" s="2714"/>
      <c r="N12" s="2714"/>
      <c r="O12" s="2714"/>
      <c r="P12" s="3723"/>
      <c r="Q12" s="1339">
        <f t="shared" si="6"/>
        <v>111</v>
      </c>
      <c r="R12" s="699" t="s">
        <v>18</v>
      </c>
      <c r="S12" s="700">
        <f t="shared" si="0"/>
        <v>100</v>
      </c>
      <c r="T12" s="699" t="s">
        <v>18</v>
      </c>
      <c r="U12" s="700">
        <f t="shared" si="1"/>
        <v>100</v>
      </c>
      <c r="V12" s="699" t="s">
        <v>18</v>
      </c>
      <c r="W12" s="700">
        <f t="shared" si="2"/>
        <v>100</v>
      </c>
      <c r="X12" s="701"/>
      <c r="Y12" s="3634"/>
      <c r="Z12" s="52">
        <f t="shared" si="7"/>
        <v>111</v>
      </c>
      <c r="AA12" s="702">
        <f>D12/F12</f>
        <v>1</v>
      </c>
      <c r="AB12" s="702">
        <f>D12/H12</f>
        <v>1</v>
      </c>
      <c r="AC12" s="702">
        <f>D12/J12</f>
        <v>1</v>
      </c>
    </row>
    <row r="13" spans="1:29" ht="15">
      <c r="A13" s="378"/>
      <c r="B13" s="1889">
        <v>111</v>
      </c>
      <c r="C13" s="384"/>
      <c r="D13" s="385">
        <v>100</v>
      </c>
      <c r="E13" s="384"/>
      <c r="F13" s="375">
        <f>SUMIF(72:72,E13,73:73)-SUMIF(72:72,C13,73:73)+100</f>
        <v>100</v>
      </c>
      <c r="G13" s="384"/>
      <c r="H13" s="385">
        <f>SUMIF(72:72,G13,73:73)-SUMIF(72:72,C13,73:73)+100</f>
        <v>100</v>
      </c>
      <c r="I13" s="384"/>
      <c r="J13" s="385">
        <f>SUMIF(72:72,I13,73:73)-SUMIF(72:72,C13,73:73)+100</f>
        <v>100</v>
      </c>
      <c r="K13" s="1890"/>
      <c r="L13" s="2718"/>
      <c r="M13" s="2712"/>
      <c r="N13" s="2712"/>
      <c r="O13" s="2712"/>
      <c r="P13" s="3723"/>
      <c r="Q13" s="1339">
        <f t="shared" si="6"/>
        <v>111</v>
      </c>
      <c r="R13" s="699" t="s">
        <v>18</v>
      </c>
      <c r="S13" s="700">
        <f t="shared" si="0"/>
        <v>100</v>
      </c>
      <c r="T13" s="699" t="s">
        <v>18</v>
      </c>
      <c r="U13" s="700">
        <f t="shared" si="1"/>
        <v>100</v>
      </c>
      <c r="V13" s="699" t="s">
        <v>18</v>
      </c>
      <c r="W13" s="700">
        <f t="shared" si="2"/>
        <v>100</v>
      </c>
      <c r="X13" s="701"/>
      <c r="Y13" s="3634"/>
      <c r="Z13" s="52">
        <f t="shared" si="7"/>
        <v>111</v>
      </c>
      <c r="AA13" s="702">
        <f t="shared" si="3"/>
        <v>1</v>
      </c>
      <c r="AB13" s="702">
        <f t="shared" si="4"/>
        <v>1</v>
      </c>
      <c r="AC13" s="702">
        <f t="shared" si="5"/>
        <v>1</v>
      </c>
    </row>
    <row r="14" spans="1:29" ht="15.6" thickBot="1">
      <c r="A14" s="386"/>
      <c r="B14" s="1891">
        <v>111</v>
      </c>
      <c r="C14" s="387"/>
      <c r="D14" s="388">
        <v>100</v>
      </c>
      <c r="E14" s="387"/>
      <c r="F14" s="389">
        <f>SUMIF(74:74,E14,75:75)-SUMIF(74:74,C14,75:75)+100</f>
        <v>100</v>
      </c>
      <c r="G14" s="387"/>
      <c r="H14" s="388">
        <f>SUMIF(74:74,G14,75:75)-SUMIF(74:74,C14,75:75)+100</f>
        <v>100</v>
      </c>
      <c r="I14" s="387"/>
      <c r="J14" s="388">
        <f>SUMIF(74:74,I14,75:75)-SUMIF(74:74,C14,75:75)+100</f>
        <v>100</v>
      </c>
      <c r="K14" s="1890"/>
      <c r="L14" s="2718"/>
      <c r="M14" s="2712"/>
      <c r="N14" s="2712"/>
      <c r="O14" s="2712"/>
      <c r="P14" s="3723"/>
      <c r="Q14" s="1339">
        <f t="shared" si="6"/>
        <v>111</v>
      </c>
      <c r="R14" s="699" t="s">
        <v>18</v>
      </c>
      <c r="S14" s="700">
        <f t="shared" si="0"/>
        <v>100</v>
      </c>
      <c r="T14" s="699" t="s">
        <v>18</v>
      </c>
      <c r="U14" s="700">
        <f t="shared" si="1"/>
        <v>100</v>
      </c>
      <c r="V14" s="699" t="s">
        <v>18</v>
      </c>
      <c r="W14" s="700">
        <f t="shared" si="2"/>
        <v>100</v>
      </c>
      <c r="X14" s="701"/>
      <c r="Y14" s="3634"/>
      <c r="Z14" s="52">
        <f t="shared" si="7"/>
        <v>111</v>
      </c>
      <c r="AA14" s="702">
        <f t="shared" si="3"/>
        <v>1</v>
      </c>
      <c r="AB14" s="702">
        <f t="shared" si="4"/>
        <v>1</v>
      </c>
      <c r="AC14" s="702">
        <f t="shared" si="5"/>
        <v>1</v>
      </c>
    </row>
    <row r="15" spans="1:29" ht="96.6">
      <c r="A15" s="390" t="s">
        <v>1690</v>
      </c>
      <c r="B15" s="61" t="s">
        <v>1257</v>
      </c>
      <c r="C15" s="1892"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8"/>
      <c r="M15" s="2712"/>
      <c r="N15" s="2712"/>
      <c r="O15" s="2712"/>
      <c r="P15" s="3750" t="s">
        <v>1691</v>
      </c>
      <c r="Q15" s="1348" t="str">
        <f t="shared" si="6"/>
        <v>居住社区成熟度</v>
      </c>
      <c r="R15" s="703" t="s">
        <v>18</v>
      </c>
      <c r="S15" s="704">
        <f t="shared" si="0"/>
        <v>100</v>
      </c>
      <c r="T15" s="703" t="s">
        <v>18</v>
      </c>
      <c r="U15" s="704">
        <f t="shared" si="1"/>
        <v>100</v>
      </c>
      <c r="V15" s="703" t="s">
        <v>18</v>
      </c>
      <c r="W15" s="704">
        <f t="shared" si="2"/>
        <v>100</v>
      </c>
      <c r="X15" s="1351"/>
      <c r="Y15" s="3743" t="s">
        <v>1691</v>
      </c>
      <c r="Z15" s="1352" t="str">
        <f t="shared" si="7"/>
        <v>居住社区成熟度</v>
      </c>
      <c r="AA15" s="1349">
        <f t="shared" si="3"/>
        <v>1</v>
      </c>
      <c r="AB15" s="1349">
        <f t="shared" si="4"/>
        <v>1</v>
      </c>
      <c r="AC15" s="1349">
        <f t="shared" si="5"/>
        <v>1</v>
      </c>
    </row>
    <row r="16" spans="1:29" ht="15">
      <c r="A16" s="378"/>
      <c r="B16" s="396"/>
      <c r="C16" s="397"/>
      <c r="D16" s="398"/>
      <c r="E16" s="1893"/>
      <c r="F16" s="398"/>
      <c r="G16" s="1894"/>
      <c r="H16" s="400"/>
      <c r="I16" s="1894"/>
      <c r="J16" s="398"/>
      <c r="K16" s="1895"/>
      <c r="L16" s="2718"/>
      <c r="M16" s="2712"/>
      <c r="N16" s="2712"/>
      <c r="O16" s="2712"/>
      <c r="P16" s="3751"/>
      <c r="Q16" s="1348"/>
      <c r="R16" s="703"/>
      <c r="S16" s="704"/>
      <c r="T16" s="703"/>
      <c r="U16" s="704"/>
      <c r="V16" s="703"/>
      <c r="W16" s="704"/>
      <c r="X16" s="1351"/>
      <c r="Y16" s="3744"/>
      <c r="Z16" s="1352"/>
      <c r="AA16" s="1349">
        <v>1</v>
      </c>
      <c r="AB16" s="1349">
        <v>1</v>
      </c>
      <c r="AC16" s="1349">
        <v>1</v>
      </c>
    </row>
    <row r="17" spans="1:29" ht="82.8">
      <c r="A17" s="378"/>
      <c r="B17" s="401" t="s">
        <v>1259</v>
      </c>
      <c r="C17" s="1896"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8"/>
      <c r="M17" s="2712"/>
      <c r="N17" s="2712"/>
      <c r="O17" s="2712"/>
      <c r="P17" s="3751"/>
      <c r="Q17" s="1348" t="str">
        <f>B17</f>
        <v>交通便捷度</v>
      </c>
      <c r="R17" s="703" t="s">
        <v>18</v>
      </c>
      <c r="S17" s="704">
        <f>F17</f>
        <v>100</v>
      </c>
      <c r="T17" s="703" t="s">
        <v>18</v>
      </c>
      <c r="U17" s="704">
        <f>H17</f>
        <v>100</v>
      </c>
      <c r="V17" s="703" t="s">
        <v>18</v>
      </c>
      <c r="W17" s="704">
        <f>J17</f>
        <v>100</v>
      </c>
      <c r="X17" s="1351"/>
      <c r="Y17" s="3744"/>
      <c r="Z17" s="1352" t="str">
        <f>Q17</f>
        <v>交通便捷度</v>
      </c>
      <c r="AA17" s="1349">
        <f t="shared" si="3"/>
        <v>1</v>
      </c>
      <c r="AB17" s="1349">
        <f t="shared" si="4"/>
        <v>1</v>
      </c>
      <c r="AC17" s="1349">
        <f t="shared" si="5"/>
        <v>1</v>
      </c>
    </row>
    <row r="18" spans="1:29" ht="15">
      <c r="A18" s="378"/>
      <c r="B18" s="406"/>
      <c r="C18" s="1897"/>
      <c r="D18" s="400"/>
      <c r="E18" s="1898"/>
      <c r="F18" s="400"/>
      <c r="G18" s="1899"/>
      <c r="H18" s="398"/>
      <c r="I18" s="1899"/>
      <c r="J18" s="398"/>
      <c r="K18" s="1895"/>
      <c r="L18" s="2718"/>
      <c r="M18" s="2712"/>
      <c r="N18" s="2712"/>
      <c r="O18" s="2712"/>
      <c r="P18" s="3751"/>
      <c r="Q18" s="1348"/>
      <c r="R18" s="703"/>
      <c r="S18" s="704"/>
      <c r="T18" s="703"/>
      <c r="U18" s="704"/>
      <c r="V18" s="703"/>
      <c r="W18" s="704"/>
      <c r="X18" s="1351"/>
      <c r="Y18" s="3744"/>
      <c r="Z18" s="1352"/>
      <c r="AA18" s="1349">
        <v>1</v>
      </c>
      <c r="AB18" s="1349">
        <v>1</v>
      </c>
      <c r="AC18" s="1349">
        <v>1</v>
      </c>
    </row>
    <row r="19" spans="1:29" ht="41.4">
      <c r="A19" s="378"/>
      <c r="B19" s="401" t="s">
        <v>1258</v>
      </c>
      <c r="C19" s="1896"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8"/>
      <c r="M19" s="2712"/>
      <c r="N19" s="2712"/>
      <c r="O19" s="2712"/>
      <c r="P19" s="3751"/>
      <c r="Q19" s="1348" t="str">
        <f>B19</f>
        <v>公共配套设施</v>
      </c>
      <c r="R19" s="703" t="s">
        <v>18</v>
      </c>
      <c r="S19" s="704">
        <f>F19</f>
        <v>100</v>
      </c>
      <c r="T19" s="703" t="s">
        <v>18</v>
      </c>
      <c r="U19" s="704">
        <f>H19</f>
        <v>100</v>
      </c>
      <c r="V19" s="703" t="s">
        <v>18</v>
      </c>
      <c r="W19" s="704">
        <f>J19</f>
        <v>100</v>
      </c>
      <c r="X19" s="1351"/>
      <c r="Y19" s="3744"/>
      <c r="Z19" s="1352" t="str">
        <f>Q19</f>
        <v>公共配套设施</v>
      </c>
      <c r="AA19" s="1349">
        <f t="shared" si="3"/>
        <v>1</v>
      </c>
      <c r="AB19" s="1349">
        <f t="shared" si="4"/>
        <v>1</v>
      </c>
      <c r="AC19" s="1349">
        <f t="shared" si="5"/>
        <v>1</v>
      </c>
    </row>
    <row r="20" spans="1:29" ht="15">
      <c r="A20" s="378"/>
      <c r="B20" s="406"/>
      <c r="C20" s="397"/>
      <c r="D20" s="398"/>
      <c r="E20" s="1893"/>
      <c r="F20" s="398"/>
      <c r="G20" s="1894"/>
      <c r="H20" s="398"/>
      <c r="I20" s="1894"/>
      <c r="J20" s="398"/>
      <c r="K20" s="1895"/>
      <c r="L20" s="2718"/>
      <c r="M20" s="2712"/>
      <c r="N20" s="2712"/>
      <c r="O20" s="2712"/>
      <c r="P20" s="3751"/>
      <c r="Q20" s="1348"/>
      <c r="R20" s="703"/>
      <c r="S20" s="704"/>
      <c r="T20" s="703"/>
      <c r="U20" s="704"/>
      <c r="V20" s="703"/>
      <c r="W20" s="704"/>
      <c r="X20" s="1351"/>
      <c r="Y20" s="3744"/>
      <c r="Z20" s="1352"/>
      <c r="AA20" s="1349">
        <v>1</v>
      </c>
      <c r="AB20" s="1349">
        <v>1</v>
      </c>
      <c r="AC20" s="1349">
        <v>1</v>
      </c>
    </row>
    <row r="21" spans="1:29" ht="27.6">
      <c r="A21" s="378"/>
      <c r="B21" s="1127" t="s">
        <v>1260</v>
      </c>
      <c r="C21" s="1896"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8"/>
      <c r="M21" s="2712"/>
      <c r="N21" s="2712"/>
      <c r="O21" s="2712"/>
      <c r="P21" s="3751"/>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8"/>
      <c r="B22" s="1127"/>
      <c r="C22" s="1897"/>
      <c r="D22" s="398"/>
      <c r="E22" s="397"/>
      <c r="F22" s="398"/>
      <c r="G22" s="1900"/>
      <c r="H22" s="398"/>
      <c r="I22" s="397"/>
      <c r="J22" s="398"/>
      <c r="K22" s="1901"/>
      <c r="L22" s="2718"/>
      <c r="M22" s="2712"/>
      <c r="N22" s="2712"/>
      <c r="O22" s="2712"/>
      <c r="P22" s="3751"/>
      <c r="Q22" s="1348"/>
      <c r="R22" s="703"/>
      <c r="S22" s="704"/>
      <c r="T22" s="703"/>
      <c r="U22" s="704"/>
      <c r="V22" s="703"/>
      <c r="W22" s="704"/>
      <c r="X22" s="1351"/>
      <c r="Y22" s="3744"/>
      <c r="Z22" s="1352"/>
      <c r="AA22" s="1349">
        <v>1</v>
      </c>
      <c r="AB22" s="1349">
        <v>1</v>
      </c>
      <c r="AC22" s="1349">
        <v>1</v>
      </c>
    </row>
    <row r="23" spans="1:29" ht="55.2">
      <c r="A23" s="378"/>
      <c r="B23" s="401" t="s">
        <v>1261</v>
      </c>
      <c r="C23" s="1896"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8"/>
      <c r="M23" s="2712"/>
      <c r="N23" s="2712"/>
      <c r="O23" s="2712"/>
      <c r="P23" s="3751"/>
      <c r="Q23" s="1348" t="str">
        <f>B23</f>
        <v>自然及人文环境</v>
      </c>
      <c r="R23" s="703" t="s">
        <v>18</v>
      </c>
      <c r="S23" s="704">
        <f>F23</f>
        <v>100</v>
      </c>
      <c r="T23" s="703" t="s">
        <v>18</v>
      </c>
      <c r="U23" s="704">
        <f>H23</f>
        <v>100</v>
      </c>
      <c r="V23" s="703" t="s">
        <v>18</v>
      </c>
      <c r="W23" s="704">
        <f>J23</f>
        <v>100</v>
      </c>
      <c r="X23" s="1351"/>
      <c r="Y23" s="3744"/>
      <c r="Z23" s="1352" t="str">
        <f>Q23</f>
        <v>自然及人文环境</v>
      </c>
      <c r="AA23" s="1349">
        <f>D23/F23</f>
        <v>1</v>
      </c>
      <c r="AB23" s="1349">
        <f>D23/H23</f>
        <v>1</v>
      </c>
      <c r="AC23" s="1349">
        <f>D23/J23</f>
        <v>1</v>
      </c>
    </row>
    <row r="24" spans="1:29" ht="15">
      <c r="A24" s="378"/>
      <c r="B24" s="406"/>
      <c r="C24" s="397"/>
      <c r="D24" s="398"/>
      <c r="E24" s="1893"/>
      <c r="F24" s="398"/>
      <c r="G24" s="1894"/>
      <c r="H24" s="398"/>
      <c r="I24" s="1894"/>
      <c r="J24" s="398"/>
      <c r="K24" s="1895"/>
      <c r="L24" s="2718"/>
      <c r="M24" s="2712"/>
      <c r="N24" s="2712"/>
      <c r="O24" s="2712"/>
      <c r="P24" s="3751"/>
      <c r="Q24" s="1348"/>
      <c r="R24" s="703"/>
      <c r="S24" s="704"/>
      <c r="T24" s="703"/>
      <c r="U24" s="704"/>
      <c r="V24" s="703"/>
      <c r="W24" s="704"/>
      <c r="X24" s="1351"/>
      <c r="Y24" s="3744"/>
      <c r="Z24" s="1352"/>
      <c r="AA24" s="1349">
        <v>1</v>
      </c>
      <c r="AB24" s="1349">
        <v>1</v>
      </c>
      <c r="AC24" s="1349">
        <v>1</v>
      </c>
    </row>
    <row r="25" spans="1:29" ht="15">
      <c r="A25" s="378"/>
      <c r="B25" s="374" t="s">
        <v>1692</v>
      </c>
      <c r="C25" s="410"/>
      <c r="D25" s="385">
        <v>100</v>
      </c>
      <c r="E25" s="1902"/>
      <c r="F25" s="385">
        <f>SUMIF(86:86,E25,87:87)-SUMIF(86:86,C25,87:87)+100</f>
        <v>100</v>
      </c>
      <c r="G25" s="1903"/>
      <c r="H25" s="385">
        <f>SUMIF(86:86,G25,87:87)-SUMIF(86:86,C25,87:87)+100</f>
        <v>100</v>
      </c>
      <c r="I25" s="1903"/>
      <c r="J25" s="385">
        <f>SUMIF(86:86,I25,87:87)-SUMIF(86:86,C25,87:87)+100</f>
        <v>100</v>
      </c>
      <c r="K25" s="376"/>
      <c r="L25" s="2718"/>
      <c r="M25" s="2712"/>
      <c r="N25" s="2712"/>
      <c r="O25" s="2712"/>
      <c r="P25" s="3751"/>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44"/>
      <c r="Z25" s="1352" t="str">
        <f>Q25</f>
        <v>楼层-1</v>
      </c>
      <c r="AA25" s="1349">
        <f t="shared" ref="AA25:AA46" si="15">D25/F25</f>
        <v>1</v>
      </c>
      <c r="AB25" s="1349">
        <f t="shared" ref="AB25:AB46" si="16">D25/H25</f>
        <v>1</v>
      </c>
      <c r="AC25" s="1349">
        <f t="shared" ref="AC25:AC46" si="17">D25/J25</f>
        <v>1</v>
      </c>
    </row>
    <row r="26" spans="1:29" ht="15">
      <c r="A26" s="378"/>
      <c r="B26" s="374" t="s">
        <v>1693</v>
      </c>
      <c r="C26" s="410"/>
      <c r="D26" s="385">
        <v>100</v>
      </c>
      <c r="E26" s="1902"/>
      <c r="F26" s="385">
        <f>SUMIF(88:88,E26,89:89)-SUMIF(88:88,C26,89:89)+100</f>
        <v>100</v>
      </c>
      <c r="G26" s="1903"/>
      <c r="H26" s="385">
        <f>SUMIF(88:88,G26,89:89)-SUMIF(88:88,C26,89:89)+100</f>
        <v>100</v>
      </c>
      <c r="I26" s="1903"/>
      <c r="J26" s="385">
        <f>SUMIF(88:88,I26,89:89)-SUMIF(88:88,C26,89:89)+100</f>
        <v>100</v>
      </c>
      <c r="K26" s="376"/>
      <c r="L26" s="2718"/>
      <c r="M26" s="2712"/>
      <c r="N26" s="2712"/>
      <c r="O26" s="2712"/>
      <c r="P26" s="3751"/>
      <c r="Q26" s="1348" t="str">
        <f t="shared" si="11"/>
        <v>朝向</v>
      </c>
      <c r="R26" s="703" t="s">
        <v>18</v>
      </c>
      <c r="S26" s="704">
        <f t="shared" si="12"/>
        <v>100</v>
      </c>
      <c r="T26" s="703" t="s">
        <v>18</v>
      </c>
      <c r="U26" s="704">
        <f t="shared" si="13"/>
        <v>100</v>
      </c>
      <c r="V26" s="703" t="s">
        <v>18</v>
      </c>
      <c r="W26" s="704">
        <f t="shared" si="14"/>
        <v>100</v>
      </c>
      <c r="X26" s="1351"/>
      <c r="Y26" s="3744"/>
      <c r="Z26" s="1352" t="str">
        <f>Q26</f>
        <v>朝向</v>
      </c>
      <c r="AA26" s="1349">
        <f t="shared" si="15"/>
        <v>1</v>
      </c>
      <c r="AB26" s="1349">
        <f t="shared" si="16"/>
        <v>1</v>
      </c>
      <c r="AC26" s="1349">
        <f t="shared" si="17"/>
        <v>1</v>
      </c>
    </row>
    <row r="27" spans="1:29" s="108" customFormat="1" ht="15">
      <c r="A27" s="381"/>
      <c r="B27" s="1129">
        <v>111</v>
      </c>
      <c r="C27" s="382"/>
      <c r="D27" s="412">
        <v>100</v>
      </c>
      <c r="E27" s="415"/>
      <c r="F27" s="412">
        <f>SUMIF(90:90,E27,91:91)-SUMIF(90:90,C27,91:91)+100</f>
        <v>100</v>
      </c>
      <c r="G27" s="413"/>
      <c r="H27" s="412">
        <f>SUMIF(90:90,G27,91:91)-SUMIF(90:90,C27,91:91)+100</f>
        <v>100</v>
      </c>
      <c r="I27" s="413"/>
      <c r="J27" s="412">
        <f>SUMIF(90:90,I27,91:91)-SUMIF(90:90,C27,91:91)+100</f>
        <v>100</v>
      </c>
      <c r="K27" s="1890"/>
      <c r="L27" s="2713"/>
      <c r="M27" s="2714"/>
      <c r="N27" s="2714"/>
      <c r="O27" s="2714"/>
      <c r="P27" s="3751"/>
      <c r="Q27" s="1339">
        <f t="shared" si="11"/>
        <v>111</v>
      </c>
      <c r="R27" s="699" t="s">
        <v>18</v>
      </c>
      <c r="S27" s="700">
        <f t="shared" si="12"/>
        <v>100</v>
      </c>
      <c r="T27" s="699" t="s">
        <v>18</v>
      </c>
      <c r="U27" s="700">
        <f t="shared" si="13"/>
        <v>100</v>
      </c>
      <c r="V27" s="699" t="s">
        <v>18</v>
      </c>
      <c r="W27" s="700">
        <f t="shared" si="14"/>
        <v>100</v>
      </c>
      <c r="X27" s="701"/>
      <c r="Y27" s="3744"/>
      <c r="Z27" s="52">
        <f>Q27</f>
        <v>111</v>
      </c>
      <c r="AA27" s="1349">
        <f t="shared" si="15"/>
        <v>1</v>
      </c>
      <c r="AB27" s="1349">
        <f t="shared" si="16"/>
        <v>1</v>
      </c>
      <c r="AC27" s="1349">
        <f t="shared" si="17"/>
        <v>1</v>
      </c>
    </row>
    <row r="28" spans="1:29" ht="15">
      <c r="A28" s="378"/>
      <c r="B28" s="1129">
        <v>111</v>
      </c>
      <c r="C28" s="384"/>
      <c r="D28" s="385">
        <v>100</v>
      </c>
      <c r="E28" s="384"/>
      <c r="F28" s="385">
        <f>SUMIF(92:92,E28,93:93)-SUMIF(92:92,C28,93:93)+100</f>
        <v>100</v>
      </c>
      <c r="G28" s="1904"/>
      <c r="H28" s="385">
        <f>SUMIF(92:92,G28,93:93)-SUMIF(92:92,C28,93:93)+100</f>
        <v>100</v>
      </c>
      <c r="I28" s="384"/>
      <c r="J28" s="385">
        <f>SUMIF(92:92,I28,93:93)-SUMIF(92:92,C28,93:93)+100</f>
        <v>100</v>
      </c>
      <c r="K28" s="1890"/>
      <c r="L28" s="2718"/>
      <c r="M28" s="2712"/>
      <c r="N28" s="2712"/>
      <c r="O28" s="2712"/>
      <c r="P28" s="3751"/>
      <c r="Q28" s="1348">
        <f t="shared" si="11"/>
        <v>111</v>
      </c>
      <c r="R28" s="703" t="s">
        <v>18</v>
      </c>
      <c r="S28" s="704">
        <f t="shared" si="12"/>
        <v>100</v>
      </c>
      <c r="T28" s="703" t="s">
        <v>18</v>
      </c>
      <c r="U28" s="704">
        <f t="shared" si="13"/>
        <v>100</v>
      </c>
      <c r="V28" s="703" t="s">
        <v>18</v>
      </c>
      <c r="W28" s="704">
        <f t="shared" si="14"/>
        <v>100</v>
      </c>
      <c r="X28" s="1351"/>
      <c r="Y28" s="3744"/>
      <c r="Z28" s="1352">
        <f t="shared" ref="Z28:Z46" si="18">Q28</f>
        <v>111</v>
      </c>
      <c r="AA28" s="1349">
        <f t="shared" si="15"/>
        <v>1</v>
      </c>
      <c r="AB28" s="1349">
        <f t="shared" si="16"/>
        <v>1</v>
      </c>
      <c r="AC28" s="1349">
        <f t="shared" si="17"/>
        <v>1</v>
      </c>
    </row>
    <row r="29" spans="1:29" ht="15">
      <c r="A29" s="378"/>
      <c r="B29" s="1129">
        <v>111</v>
      </c>
      <c r="C29" s="384"/>
      <c r="D29" s="385">
        <v>100</v>
      </c>
      <c r="E29" s="384"/>
      <c r="F29" s="385">
        <f>SUMIF(94:94,E29,95:95)-SUMIF(94:94,C29,95:95)+100</f>
        <v>100</v>
      </c>
      <c r="G29" s="1904"/>
      <c r="H29" s="385">
        <f>SUMIF(94:94,G29,95:95)-SUMIF(94:94,C29,95:95)+100</f>
        <v>100</v>
      </c>
      <c r="I29" s="384"/>
      <c r="J29" s="385">
        <f>SUMIF(94:94,I29,95:95)-SUMIF(94:94,C29,95:95)+100</f>
        <v>100</v>
      </c>
      <c r="K29" s="1890"/>
      <c r="L29" s="2718"/>
      <c r="M29" s="2712"/>
      <c r="N29" s="2712"/>
      <c r="O29" s="2712"/>
      <c r="P29" s="3751"/>
      <c r="Q29" s="1348">
        <f t="shared" si="11"/>
        <v>111</v>
      </c>
      <c r="R29" s="703" t="s">
        <v>18</v>
      </c>
      <c r="S29" s="704">
        <f t="shared" si="12"/>
        <v>100</v>
      </c>
      <c r="T29" s="703" t="s">
        <v>18</v>
      </c>
      <c r="U29" s="704">
        <f t="shared" si="13"/>
        <v>100</v>
      </c>
      <c r="V29" s="703" t="s">
        <v>18</v>
      </c>
      <c r="W29" s="704">
        <f t="shared" si="14"/>
        <v>100</v>
      </c>
      <c r="X29" s="1351"/>
      <c r="Y29" s="3744"/>
      <c r="Z29" s="1352">
        <f t="shared" si="18"/>
        <v>111</v>
      </c>
      <c r="AA29" s="1349">
        <f t="shared" si="15"/>
        <v>1</v>
      </c>
      <c r="AB29" s="1349">
        <f t="shared" si="16"/>
        <v>1</v>
      </c>
      <c r="AC29" s="1349">
        <f t="shared" si="17"/>
        <v>1</v>
      </c>
    </row>
    <row r="30" spans="1:29" ht="15">
      <c r="A30" s="378"/>
      <c r="B30" s="1129">
        <v>111</v>
      </c>
      <c r="C30" s="384"/>
      <c r="D30" s="385">
        <v>100</v>
      </c>
      <c r="E30" s="384"/>
      <c r="F30" s="385">
        <f>SUMIF(96:96,E30,97:97)-SUMIF(96:96,C30,97:97)+100</f>
        <v>100</v>
      </c>
      <c r="G30" s="1904"/>
      <c r="H30" s="385">
        <f>SUMIF(96:96,G30,97:97)-SUMIF(96:96,C30,97:97)+100</f>
        <v>100</v>
      </c>
      <c r="I30" s="384"/>
      <c r="J30" s="385">
        <f>SUMIF(96:96,I30,97:97)-SUMIF(96:96,C30,97:97)+100</f>
        <v>100</v>
      </c>
      <c r="K30" s="1890"/>
      <c r="L30" s="2718"/>
      <c r="M30" s="2712"/>
      <c r="N30" s="2712"/>
      <c r="O30" s="2712"/>
      <c r="P30" s="3751"/>
      <c r="Q30" s="1348">
        <f t="shared" si="11"/>
        <v>111</v>
      </c>
      <c r="R30" s="703" t="s">
        <v>18</v>
      </c>
      <c r="S30" s="704">
        <f t="shared" si="12"/>
        <v>100</v>
      </c>
      <c r="T30" s="703" t="s">
        <v>18</v>
      </c>
      <c r="U30" s="704">
        <f t="shared" si="13"/>
        <v>100</v>
      </c>
      <c r="V30" s="703" t="s">
        <v>18</v>
      </c>
      <c r="W30" s="704">
        <f t="shared" si="14"/>
        <v>100</v>
      </c>
      <c r="X30" s="1351"/>
      <c r="Y30" s="3744"/>
      <c r="Z30" s="1352">
        <f t="shared" si="18"/>
        <v>111</v>
      </c>
      <c r="AA30" s="1349">
        <f t="shared" si="15"/>
        <v>1</v>
      </c>
      <c r="AB30" s="1349">
        <f t="shared" si="16"/>
        <v>1</v>
      </c>
      <c r="AC30" s="1349">
        <f t="shared" si="17"/>
        <v>1</v>
      </c>
    </row>
    <row r="31" spans="1:29" ht="15.6" thickBot="1">
      <c r="A31" s="386"/>
      <c r="B31" s="1129">
        <v>111</v>
      </c>
      <c r="C31" s="387"/>
      <c r="D31" s="388">
        <v>100</v>
      </c>
      <c r="E31" s="387"/>
      <c r="F31" s="388">
        <f>SUMIF(98:98,E31,99:99)-SUMIF(98:98,C31,99:99)+100</f>
        <v>100</v>
      </c>
      <c r="G31" s="1905"/>
      <c r="H31" s="388">
        <f>SUMIF(98:98,G31,99:99)-SUMIF(98:98,C31,99:99)+100</f>
        <v>100</v>
      </c>
      <c r="I31" s="387"/>
      <c r="J31" s="388">
        <f>SUMIF(98:98,I31,99:99)-SUMIF(98:98,C31,99:99)+100</f>
        <v>100</v>
      </c>
      <c r="K31" s="1890"/>
      <c r="L31" s="2718"/>
      <c r="M31" s="2712"/>
      <c r="N31" s="2712"/>
      <c r="O31" s="2712"/>
      <c r="P31" s="3751"/>
      <c r="Q31" s="1348">
        <f t="shared" si="11"/>
        <v>111</v>
      </c>
      <c r="R31" s="703" t="s">
        <v>18</v>
      </c>
      <c r="S31" s="704">
        <f t="shared" si="12"/>
        <v>100</v>
      </c>
      <c r="T31" s="703" t="s">
        <v>18</v>
      </c>
      <c r="U31" s="704">
        <f t="shared" si="13"/>
        <v>100</v>
      </c>
      <c r="V31" s="703" t="s">
        <v>18</v>
      </c>
      <c r="W31" s="704">
        <f t="shared" si="14"/>
        <v>100</v>
      </c>
      <c r="X31" s="1351"/>
      <c r="Y31" s="3744"/>
      <c r="Z31" s="1352">
        <f t="shared" si="18"/>
        <v>111</v>
      </c>
      <c r="AA31" s="1349">
        <f t="shared" si="15"/>
        <v>1</v>
      </c>
      <c r="AB31" s="1349">
        <f t="shared" si="16"/>
        <v>1</v>
      </c>
      <c r="AC31" s="1349">
        <f t="shared" si="17"/>
        <v>1</v>
      </c>
    </row>
    <row r="32" spans="1:29" ht="15">
      <c r="A32" s="390" t="s">
        <v>1694</v>
      </c>
      <c r="B32" s="63" t="s">
        <v>1695</v>
      </c>
      <c r="C32" s="1906"/>
      <c r="D32" s="417">
        <v>100</v>
      </c>
      <c r="E32" s="1907"/>
      <c r="F32" s="411">
        <f>SUMIF(100:100,E32,101:101)-SUMIF(100:100,C32,101:101)+100</f>
        <v>100</v>
      </c>
      <c r="G32" s="1906"/>
      <c r="H32" s="417">
        <f>SUMIF(100:100,G32,101:101)-SUMIF(100:100,C32,101:101)+100</f>
        <v>100</v>
      </c>
      <c r="I32" s="1907"/>
      <c r="J32" s="385">
        <f>SUMIF(100:100,I32,101:101)-SUMIF(100:100,C32,101:101)+100</f>
        <v>100</v>
      </c>
      <c r="K32" s="376"/>
      <c r="L32" s="2718"/>
      <c r="M32" s="2712"/>
      <c r="N32" s="2712"/>
      <c r="O32" s="2712"/>
      <c r="P32" s="3745" t="s">
        <v>1696</v>
      </c>
      <c r="Q32" s="1348" t="str">
        <f t="shared" si="11"/>
        <v>建筑类型</v>
      </c>
      <c r="R32" s="703" t="s">
        <v>18</v>
      </c>
      <c r="S32" s="704">
        <f t="shared" si="12"/>
        <v>100</v>
      </c>
      <c r="T32" s="703" t="s">
        <v>18</v>
      </c>
      <c r="U32" s="704">
        <f t="shared" si="13"/>
        <v>100</v>
      </c>
      <c r="V32" s="703" t="s">
        <v>18</v>
      </c>
      <c r="W32" s="704">
        <f t="shared" si="14"/>
        <v>100</v>
      </c>
      <c r="X32" s="1351"/>
      <c r="Y32" s="3748" t="s">
        <v>1696</v>
      </c>
      <c r="Z32" s="1352" t="str">
        <f t="shared" si="18"/>
        <v>建筑类型</v>
      </c>
      <c r="AA32" s="1349">
        <f t="shared" si="15"/>
        <v>1</v>
      </c>
      <c r="AB32" s="1349">
        <f t="shared" si="16"/>
        <v>1</v>
      </c>
      <c r="AC32" s="1349">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0"/>
      <c r="L33" s="2717"/>
      <c r="M33" s="2719"/>
      <c r="N33" s="2719"/>
      <c r="O33" s="2719"/>
      <c r="P33" s="3746"/>
      <c r="Q33" s="705" t="str">
        <f t="shared" si="11"/>
        <v>项目建筑规模</v>
      </c>
      <c r="R33" s="706" t="s">
        <v>18</v>
      </c>
      <c r="S33" s="707" t="e">
        <f t="shared" si="12"/>
        <v>#N/A</v>
      </c>
      <c r="T33" s="706" t="s">
        <v>18</v>
      </c>
      <c r="U33" s="707" t="e">
        <f t="shared" si="13"/>
        <v>#N/A</v>
      </c>
      <c r="V33" s="706" t="s">
        <v>18</v>
      </c>
      <c r="W33" s="707" t="e">
        <f t="shared" si="14"/>
        <v>#N/A</v>
      </c>
      <c r="X33" s="708"/>
      <c r="Y33" s="3748"/>
      <c r="Z33" s="709" t="str">
        <f t="shared" si="18"/>
        <v>项目建筑规模</v>
      </c>
      <c r="AA33" s="1349" t="e">
        <f t="shared" si="15"/>
        <v>#N/A</v>
      </c>
      <c r="AB33" s="1349" t="e">
        <f t="shared" si="16"/>
        <v>#N/A</v>
      </c>
      <c r="AC33" s="1349" t="e">
        <f t="shared" si="17"/>
        <v>#N/A</v>
      </c>
    </row>
    <row r="34" spans="1:29" ht="15">
      <c r="A34" s="422"/>
      <c r="B34" s="374" t="s">
        <v>1698</v>
      </c>
      <c r="C34" s="1908"/>
      <c r="D34" s="385">
        <v>100</v>
      </c>
      <c r="E34" s="1909"/>
      <c r="F34" s="411">
        <f>SUMIF(105:105,E34,106:106)-SUMIF(105:105,C34,106:106)+100</f>
        <v>100</v>
      </c>
      <c r="G34" s="1908"/>
      <c r="H34" s="385">
        <f>SUMIF(105:105,G34,106:106)-SUMIF(105:105,C34,106:106)+100</f>
        <v>100</v>
      </c>
      <c r="I34" s="1909"/>
      <c r="J34" s="385">
        <f>SUMIF(105:105,I34,106:106)-SUMIF(105:105,C34,106:106)+100</f>
        <v>100</v>
      </c>
      <c r="K34" s="376"/>
      <c r="L34" s="2718"/>
      <c r="M34" s="2712"/>
      <c r="N34" s="2712"/>
      <c r="O34" s="2712"/>
      <c r="P34" s="3746"/>
      <c r="Q34" s="1348" t="str">
        <f t="shared" si="11"/>
        <v>建筑结构</v>
      </c>
      <c r="R34" s="703" t="s">
        <v>18</v>
      </c>
      <c r="S34" s="704">
        <f t="shared" si="12"/>
        <v>100</v>
      </c>
      <c r="T34" s="703" t="s">
        <v>18</v>
      </c>
      <c r="U34" s="704">
        <f t="shared" si="13"/>
        <v>100</v>
      </c>
      <c r="V34" s="703" t="s">
        <v>18</v>
      </c>
      <c r="W34" s="704">
        <f t="shared" si="14"/>
        <v>100</v>
      </c>
      <c r="X34" s="1351"/>
      <c r="Y34" s="3748"/>
      <c r="Z34" s="1352" t="str">
        <f t="shared" si="18"/>
        <v>建筑结构</v>
      </c>
      <c r="AA34" s="1349">
        <f t="shared" si="15"/>
        <v>1</v>
      </c>
      <c r="AB34" s="1349">
        <f t="shared" si="16"/>
        <v>1</v>
      </c>
      <c r="AC34" s="1349">
        <f t="shared" si="17"/>
        <v>1</v>
      </c>
    </row>
    <row r="35" spans="1:29" ht="15">
      <c r="A35" s="422"/>
      <c r="B35" s="374" t="s">
        <v>1699</v>
      </c>
      <c r="C35" s="1902"/>
      <c r="D35" s="385">
        <v>100</v>
      </c>
      <c r="E35" s="1903"/>
      <c r="F35" s="411">
        <f>SUMIF(107:107,E35,108:108)-SUMIF(107:107,C35,108:108)+100</f>
        <v>100</v>
      </c>
      <c r="G35" s="1902"/>
      <c r="H35" s="385">
        <f>SUMIF(107:107,G35,108:108)-SUMIF(107:107,C35,108:108)+100</f>
        <v>100</v>
      </c>
      <c r="I35" s="1903"/>
      <c r="J35" s="385">
        <f>SUMIF(107:107,I35,108:108)-SUMIF(107:107,C35,108:108)+100</f>
        <v>100</v>
      </c>
      <c r="K35" s="376"/>
      <c r="L35" s="2718"/>
      <c r="M35" s="2712"/>
      <c r="N35" s="2712"/>
      <c r="O35" s="2712"/>
      <c r="P35" s="3746"/>
      <c r="Q35" s="1348" t="str">
        <f t="shared" si="11"/>
        <v>建筑品质</v>
      </c>
      <c r="R35" s="703" t="s">
        <v>18</v>
      </c>
      <c r="S35" s="704">
        <f t="shared" si="12"/>
        <v>100</v>
      </c>
      <c r="T35" s="703" t="s">
        <v>18</v>
      </c>
      <c r="U35" s="704">
        <f t="shared" si="13"/>
        <v>100</v>
      </c>
      <c r="V35" s="703" t="s">
        <v>18</v>
      </c>
      <c r="W35" s="704">
        <f t="shared" si="14"/>
        <v>100</v>
      </c>
      <c r="X35" s="1351"/>
      <c r="Y35" s="3748"/>
      <c r="Z35" s="1352" t="str">
        <f t="shared" si="18"/>
        <v>建筑品质</v>
      </c>
      <c r="AA35" s="1349">
        <f t="shared" si="15"/>
        <v>1</v>
      </c>
      <c r="AB35" s="1349">
        <f t="shared" si="16"/>
        <v>1</v>
      </c>
      <c r="AC35" s="1349">
        <f t="shared" si="17"/>
        <v>1</v>
      </c>
    </row>
    <row r="36" spans="1:29" ht="15">
      <c r="A36" s="422"/>
      <c r="B36" s="374" t="s">
        <v>1700</v>
      </c>
      <c r="C36" s="1902"/>
      <c r="D36" s="385">
        <v>100</v>
      </c>
      <c r="E36" s="1903"/>
      <c r="F36" s="411">
        <f>SUMIF(109:109,E36,110:110)-SUMIF(109:109,C36,110:110)+100</f>
        <v>100</v>
      </c>
      <c r="G36" s="1902"/>
      <c r="H36" s="385">
        <f>SUMIF(109:109,G36,110:110)-SUMIF(109:109,C36,110:110)+100</f>
        <v>100</v>
      </c>
      <c r="I36" s="1903"/>
      <c r="J36" s="385">
        <f>SUMIF(109:109,I36,110:110)-SUMIF(109:109,C36,110:110)+100</f>
        <v>100</v>
      </c>
      <c r="K36" s="376"/>
      <c r="L36" s="2718"/>
      <c r="M36" s="2712"/>
      <c r="N36" s="2712"/>
      <c r="O36" s="2712"/>
      <c r="P36" s="3746"/>
      <c r="Q36" s="1348" t="str">
        <f t="shared" si="11"/>
        <v>公共部分装修</v>
      </c>
      <c r="R36" s="703" t="s">
        <v>18</v>
      </c>
      <c r="S36" s="704">
        <f t="shared" si="12"/>
        <v>100</v>
      </c>
      <c r="T36" s="703" t="s">
        <v>18</v>
      </c>
      <c r="U36" s="704">
        <f t="shared" si="13"/>
        <v>100</v>
      </c>
      <c r="V36" s="703" t="s">
        <v>18</v>
      </c>
      <c r="W36" s="704">
        <f t="shared" si="14"/>
        <v>100</v>
      </c>
      <c r="X36" s="1351"/>
      <c r="Y36" s="3748"/>
      <c r="Z36" s="1352" t="str">
        <f t="shared" si="18"/>
        <v>公共部分装修</v>
      </c>
      <c r="AA36" s="1349">
        <f t="shared" si="15"/>
        <v>1</v>
      </c>
      <c r="AB36" s="1349">
        <f t="shared" si="16"/>
        <v>1</v>
      </c>
      <c r="AC36" s="1349">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3"/>
      <c r="M37" s="2714"/>
      <c r="N37" s="2714"/>
      <c r="O37" s="2714"/>
      <c r="P37" s="3746"/>
      <c r="Q37" s="1339" t="str">
        <f t="shared" si="11"/>
        <v>成新度</v>
      </c>
      <c r="R37" s="699" t="s">
        <v>18</v>
      </c>
      <c r="S37" s="700" t="e">
        <f t="shared" si="12"/>
        <v>#N/A</v>
      </c>
      <c r="T37" s="699" t="s">
        <v>18</v>
      </c>
      <c r="U37" s="700" t="e">
        <f t="shared" si="13"/>
        <v>#N/A</v>
      </c>
      <c r="V37" s="699" t="s">
        <v>18</v>
      </c>
      <c r="W37" s="700" t="e">
        <f t="shared" si="14"/>
        <v>#N/A</v>
      </c>
      <c r="X37" s="701"/>
      <c r="Y37" s="3748"/>
      <c r="Z37" s="52" t="str">
        <f t="shared" si="18"/>
        <v>成新度</v>
      </c>
      <c r="AA37" s="702" t="e">
        <f t="shared" si="15"/>
        <v>#N/A</v>
      </c>
      <c r="AB37" s="702" t="e">
        <f t="shared" si="16"/>
        <v>#N/A</v>
      </c>
      <c r="AC37" s="702" t="e">
        <f t="shared" si="17"/>
        <v>#N/A</v>
      </c>
    </row>
    <row r="38" spans="1:29" ht="15">
      <c r="A38" s="422"/>
      <c r="B38" s="374" t="s">
        <v>1702</v>
      </c>
      <c r="C38" s="1902"/>
      <c r="D38" s="385">
        <v>100</v>
      </c>
      <c r="E38" s="1903"/>
      <c r="F38" s="411">
        <f>SUMIF(114:114,E38,115:115)-SUMIF(114:114,C38,115:115)+100</f>
        <v>100</v>
      </c>
      <c r="G38" s="1902"/>
      <c r="H38" s="385">
        <f>SUMIF(114:114,G38,115:115)-SUMIF(114:114,C38,115:115)+100</f>
        <v>100</v>
      </c>
      <c r="I38" s="1903"/>
      <c r="J38" s="385">
        <f>SUMIF(114:114,I38,115:115)-SUMIF(114:114,C38,115:115)+100</f>
        <v>100</v>
      </c>
      <c r="K38" s="376"/>
      <c r="L38" s="2718"/>
      <c r="M38" s="2712"/>
      <c r="N38" s="2712"/>
      <c r="O38" s="2712"/>
      <c r="P38" s="3746" t="s">
        <v>1696</v>
      </c>
      <c r="Q38" s="1348" t="str">
        <f t="shared" si="11"/>
        <v>物业管理</v>
      </c>
      <c r="R38" s="703" t="s">
        <v>18</v>
      </c>
      <c r="S38" s="704">
        <f t="shared" si="12"/>
        <v>100</v>
      </c>
      <c r="T38" s="703" t="s">
        <v>18</v>
      </c>
      <c r="U38" s="704">
        <f t="shared" si="13"/>
        <v>100</v>
      </c>
      <c r="V38" s="703" t="s">
        <v>18</v>
      </c>
      <c r="W38" s="704">
        <f t="shared" si="14"/>
        <v>100</v>
      </c>
      <c r="X38" s="1351"/>
      <c r="Y38" s="3748" t="s">
        <v>1696</v>
      </c>
      <c r="Z38" s="1352" t="str">
        <f t="shared" si="18"/>
        <v>物业管理</v>
      </c>
      <c r="AA38" s="1349">
        <f t="shared" si="15"/>
        <v>1</v>
      </c>
      <c r="AB38" s="1349">
        <f t="shared" si="16"/>
        <v>1</v>
      </c>
      <c r="AC38" s="1349">
        <f t="shared" si="17"/>
        <v>1</v>
      </c>
    </row>
    <row r="39" spans="1:29" ht="15">
      <c r="A39" s="422"/>
      <c r="B39" s="374" t="s">
        <v>1703</v>
      </c>
      <c r="C39" s="1902"/>
      <c r="D39" s="385">
        <v>100</v>
      </c>
      <c r="E39" s="1903"/>
      <c r="F39" s="411">
        <f>SUMIF(116:116,E39,117:117)-SUMIF(116:116,C39,117:117)+100</f>
        <v>100</v>
      </c>
      <c r="G39" s="1902"/>
      <c r="H39" s="385">
        <f>SUMIF(116:116,G39,117:117)-SUMIF(116:116,C39,117:117)+100</f>
        <v>100</v>
      </c>
      <c r="I39" s="1903"/>
      <c r="J39" s="385">
        <f>SUMIF(116:116,I39,117:117)-SUMIF(116:116,C39,117:117)+100</f>
        <v>100</v>
      </c>
      <c r="K39" s="376"/>
      <c r="L39" s="2718"/>
      <c r="M39" s="2712"/>
      <c r="N39" s="2712"/>
      <c r="O39" s="2712"/>
      <c r="P39" s="3746"/>
      <c r="Q39" s="1348" t="str">
        <f t="shared" si="11"/>
        <v>市政基础设施</v>
      </c>
      <c r="R39" s="703" t="s">
        <v>18</v>
      </c>
      <c r="S39" s="704">
        <f t="shared" si="12"/>
        <v>100</v>
      </c>
      <c r="T39" s="703" t="s">
        <v>18</v>
      </c>
      <c r="U39" s="704">
        <f t="shared" si="13"/>
        <v>100</v>
      </c>
      <c r="V39" s="703" t="s">
        <v>18</v>
      </c>
      <c r="W39" s="704">
        <f t="shared" si="14"/>
        <v>100</v>
      </c>
      <c r="X39" s="1351"/>
      <c r="Y39" s="3748"/>
      <c r="Z39" s="1352" t="str">
        <f t="shared" si="18"/>
        <v>市政基础设施</v>
      </c>
      <c r="AA39" s="1349">
        <f t="shared" si="15"/>
        <v>1</v>
      </c>
      <c r="AB39" s="1349">
        <f t="shared" si="16"/>
        <v>1</v>
      </c>
      <c r="AC39" s="1349">
        <f t="shared" si="17"/>
        <v>1</v>
      </c>
    </row>
    <row r="40" spans="1:29" ht="15">
      <c r="A40" s="422"/>
      <c r="B40" s="374" t="s">
        <v>1704</v>
      </c>
      <c r="C40" s="1902"/>
      <c r="D40" s="385">
        <v>100</v>
      </c>
      <c r="E40" s="1903"/>
      <c r="F40" s="411">
        <f>SUMIF(118:118,E40,119:119)-SUMIF(118:118,C40,119:119)+100</f>
        <v>100</v>
      </c>
      <c r="G40" s="1902"/>
      <c r="H40" s="385">
        <f>SUMIF(118:118,G40,119:119)-SUMIF(118:118,C40,119:119)+100</f>
        <v>100</v>
      </c>
      <c r="I40" s="1903"/>
      <c r="J40" s="385">
        <f>SUMIF(118:118,I40,119:119)-SUMIF(118:118,C40,119:119)+100</f>
        <v>100</v>
      </c>
      <c r="K40" s="376"/>
      <c r="L40" s="2718"/>
      <c r="M40" s="2712"/>
      <c r="N40" s="2712"/>
      <c r="O40" s="2712"/>
      <c r="P40" s="3746"/>
      <c r="Q40" s="1348" t="str">
        <f t="shared" si="11"/>
        <v>房型</v>
      </c>
      <c r="R40" s="703" t="s">
        <v>18</v>
      </c>
      <c r="S40" s="704">
        <f t="shared" si="12"/>
        <v>100</v>
      </c>
      <c r="T40" s="703" t="s">
        <v>18</v>
      </c>
      <c r="U40" s="704">
        <f t="shared" si="13"/>
        <v>100</v>
      </c>
      <c r="V40" s="703" t="s">
        <v>18</v>
      </c>
      <c r="W40" s="704">
        <f t="shared" si="14"/>
        <v>100</v>
      </c>
      <c r="X40" s="1351"/>
      <c r="Y40" s="3748"/>
      <c r="Z40" s="1352" t="str">
        <f t="shared" si="18"/>
        <v>房型</v>
      </c>
      <c r="AA40" s="1349">
        <f t="shared" si="15"/>
        <v>1</v>
      </c>
      <c r="AB40" s="1349">
        <f t="shared" si="16"/>
        <v>1</v>
      </c>
      <c r="AC40" s="1349">
        <f t="shared" si="17"/>
        <v>1</v>
      </c>
    </row>
    <row r="41" spans="1:29" s="421" customFormat="1" ht="28.8">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0"/>
      <c r="L41" s="2717"/>
      <c r="M41" s="2719"/>
      <c r="N41" s="2719"/>
      <c r="O41" s="2719"/>
      <c r="P41" s="3746"/>
      <c r="Q41" s="705" t="str">
        <f t="shared" si="11"/>
        <v>单套/主力户型建筑面积</v>
      </c>
      <c r="R41" s="706" t="s">
        <v>18</v>
      </c>
      <c r="S41" s="707">
        <f t="shared" si="12"/>
        <v>100</v>
      </c>
      <c r="T41" s="706" t="s">
        <v>18</v>
      </c>
      <c r="U41" s="707">
        <f t="shared" si="13"/>
        <v>100</v>
      </c>
      <c r="V41" s="706" t="s">
        <v>18</v>
      </c>
      <c r="W41" s="707">
        <f t="shared" si="14"/>
        <v>100</v>
      </c>
      <c r="X41" s="708"/>
      <c r="Y41" s="3748"/>
      <c r="Z41" s="709" t="str">
        <f t="shared" si="18"/>
        <v>单套/主力户型建筑面积</v>
      </c>
      <c r="AA41" s="1349">
        <f t="shared" si="15"/>
        <v>1</v>
      </c>
      <c r="AB41" s="1349">
        <f t="shared" si="16"/>
        <v>1</v>
      </c>
      <c r="AC41" s="1349">
        <f t="shared" si="17"/>
        <v>1</v>
      </c>
    </row>
    <row r="42" spans="1:29" ht="15">
      <c r="A42" s="422"/>
      <c r="B42" s="374" t="s">
        <v>1706</v>
      </c>
      <c r="C42" s="1902"/>
      <c r="D42" s="385">
        <v>100</v>
      </c>
      <c r="E42" s="1903"/>
      <c r="F42" s="411">
        <f>SUMIF(122:122,E42,123:123)-SUMIF(122:122,C42,123:123)+100</f>
        <v>100</v>
      </c>
      <c r="G42" s="1902"/>
      <c r="H42" s="385">
        <f>SUMIF(122:122,G42,123:123)-SUMIF(122:122,C42,123:123)+100</f>
        <v>100</v>
      </c>
      <c r="I42" s="1903"/>
      <c r="J42" s="385">
        <f>SUMIF(122:122,I42,123:123)-SUMIF(122:122,C42,123:123)+100</f>
        <v>100</v>
      </c>
      <c r="K42" s="376"/>
      <c r="L42" s="2718"/>
      <c r="M42" s="2712"/>
      <c r="N42" s="2712"/>
      <c r="O42" s="2712"/>
      <c r="P42" s="3746"/>
      <c r="Q42" s="1348" t="str">
        <f t="shared" si="11"/>
        <v>内部装修</v>
      </c>
      <c r="R42" s="703" t="s">
        <v>18</v>
      </c>
      <c r="S42" s="704">
        <f t="shared" si="12"/>
        <v>100</v>
      </c>
      <c r="T42" s="703" t="s">
        <v>18</v>
      </c>
      <c r="U42" s="704">
        <f t="shared" si="13"/>
        <v>100</v>
      </c>
      <c r="V42" s="703" t="s">
        <v>18</v>
      </c>
      <c r="W42" s="704">
        <f t="shared" si="14"/>
        <v>100</v>
      </c>
      <c r="X42" s="1351"/>
      <c r="Y42" s="3748"/>
      <c r="Z42" s="1352" t="str">
        <f t="shared" si="18"/>
        <v>内部装修</v>
      </c>
      <c r="AA42" s="1349">
        <f t="shared" si="15"/>
        <v>1</v>
      </c>
      <c r="AB42" s="1349">
        <f t="shared" si="16"/>
        <v>1</v>
      </c>
      <c r="AC42" s="1349">
        <f t="shared" si="17"/>
        <v>1</v>
      </c>
    </row>
    <row r="43" spans="1:29" ht="28.8">
      <c r="A43" s="422"/>
      <c r="B43" s="374" t="s">
        <v>1707</v>
      </c>
      <c r="C43" s="1902"/>
      <c r="D43" s="385">
        <v>100</v>
      </c>
      <c r="E43" s="1903"/>
      <c r="F43" s="411">
        <f>SUMIF(124:124,E43,125:125)-SUMIF(124:124,C43,125:125)+100</f>
        <v>100</v>
      </c>
      <c r="G43" s="1902"/>
      <c r="H43" s="385">
        <f>SUMIF(124:124,G43,125:125)-SUMIF(124:124,C43,125:125)+100</f>
        <v>100</v>
      </c>
      <c r="I43" s="1903"/>
      <c r="J43" s="385">
        <f>SUMIF(124:124,I43,125:125)-SUMIF(124:124,C43,125:125)+100</f>
        <v>100</v>
      </c>
      <c r="K43" s="376"/>
      <c r="L43" s="2718"/>
      <c r="M43" s="2712"/>
      <c r="N43" s="2712"/>
      <c r="O43" s="2712"/>
      <c r="P43" s="3746"/>
      <c r="Q43" s="1348" t="str">
        <f t="shared" si="11"/>
        <v>内部装修维护情况</v>
      </c>
      <c r="R43" s="703" t="s">
        <v>18</v>
      </c>
      <c r="S43" s="704">
        <f t="shared" si="12"/>
        <v>100</v>
      </c>
      <c r="T43" s="703" t="s">
        <v>18</v>
      </c>
      <c r="U43" s="704">
        <f t="shared" si="13"/>
        <v>100</v>
      </c>
      <c r="V43" s="703" t="s">
        <v>18</v>
      </c>
      <c r="W43" s="704">
        <f t="shared" si="14"/>
        <v>100</v>
      </c>
      <c r="X43" s="1351"/>
      <c r="Y43" s="3748"/>
      <c r="Z43" s="1352" t="str">
        <f t="shared" si="18"/>
        <v>内部装修维护情况</v>
      </c>
      <c r="AA43" s="1349">
        <f t="shared" si="15"/>
        <v>1</v>
      </c>
      <c r="AB43" s="1349">
        <f t="shared" si="16"/>
        <v>1</v>
      </c>
      <c r="AC43" s="1349">
        <f t="shared" si="17"/>
        <v>1</v>
      </c>
    </row>
    <row r="44" spans="1:29" s="108" customFormat="1" ht="15">
      <c r="A44" s="423"/>
      <c r="B44" s="1129">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0"/>
      <c r="L44" s="2713"/>
      <c r="M44" s="2714"/>
      <c r="N44" s="2714"/>
      <c r="O44" s="2714"/>
      <c r="P44" s="3746"/>
      <c r="Q44" s="1339">
        <f t="shared" si="11"/>
        <v>111</v>
      </c>
      <c r="R44" s="699" t="s">
        <v>18</v>
      </c>
      <c r="S44" s="700">
        <f t="shared" si="12"/>
        <v>100</v>
      </c>
      <c r="T44" s="699" t="s">
        <v>18</v>
      </c>
      <c r="U44" s="700">
        <f t="shared" si="13"/>
        <v>100</v>
      </c>
      <c r="V44" s="699" t="s">
        <v>18</v>
      </c>
      <c r="W44" s="700">
        <f t="shared" si="14"/>
        <v>100</v>
      </c>
      <c r="X44" s="701"/>
      <c r="Y44" s="3748"/>
      <c r="Z44" s="52">
        <f t="shared" si="18"/>
        <v>111</v>
      </c>
      <c r="AA44" s="702">
        <f t="shared" si="15"/>
        <v>1</v>
      </c>
      <c r="AB44" s="702">
        <f t="shared" si="16"/>
        <v>1</v>
      </c>
      <c r="AC44" s="702">
        <f t="shared" si="17"/>
        <v>1</v>
      </c>
    </row>
    <row r="45" spans="1:29" ht="15">
      <c r="A45" s="422"/>
      <c r="B45" s="1129">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0"/>
      <c r="L45" s="2718"/>
      <c r="M45" s="2712"/>
      <c r="N45" s="2712"/>
      <c r="O45" s="2712"/>
      <c r="P45" s="3746"/>
      <c r="Q45" s="1348">
        <f t="shared" si="11"/>
        <v>111</v>
      </c>
      <c r="R45" s="703" t="s">
        <v>18</v>
      </c>
      <c r="S45" s="704">
        <f t="shared" si="12"/>
        <v>100</v>
      </c>
      <c r="T45" s="703" t="s">
        <v>18</v>
      </c>
      <c r="U45" s="704">
        <f t="shared" si="13"/>
        <v>100</v>
      </c>
      <c r="V45" s="703" t="s">
        <v>18</v>
      </c>
      <c r="W45" s="704">
        <f t="shared" si="14"/>
        <v>100</v>
      </c>
      <c r="X45" s="1351"/>
      <c r="Y45" s="3748"/>
      <c r="Z45" s="1352">
        <f t="shared" si="18"/>
        <v>111</v>
      </c>
      <c r="AA45" s="1349">
        <f t="shared" si="15"/>
        <v>1</v>
      </c>
      <c r="AB45" s="1349">
        <f t="shared" si="16"/>
        <v>1</v>
      </c>
      <c r="AC45" s="1349">
        <f t="shared" si="17"/>
        <v>1</v>
      </c>
    </row>
    <row r="46" spans="1:29" ht="15.6" thickBot="1">
      <c r="A46" s="428"/>
      <c r="B46" s="1891">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0"/>
      <c r="L46" s="2718"/>
      <c r="M46" s="2712"/>
      <c r="N46" s="2712"/>
      <c r="O46" s="2712"/>
      <c r="P46" s="3747"/>
      <c r="Q46" s="1348">
        <f t="shared" si="11"/>
        <v>111</v>
      </c>
      <c r="R46" s="703" t="s">
        <v>17</v>
      </c>
      <c r="S46" s="704">
        <f t="shared" si="12"/>
        <v>100</v>
      </c>
      <c r="T46" s="703" t="s">
        <v>17</v>
      </c>
      <c r="U46" s="704">
        <f t="shared" si="13"/>
        <v>100</v>
      </c>
      <c r="V46" s="703" t="s">
        <v>17</v>
      </c>
      <c r="W46" s="704">
        <f t="shared" si="14"/>
        <v>100</v>
      </c>
      <c r="X46" s="1351"/>
      <c r="Y46" s="3749"/>
      <c r="Z46" s="1352">
        <f t="shared" si="18"/>
        <v>111</v>
      </c>
      <c r="AA46" s="1349">
        <f t="shared" si="15"/>
        <v>1</v>
      </c>
      <c r="AB46" s="1349">
        <f t="shared" si="16"/>
        <v>1</v>
      </c>
      <c r="AC46" s="1349">
        <f t="shared" si="17"/>
        <v>1</v>
      </c>
    </row>
    <row r="47" spans="1:29" ht="14.4">
      <c r="A47" s="429" t="s">
        <v>1708</v>
      </c>
      <c r="B47" s="430"/>
      <c r="C47" s="1150" t="s">
        <v>16</v>
      </c>
      <c r="D47" s="1151"/>
      <c r="E47" s="1152"/>
      <c r="F47" s="1153"/>
      <c r="G47" s="1154"/>
      <c r="H47" s="1155"/>
      <c r="I47" s="1152"/>
      <c r="J47" s="1155"/>
      <c r="K47" s="1910"/>
      <c r="L47" s="2720"/>
      <c r="M47" s="2721"/>
      <c r="N47" s="2712"/>
      <c r="O47" s="2721"/>
      <c r="P47" s="3741" t="str">
        <f>A47</f>
        <v>成交单价（元/平方米）</v>
      </c>
      <c r="Q47" s="3741"/>
      <c r="R47" s="3742">
        <f>E47</f>
        <v>0</v>
      </c>
      <c r="S47" s="3742"/>
      <c r="T47" s="3742">
        <f>G47</f>
        <v>0</v>
      </c>
      <c r="U47" s="3742"/>
      <c r="V47" s="3742">
        <f>I47</f>
        <v>0</v>
      </c>
      <c r="W47" s="3742"/>
      <c r="X47" s="688"/>
      <c r="Y47" s="710"/>
      <c r="Z47" s="688"/>
      <c r="AA47" s="688"/>
      <c r="AB47" s="688"/>
      <c r="AC47" s="688"/>
    </row>
    <row r="48" spans="1:29" ht="15" thickBot="1">
      <c r="A48" s="436" t="s">
        <v>1709</v>
      </c>
      <c r="B48" s="437"/>
      <c r="C48" s="1156" t="e">
        <f>R49</f>
        <v>#DIV/0!</v>
      </c>
      <c r="D48" s="2313" t="s">
        <v>2138</v>
      </c>
      <c r="E48" s="1157" t="e">
        <f>R48</f>
        <v>#DIV/0!</v>
      </c>
      <c r="F48" s="2314"/>
      <c r="G48" s="1156" t="e">
        <f>T48</f>
        <v>#DIV/0!</v>
      </c>
      <c r="H48" s="2314"/>
      <c r="I48" s="1157" t="e">
        <f>V48</f>
        <v>#DIV/0!</v>
      </c>
      <c r="J48" s="2314"/>
      <c r="K48" s="2315">
        <f>F48+H48+J48</f>
        <v>0</v>
      </c>
      <c r="L48" s="2720"/>
      <c r="M48" s="2721"/>
      <c r="N48" s="2721"/>
      <c r="O48" s="2721"/>
      <c r="P48" s="3741" t="str">
        <f>A48</f>
        <v>比较价值（元/平方米）</v>
      </c>
      <c r="Q48" s="3741"/>
      <c r="R48" s="3742" t="e">
        <f>IF(F1="售价",ROUND(PRODUCT(R47,AA7:AA46),0),ROUND(PRODUCT(R47,AA7:AA46),1))</f>
        <v>#DIV/0!</v>
      </c>
      <c r="S48" s="3742"/>
      <c r="T48" s="3742" t="e">
        <f>IF(F1="售价",ROUND(PRODUCT(T47,AB7:AB46),0),ROUND(PRODUCT(T47,AB7:AB46),1))</f>
        <v>#DIV/0!</v>
      </c>
      <c r="U48" s="3742"/>
      <c r="V48" s="3742" t="e">
        <f>IF(F1="售价",ROUND(PRODUCT(V47,AC7:AC46),0),ROUND(PRODUCT(V47,AC7:AC46),1))</f>
        <v>#DIV/0!</v>
      </c>
      <c r="W48" s="3742"/>
      <c r="X48" s="688"/>
      <c r="Y48" s="688"/>
      <c r="Z48" s="688"/>
      <c r="AA48" s="688"/>
      <c r="AB48" s="688"/>
      <c r="AC48" s="688"/>
    </row>
    <row r="49" spans="1:29" ht="15" thickBot="1">
      <c r="A49" s="440" t="s">
        <v>1710</v>
      </c>
      <c r="B49" s="441"/>
      <c r="C49" s="1158" t="e">
        <f>R49</f>
        <v>#DIV/0!</v>
      </c>
      <c r="D49" s="1159"/>
      <c r="E49" s="1159"/>
      <c r="F49" s="1159"/>
      <c r="G49" s="1159"/>
      <c r="H49" s="1159"/>
      <c r="I49" s="1159"/>
      <c r="J49" s="1159"/>
      <c r="K49" s="1911"/>
      <c r="L49" s="2720"/>
      <c r="M49" s="2721"/>
      <c r="N49" s="2721"/>
      <c r="O49" s="2721"/>
      <c r="P49" s="3738" t="str">
        <f>A49</f>
        <v>估价对象XX用房的比较价值（楼面单价，元/平方米）</v>
      </c>
      <c r="Q49" s="3739"/>
      <c r="R49" s="3740" t="e">
        <f>IF(F1="售价",ROUND(IF(D48="简单平均",AVERAGE(R48:V48),R48*F48+T48*H48+V48*J48),0),ROUND(IF(D48="简单平均",AVERAGE(R48:V48),R48*F48+T48*H48+V48*J48),1))</f>
        <v>#DIV/0!</v>
      </c>
      <c r="S49" s="3740"/>
      <c r="T49" s="3740"/>
      <c r="U49" s="3740"/>
      <c r="V49" s="3740"/>
      <c r="W49" s="3740"/>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6"/>
      <c r="L52" s="2722"/>
      <c r="M52" s="2721"/>
      <c r="N52" s="2721"/>
      <c r="O52" s="2721"/>
    </row>
    <row r="53" spans="1:29" ht="13.5" customHeight="1">
      <c r="A53" s="2721"/>
      <c r="B53" s="2721"/>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6"/>
      <c r="L53" s="2722"/>
      <c r="M53" s="2721"/>
      <c r="N53" s="2721"/>
      <c r="O53" s="2721"/>
    </row>
    <row r="54" spans="1:29" s="450" customFormat="1" ht="13.5" customHeight="1">
      <c r="A54" s="2724"/>
      <c r="B54" s="2724"/>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9"/>
      <c r="L54" s="2723"/>
      <c r="M54" s="2724"/>
      <c r="N54" s="2724"/>
      <c r="O54" s="2724"/>
      <c r="P54" s="1913"/>
    </row>
    <row r="55" spans="1:29" s="450"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2.2" thickBot="1">
      <c r="A57" s="692" t="s">
        <v>1714</v>
      </c>
      <c r="B57" s="688"/>
      <c r="C57" s="693"/>
      <c r="D57" s="693"/>
      <c r="E57" s="693"/>
      <c r="F57" s="694"/>
      <c r="G57" s="694"/>
      <c r="H57" s="693"/>
      <c r="I57" s="693"/>
      <c r="J57" s="693"/>
      <c r="K57" s="937"/>
      <c r="L57" s="938"/>
      <c r="M57" s="936"/>
      <c r="N57" s="936"/>
      <c r="O57" s="936"/>
      <c r="P57" s="1914"/>
      <c r="Q57" s="452"/>
    </row>
    <row r="58" spans="1:29" s="456" customFormat="1" ht="14.4">
      <c r="A58" s="453" t="s">
        <v>1715</v>
      </c>
      <c r="B58" s="454"/>
      <c r="C58" s="1182" t="str">
        <f>YEAR(C7)&amp;"-"&amp;MONTH(C7)</f>
        <v>2023-3</v>
      </c>
      <c r="D58" s="1181">
        <f>EDATE(C58,-1)</f>
        <v>44958</v>
      </c>
      <c r="E58" s="1181">
        <f>EDATE(D58,-1)</f>
        <v>44927</v>
      </c>
      <c r="F58" s="1181">
        <f t="shared" ref="F58:O58" si="19">EDATE(E58,-1)</f>
        <v>44896</v>
      </c>
      <c r="G58" s="1181">
        <f t="shared" si="19"/>
        <v>44866</v>
      </c>
      <c r="H58" s="1181">
        <f t="shared" si="19"/>
        <v>44835</v>
      </c>
      <c r="I58" s="1181">
        <f t="shared" si="19"/>
        <v>44805</v>
      </c>
      <c r="J58" s="1181">
        <f t="shared" si="19"/>
        <v>44774</v>
      </c>
      <c r="K58" s="1181">
        <f t="shared" si="19"/>
        <v>44743</v>
      </c>
      <c r="L58" s="1181">
        <f t="shared" si="19"/>
        <v>44713</v>
      </c>
      <c r="M58" s="1181">
        <f t="shared" si="19"/>
        <v>44682</v>
      </c>
      <c r="N58" s="1181">
        <f t="shared" si="19"/>
        <v>44652</v>
      </c>
      <c r="O58" s="1181">
        <f t="shared" si="19"/>
        <v>44621</v>
      </c>
      <c r="P58" s="1177"/>
    </row>
    <row r="59" spans="1:29" s="108" customFormat="1">
      <c r="A59" s="457"/>
      <c r="B59" s="1915"/>
      <c r="C59" s="1179">
        <v>100</v>
      </c>
      <c r="D59" s="459"/>
      <c r="E59" s="460"/>
      <c r="F59" s="460"/>
      <c r="G59" s="460"/>
      <c r="H59" s="460"/>
      <c r="I59" s="460"/>
      <c r="J59" s="460"/>
      <c r="K59" s="460"/>
      <c r="L59" s="460"/>
      <c r="M59" s="461"/>
      <c r="N59" s="460"/>
      <c r="O59" s="461"/>
      <c r="P59" s="1916"/>
    </row>
    <row r="60" spans="1:29" s="108" customFormat="1" ht="15" thickBot="1">
      <c r="A60" s="463" t="s">
        <v>1716</v>
      </c>
      <c r="B60" s="464"/>
      <c r="C60" s="465"/>
      <c r="D60" s="466"/>
      <c r="E60" s="466"/>
      <c r="F60" s="466"/>
      <c r="G60" s="466"/>
      <c r="H60" s="466"/>
      <c r="I60" s="466"/>
      <c r="J60" s="466"/>
      <c r="K60" s="466"/>
      <c r="L60" s="466"/>
      <c r="M60" s="467"/>
      <c r="N60" s="466"/>
      <c r="O60" s="467"/>
      <c r="P60" s="1916"/>
      <c r="Q60" s="452"/>
    </row>
    <row r="61" spans="1:29" s="108" customFormat="1" ht="14.4">
      <c r="A61" s="469" t="s">
        <v>1717</v>
      </c>
      <c r="B61" s="458"/>
      <c r="C61" s="470" t="s">
        <v>1718</v>
      </c>
      <c r="D61" s="471"/>
      <c r="E61" s="471"/>
      <c r="F61" s="471"/>
      <c r="G61" s="471"/>
      <c r="H61" s="471"/>
      <c r="I61" s="471"/>
      <c r="J61" s="471"/>
      <c r="K61" s="471"/>
      <c r="L61" s="472"/>
      <c r="M61" s="473"/>
      <c r="N61" s="928"/>
      <c r="O61" s="928"/>
      <c r="P61" s="1917"/>
      <c r="Q61" s="452"/>
    </row>
    <row r="62" spans="1:29" s="108" customFormat="1" ht="14.4" thickBot="1">
      <c r="A62" s="469"/>
      <c r="B62" s="458"/>
      <c r="C62" s="459">
        <v>100</v>
      </c>
      <c r="D62" s="460"/>
      <c r="E62" s="460"/>
      <c r="F62" s="460"/>
      <c r="G62" s="460"/>
      <c r="H62" s="460"/>
      <c r="I62" s="460"/>
      <c r="J62" s="460"/>
      <c r="K62" s="460"/>
      <c r="L62" s="460"/>
      <c r="M62" s="462"/>
      <c r="N62" s="928"/>
      <c r="O62" s="928"/>
      <c r="P62" s="1916"/>
      <c r="Q62" s="452"/>
    </row>
    <row r="63" spans="1:29" ht="14.4">
      <c r="A63" s="475" t="s">
        <v>1719</v>
      </c>
      <c r="B63" s="476" t="s">
        <v>1685</v>
      </c>
      <c r="C63" s="477">
        <f>C9</f>
        <v>0</v>
      </c>
      <c r="D63" s="478"/>
      <c r="E63" s="478"/>
      <c r="F63" s="478"/>
      <c r="G63" s="478"/>
      <c r="H63" s="478"/>
      <c r="I63" s="478"/>
      <c r="J63" s="478"/>
      <c r="K63" s="479"/>
      <c r="L63" s="480"/>
      <c r="M63" s="481"/>
      <c r="N63" s="929"/>
      <c r="O63" s="929"/>
      <c r="P63" s="1918"/>
      <c r="Q63" s="452"/>
    </row>
    <row r="64" spans="1:29" ht="14.4" thickBot="1">
      <c r="A64" s="482"/>
      <c r="B64" s="483"/>
      <c r="C64" s="484">
        <v>100</v>
      </c>
      <c r="D64" s="484"/>
      <c r="E64" s="484"/>
      <c r="F64" s="484"/>
      <c r="G64" s="484"/>
      <c r="H64" s="484"/>
      <c r="I64" s="484"/>
      <c r="J64" s="484"/>
      <c r="K64" s="484"/>
      <c r="L64" s="484"/>
      <c r="M64" s="485"/>
      <c r="N64" s="930"/>
      <c r="O64" s="930"/>
      <c r="P64" s="1918"/>
      <c r="Q64" s="452"/>
    </row>
    <row r="65" spans="1:17" ht="29.4" thickTop="1">
      <c r="A65" s="482"/>
      <c r="B65" s="486" t="s">
        <v>1688</v>
      </c>
      <c r="C65" s="531"/>
      <c r="D65" s="531"/>
      <c r="E65" s="531"/>
      <c r="F65" s="531"/>
      <c r="G65" s="531"/>
      <c r="H65" s="531"/>
      <c r="I65" s="531"/>
      <c r="J65" s="531"/>
      <c r="K65" s="531"/>
      <c r="L65" s="531"/>
      <c r="M65" s="531"/>
      <c r="N65" s="930"/>
      <c r="O65" s="930"/>
      <c r="P65" s="1918"/>
      <c r="Q65" s="452"/>
    </row>
    <row r="66" spans="1:17" ht="14.4" thickBot="1">
      <c r="A66" s="482"/>
      <c r="B66" s="491"/>
      <c r="C66" s="484"/>
      <c r="D66" s="484"/>
      <c r="E66" s="484"/>
      <c r="F66" s="484"/>
      <c r="G66" s="484"/>
      <c r="H66" s="484"/>
      <c r="I66" s="484"/>
      <c r="J66" s="484"/>
      <c r="K66" s="484"/>
      <c r="L66" s="484"/>
      <c r="M66" s="485"/>
      <c r="N66" s="930"/>
      <c r="O66" s="930"/>
      <c r="P66" s="1918"/>
      <c r="Q66" s="452"/>
    </row>
    <row r="67" spans="1:17" ht="1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0"/>
      <c r="O67" s="930"/>
      <c r="P67" s="1918"/>
      <c r="Q67" s="452"/>
    </row>
    <row r="68" spans="1:17">
      <c r="A68" s="482"/>
      <c r="B68" s="496"/>
      <c r="C68" s="497"/>
      <c r="D68" s="497"/>
      <c r="E68" s="497"/>
      <c r="F68" s="497"/>
      <c r="G68" s="497"/>
      <c r="H68" s="497"/>
      <c r="I68" s="497"/>
      <c r="J68" s="497"/>
      <c r="K68" s="498"/>
      <c r="L68" s="499"/>
      <c r="M68" s="500"/>
      <c r="N68" s="929"/>
      <c r="O68" s="929"/>
      <c r="P68" s="1918"/>
      <c r="Q68" s="452"/>
    </row>
    <row r="69" spans="1:17" ht="14.4"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0"/>
      <c r="O69" s="930"/>
      <c r="P69" s="1918"/>
      <c r="Q69" s="452"/>
    </row>
    <row r="70" spans="1:17" s="421" customFormat="1" ht="14.4" thickTop="1">
      <c r="A70" s="501"/>
      <c r="B70" s="486">
        <f>B12</f>
        <v>111</v>
      </c>
      <c r="C70" s="502"/>
      <c r="D70" s="502"/>
      <c r="E70" s="502"/>
      <c r="F70" s="502"/>
      <c r="G70" s="502"/>
      <c r="H70" s="503"/>
      <c r="I70" s="503"/>
      <c r="J70" s="503"/>
      <c r="K70" s="503"/>
      <c r="L70" s="504"/>
      <c r="M70" s="505"/>
      <c r="N70" s="931"/>
      <c r="O70" s="931"/>
      <c r="P70" s="1919"/>
      <c r="Q70" s="507"/>
    </row>
    <row r="71" spans="1:17" s="421" customFormat="1" ht="14.4" thickBot="1">
      <c r="A71" s="501"/>
      <c r="B71" s="491"/>
      <c r="C71" s="508"/>
      <c r="D71" s="484"/>
      <c r="E71" s="484"/>
      <c r="F71" s="484"/>
      <c r="G71" s="484"/>
      <c r="H71" s="484"/>
      <c r="I71" s="484"/>
      <c r="J71" s="484"/>
      <c r="K71" s="484"/>
      <c r="L71" s="484"/>
      <c r="M71" s="485"/>
      <c r="N71" s="930"/>
      <c r="O71" s="930"/>
      <c r="P71" s="1919"/>
      <c r="Q71" s="507"/>
    </row>
    <row r="72" spans="1:17" s="421" customFormat="1" ht="14.4" thickTop="1">
      <c r="A72" s="501"/>
      <c r="B72" s="486">
        <f>B13</f>
        <v>111</v>
      </c>
      <c r="C72" s="502"/>
      <c r="D72" s="502"/>
      <c r="E72" s="502"/>
      <c r="F72" s="502"/>
      <c r="G72" s="502"/>
      <c r="H72" s="503"/>
      <c r="I72" s="503"/>
      <c r="J72" s="503"/>
      <c r="K72" s="503"/>
      <c r="L72" s="504"/>
      <c r="M72" s="505"/>
      <c r="N72" s="931"/>
      <c r="O72" s="931"/>
      <c r="P72" s="1920"/>
      <c r="Q72" s="509"/>
    </row>
    <row r="73" spans="1:17" s="421" customFormat="1" ht="14.4" thickBot="1">
      <c r="A73" s="501"/>
      <c r="B73" s="491"/>
      <c r="C73" s="508"/>
      <c r="D73" s="508"/>
      <c r="E73" s="508"/>
      <c r="F73" s="508"/>
      <c r="G73" s="508"/>
      <c r="H73" s="510"/>
      <c r="I73" s="510"/>
      <c r="J73" s="510"/>
      <c r="K73" s="510"/>
      <c r="L73" s="510"/>
      <c r="M73" s="511"/>
      <c r="N73" s="931"/>
      <c r="O73" s="931"/>
      <c r="P73" s="1919"/>
      <c r="Q73" s="507"/>
    </row>
    <row r="74" spans="1:17" s="421" customFormat="1" ht="14.4" thickTop="1">
      <c r="A74" s="501"/>
      <c r="B74" s="494">
        <f>B14</f>
        <v>111</v>
      </c>
      <c r="C74" s="502"/>
      <c r="D74" s="502"/>
      <c r="E74" s="502"/>
      <c r="F74" s="502"/>
      <c r="G74" s="471"/>
      <c r="H74" s="512"/>
      <c r="I74" s="512"/>
      <c r="J74" s="512"/>
      <c r="K74" s="512"/>
      <c r="L74" s="513"/>
      <c r="M74" s="514"/>
      <c r="N74" s="931"/>
      <c r="O74" s="931"/>
      <c r="P74" s="1921"/>
      <c r="Q74" s="507"/>
    </row>
    <row r="75" spans="1:17" s="421" customFormat="1" ht="14.4" thickBot="1">
      <c r="A75" s="516"/>
      <c r="B75" s="517"/>
      <c r="C75" s="518"/>
      <c r="D75" s="518"/>
      <c r="E75" s="518"/>
      <c r="F75" s="518"/>
      <c r="G75" s="518"/>
      <c r="H75" s="519"/>
      <c r="I75" s="519"/>
      <c r="J75" s="519"/>
      <c r="K75" s="519"/>
      <c r="L75" s="519"/>
      <c r="M75" s="520"/>
      <c r="N75" s="931"/>
      <c r="O75" s="931"/>
      <c r="P75" s="1919"/>
      <c r="Q75" s="507"/>
    </row>
    <row r="76" spans="1:17" ht="14.4">
      <c r="A76" s="475" t="s">
        <v>1690</v>
      </c>
      <c r="B76" s="476" t="s">
        <v>1720</v>
      </c>
      <c r="C76" s="521" t="s">
        <v>1721</v>
      </c>
      <c r="D76" s="521" t="s">
        <v>1722</v>
      </c>
      <c r="E76" s="521" t="s">
        <v>1723</v>
      </c>
      <c r="F76" s="521" t="s">
        <v>1724</v>
      </c>
      <c r="G76" s="521" t="s">
        <v>1725</v>
      </c>
      <c r="H76" s="477"/>
      <c r="I76" s="477"/>
      <c r="J76" s="477"/>
      <c r="K76" s="522"/>
      <c r="L76" s="523"/>
      <c r="M76" s="524"/>
      <c r="N76" s="929"/>
      <c r="O76" s="929"/>
      <c r="P76" s="1922"/>
      <c r="Q76" s="452"/>
    </row>
    <row r="77" spans="1:17" ht="14.4" thickBot="1">
      <c r="A77" s="482"/>
      <c r="B77" s="491"/>
      <c r="C77" s="492">
        <v>100</v>
      </c>
      <c r="D77" s="492">
        <f>C77-$K15</f>
        <v>100</v>
      </c>
      <c r="E77" s="492">
        <f>D77-$K15</f>
        <v>100</v>
      </c>
      <c r="F77" s="492">
        <f>E77-$K15</f>
        <v>100</v>
      </c>
      <c r="G77" s="492">
        <f>F77-$K15</f>
        <v>100</v>
      </c>
      <c r="H77" s="492"/>
      <c r="I77" s="492"/>
      <c r="J77" s="492"/>
      <c r="K77" s="492"/>
      <c r="L77" s="492"/>
      <c r="M77" s="493"/>
      <c r="N77" s="930"/>
      <c r="O77" s="930"/>
      <c r="P77" s="1918"/>
      <c r="Q77" s="452"/>
    </row>
    <row r="78" spans="1:17" ht="15" thickTop="1">
      <c r="A78" s="482"/>
      <c r="B78" s="486" t="s">
        <v>1726</v>
      </c>
      <c r="C78" s="526" t="s">
        <v>1721</v>
      </c>
      <c r="D78" s="526" t="s">
        <v>1722</v>
      </c>
      <c r="E78" s="526" t="s">
        <v>1723</v>
      </c>
      <c r="F78" s="526" t="s">
        <v>1724</v>
      </c>
      <c r="G78" s="526" t="s">
        <v>1725</v>
      </c>
      <c r="H78" s="487"/>
      <c r="I78" s="487"/>
      <c r="J78" s="487"/>
      <c r="K78" s="488"/>
      <c r="L78" s="489"/>
      <c r="M78" s="490"/>
      <c r="N78" s="929"/>
      <c r="O78" s="929"/>
      <c r="P78" s="1918"/>
      <c r="Q78" s="452"/>
    </row>
    <row r="79" spans="1:17" ht="14.4" thickBot="1">
      <c r="A79" s="482"/>
      <c r="B79" s="491"/>
      <c r="C79" s="492">
        <v>100</v>
      </c>
      <c r="D79" s="492">
        <f>C79-$K17</f>
        <v>100</v>
      </c>
      <c r="E79" s="492">
        <f>D79-$K17</f>
        <v>100</v>
      </c>
      <c r="F79" s="492">
        <f>E79-$K17</f>
        <v>100</v>
      </c>
      <c r="G79" s="492">
        <f>F79-$K17</f>
        <v>100</v>
      </c>
      <c r="H79" s="492"/>
      <c r="I79" s="492"/>
      <c r="J79" s="492"/>
      <c r="K79" s="492"/>
      <c r="L79" s="492"/>
      <c r="M79" s="493"/>
      <c r="N79" s="930"/>
      <c r="O79" s="930"/>
      <c r="P79" s="1918"/>
      <c r="Q79" s="452"/>
    </row>
    <row r="80" spans="1:17" ht="15" thickTop="1">
      <c r="A80" s="482"/>
      <c r="B80" s="486" t="s">
        <v>1727</v>
      </c>
      <c r="C80" s="526" t="s">
        <v>1721</v>
      </c>
      <c r="D80" s="526" t="s">
        <v>1722</v>
      </c>
      <c r="E80" s="526" t="s">
        <v>1723</v>
      </c>
      <c r="F80" s="526" t="s">
        <v>1724</v>
      </c>
      <c r="G80" s="526" t="s">
        <v>1725</v>
      </c>
      <c r="H80" s="487"/>
      <c r="I80" s="487"/>
      <c r="J80" s="487"/>
      <c r="K80" s="488"/>
      <c r="L80" s="489"/>
      <c r="M80" s="490"/>
      <c r="N80" s="929"/>
      <c r="O80" s="929"/>
      <c r="P80" s="1918"/>
      <c r="Q80" s="452"/>
    </row>
    <row r="81" spans="1:17" ht="14.4" thickBot="1">
      <c r="A81" s="482"/>
      <c r="B81" s="491"/>
      <c r="C81" s="492">
        <v>100</v>
      </c>
      <c r="D81" s="492">
        <f>C81-$K19</f>
        <v>100</v>
      </c>
      <c r="E81" s="492">
        <f>D81-$K19</f>
        <v>100</v>
      </c>
      <c r="F81" s="492">
        <f>E81-$K19</f>
        <v>100</v>
      </c>
      <c r="G81" s="492">
        <f>F81-$K19</f>
        <v>100</v>
      </c>
      <c r="H81" s="492"/>
      <c r="I81" s="492"/>
      <c r="J81" s="492"/>
      <c r="K81" s="492"/>
      <c r="L81" s="492"/>
      <c r="M81" s="493"/>
      <c r="N81" s="930"/>
      <c r="O81" s="930"/>
      <c r="P81" s="1918"/>
      <c r="Q81" s="452"/>
    </row>
    <row r="82" spans="1:17" ht="15" thickTop="1">
      <c r="A82" s="482"/>
      <c r="B82" s="494" t="s">
        <v>1260</v>
      </c>
      <c r="C82" s="487" t="s">
        <v>1728</v>
      </c>
      <c r="D82" s="487" t="s">
        <v>1729</v>
      </c>
      <c r="E82" s="487" t="s">
        <v>1730</v>
      </c>
      <c r="F82" s="487" t="s">
        <v>1731</v>
      </c>
      <c r="G82" s="487" t="s">
        <v>1732</v>
      </c>
      <c r="H82" s="487"/>
      <c r="I82" s="487"/>
      <c r="J82" s="487"/>
      <c r="K82" s="487"/>
      <c r="L82" s="487"/>
      <c r="M82" s="1125"/>
      <c r="N82" s="930"/>
      <c r="O82" s="930"/>
      <c r="P82" s="1918"/>
      <c r="Q82" s="452"/>
    </row>
    <row r="83" spans="1:17" ht="14.4"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0"/>
      <c r="O83" s="930"/>
      <c r="P83" s="1918"/>
      <c r="Q83" s="452"/>
    </row>
    <row r="84" spans="1:17" ht="15" thickTop="1">
      <c r="A84" s="482"/>
      <c r="B84" s="486" t="s">
        <v>1733</v>
      </c>
      <c r="C84" s="526" t="s">
        <v>1721</v>
      </c>
      <c r="D84" s="526" t="s">
        <v>1722</v>
      </c>
      <c r="E84" s="526" t="s">
        <v>1723</v>
      </c>
      <c r="F84" s="526" t="s">
        <v>1724</v>
      </c>
      <c r="G84" s="526" t="s">
        <v>1725</v>
      </c>
      <c r="H84" s="487"/>
      <c r="I84" s="487"/>
      <c r="J84" s="487"/>
      <c r="K84" s="488"/>
      <c r="L84" s="489"/>
      <c r="M84" s="490"/>
      <c r="N84" s="929"/>
      <c r="O84" s="929"/>
      <c r="P84" s="1918"/>
      <c r="Q84" s="452"/>
    </row>
    <row r="85" spans="1:17" ht="14.4" thickBot="1">
      <c r="A85" s="482"/>
      <c r="B85" s="491"/>
      <c r="C85" s="492">
        <v>100</v>
      </c>
      <c r="D85" s="492">
        <f>C85-$K23</f>
        <v>100</v>
      </c>
      <c r="E85" s="492">
        <f>D85-$K23</f>
        <v>100</v>
      </c>
      <c r="F85" s="492">
        <f>E85-$K23</f>
        <v>100</v>
      </c>
      <c r="G85" s="492">
        <f>F85-$K23</f>
        <v>100</v>
      </c>
      <c r="H85" s="492"/>
      <c r="I85" s="492"/>
      <c r="J85" s="492"/>
      <c r="K85" s="492"/>
      <c r="L85" s="492"/>
      <c r="M85" s="493"/>
      <c r="N85" s="930"/>
      <c r="O85" s="930"/>
      <c r="P85" s="1918"/>
      <c r="Q85" s="452"/>
    </row>
    <row r="86" spans="1:17" s="108" customFormat="1" ht="15" thickTop="1">
      <c r="A86" s="527"/>
      <c r="B86" s="486" t="s">
        <v>1734</v>
      </c>
      <c r="C86" s="502"/>
      <c r="D86" s="502"/>
      <c r="E86" s="502"/>
      <c r="F86" s="502"/>
      <c r="G86" s="502"/>
      <c r="H86" s="502"/>
      <c r="I86" s="502"/>
      <c r="J86" s="502"/>
      <c r="K86" s="502"/>
      <c r="L86" s="528"/>
      <c r="M86" s="529"/>
      <c r="N86" s="928"/>
      <c r="O86" s="928"/>
      <c r="P86" s="1918"/>
      <c r="Q86" s="452"/>
    </row>
    <row r="87" spans="1:17" s="108" customFormat="1" ht="14.4"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0"/>
      <c r="O87" s="930"/>
      <c r="P87" s="1918"/>
      <c r="Q87" s="452"/>
    </row>
    <row r="88" spans="1:17" s="108" customFormat="1" ht="15" thickTop="1">
      <c r="A88" s="527"/>
      <c r="B88" s="486" t="s">
        <v>1735</v>
      </c>
      <c r="C88" s="502"/>
      <c r="D88" s="502"/>
      <c r="E88" s="502"/>
      <c r="F88" s="1923"/>
      <c r="G88" s="502"/>
      <c r="H88" s="502"/>
      <c r="I88" s="502"/>
      <c r="J88" s="502"/>
      <c r="K88" s="502"/>
      <c r="L88" s="502"/>
      <c r="M88" s="529"/>
      <c r="N88" s="928"/>
      <c r="O88" s="928"/>
      <c r="P88" s="1918"/>
      <c r="Q88" s="452"/>
    </row>
    <row r="89" spans="1:17" s="108" customFormat="1" ht="14.4"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0"/>
      <c r="O89" s="930"/>
      <c r="P89" s="1918"/>
      <c r="Q89" s="452"/>
    </row>
    <row r="90" spans="1:17" s="421" customFormat="1" ht="14.4" thickTop="1">
      <c r="A90" s="501"/>
      <c r="B90" s="486">
        <f>B27</f>
        <v>111</v>
      </c>
      <c r="C90" s="502"/>
      <c r="D90" s="502"/>
      <c r="E90" s="502"/>
      <c r="F90" s="502"/>
      <c r="G90" s="502"/>
      <c r="H90" s="503"/>
      <c r="I90" s="503"/>
      <c r="J90" s="503"/>
      <c r="K90" s="503"/>
      <c r="L90" s="504"/>
      <c r="M90" s="505"/>
      <c r="N90" s="931"/>
      <c r="O90" s="931"/>
      <c r="P90" s="1919"/>
      <c r="Q90" s="507"/>
    </row>
    <row r="91" spans="1:17" s="421" customFormat="1" ht="14.4" thickBot="1">
      <c r="A91" s="501"/>
      <c r="B91" s="491"/>
      <c r="C91" s="508"/>
      <c r="D91" s="508"/>
      <c r="E91" s="508"/>
      <c r="F91" s="508"/>
      <c r="G91" s="508"/>
      <c r="H91" s="510"/>
      <c r="I91" s="510"/>
      <c r="J91" s="510"/>
      <c r="K91" s="510"/>
      <c r="L91" s="510"/>
      <c r="M91" s="511"/>
      <c r="N91" s="931"/>
      <c r="O91" s="931"/>
      <c r="P91" s="1919"/>
      <c r="Q91" s="507"/>
    </row>
    <row r="92" spans="1:17" ht="14.4" thickTop="1">
      <c r="A92" s="482"/>
      <c r="B92" s="486">
        <f>B28</f>
        <v>111</v>
      </c>
      <c r="C92" s="502"/>
      <c r="D92" s="502"/>
      <c r="E92" s="502"/>
      <c r="F92" s="502"/>
      <c r="G92" s="531"/>
      <c r="H92" s="531"/>
      <c r="I92" s="531"/>
      <c r="J92" s="531"/>
      <c r="K92" s="532"/>
      <c r="L92" s="533"/>
      <c r="M92" s="534"/>
      <c r="N92" s="929"/>
      <c r="O92" s="929"/>
      <c r="P92" s="1918"/>
      <c r="Q92" s="452"/>
    </row>
    <row r="93" spans="1:17" ht="14.4" thickBot="1">
      <c r="A93" s="482"/>
      <c r="B93" s="491"/>
      <c r="C93" s="508"/>
      <c r="D93" s="484"/>
      <c r="E93" s="484"/>
      <c r="F93" s="484"/>
      <c r="G93" s="484"/>
      <c r="H93" s="484"/>
      <c r="I93" s="484"/>
      <c r="J93" s="484"/>
      <c r="K93" s="484"/>
      <c r="L93" s="484"/>
      <c r="M93" s="485"/>
      <c r="N93" s="930"/>
      <c r="O93" s="930"/>
      <c r="P93" s="1918"/>
      <c r="Q93" s="452"/>
    </row>
    <row r="94" spans="1:17" ht="14.4" thickTop="1">
      <c r="A94" s="482"/>
      <c r="B94" s="486">
        <f>B29</f>
        <v>111</v>
      </c>
      <c r="C94" s="502"/>
      <c r="D94" s="502"/>
      <c r="E94" s="502"/>
      <c r="F94" s="502"/>
      <c r="G94" s="531"/>
      <c r="H94" s="531"/>
      <c r="I94" s="531"/>
      <c r="J94" s="531"/>
      <c r="K94" s="532"/>
      <c r="L94" s="533"/>
      <c r="M94" s="534"/>
      <c r="N94" s="929"/>
      <c r="O94" s="929"/>
      <c r="P94" s="1918"/>
      <c r="Q94" s="452"/>
    </row>
    <row r="95" spans="1:17" ht="14.4" thickBot="1">
      <c r="A95" s="482"/>
      <c r="B95" s="491"/>
      <c r="C95" s="508"/>
      <c r="D95" s="508"/>
      <c r="E95" s="508"/>
      <c r="F95" s="508"/>
      <c r="G95" s="484"/>
      <c r="H95" s="484"/>
      <c r="I95" s="484"/>
      <c r="J95" s="484"/>
      <c r="K95" s="484"/>
      <c r="L95" s="484"/>
      <c r="M95" s="485"/>
      <c r="N95" s="930"/>
      <c r="O95" s="930"/>
      <c r="P95" s="1918"/>
      <c r="Q95" s="452"/>
    </row>
    <row r="96" spans="1:17" ht="14.4" thickTop="1">
      <c r="A96" s="482"/>
      <c r="B96" s="486">
        <f>B30</f>
        <v>111</v>
      </c>
      <c r="C96" s="502"/>
      <c r="D96" s="502"/>
      <c r="E96" s="502"/>
      <c r="F96" s="502"/>
      <c r="G96" s="531"/>
      <c r="H96" s="531"/>
      <c r="I96" s="531"/>
      <c r="J96" s="531"/>
      <c r="K96" s="532"/>
      <c r="L96" s="533"/>
      <c r="M96" s="534"/>
      <c r="N96" s="929"/>
      <c r="O96" s="929"/>
      <c r="P96" s="1918"/>
      <c r="Q96" s="452"/>
    </row>
    <row r="97" spans="1:17" ht="14.4" thickBot="1">
      <c r="A97" s="482"/>
      <c r="B97" s="491"/>
      <c r="C97" s="518"/>
      <c r="D97" s="518"/>
      <c r="E97" s="518"/>
      <c r="F97" s="518"/>
      <c r="G97" s="484"/>
      <c r="H97" s="484"/>
      <c r="I97" s="484"/>
      <c r="J97" s="484"/>
      <c r="K97" s="484"/>
      <c r="L97" s="484"/>
      <c r="M97" s="485"/>
      <c r="N97" s="930"/>
      <c r="O97" s="930"/>
      <c r="P97" s="1918"/>
      <c r="Q97" s="452"/>
    </row>
    <row r="98" spans="1:17" ht="14.4" thickTop="1">
      <c r="A98" s="482"/>
      <c r="B98" s="494">
        <f>B31</f>
        <v>111</v>
      </c>
      <c r="C98" s="535"/>
      <c r="D98" s="535"/>
      <c r="E98" s="535"/>
      <c r="F98" s="535"/>
      <c r="G98" s="535"/>
      <c r="H98" s="535"/>
      <c r="I98" s="535"/>
      <c r="J98" s="535"/>
      <c r="K98" s="536"/>
      <c r="L98" s="537"/>
      <c r="M98" s="538"/>
      <c r="N98" s="929"/>
      <c r="O98" s="929"/>
      <c r="P98" s="1918"/>
      <c r="Q98" s="452"/>
    </row>
    <row r="99" spans="1:17" ht="14.4" thickBot="1">
      <c r="A99" s="1924"/>
      <c r="B99" s="517"/>
      <c r="C99" s="539"/>
      <c r="D99" s="539"/>
      <c r="E99" s="539"/>
      <c r="F99" s="539"/>
      <c r="G99" s="539"/>
      <c r="H99" s="539"/>
      <c r="I99" s="539"/>
      <c r="J99" s="539"/>
      <c r="K99" s="539"/>
      <c r="L99" s="539"/>
      <c r="M99" s="540"/>
      <c r="N99" s="930"/>
      <c r="O99" s="930"/>
      <c r="P99" s="1918"/>
      <c r="Q99" s="452"/>
    </row>
    <row r="100" spans="1:17" ht="14.4">
      <c r="A100" s="475" t="s">
        <v>1694</v>
      </c>
      <c r="B100" s="476" t="s">
        <v>1736</v>
      </c>
      <c r="C100" s="478"/>
      <c r="D100" s="478"/>
      <c r="E100" s="478"/>
      <c r="F100" s="478"/>
      <c r="G100" s="478"/>
      <c r="H100" s="478"/>
      <c r="I100" s="478"/>
      <c r="J100" s="478"/>
      <c r="K100" s="479"/>
      <c r="L100" s="480"/>
      <c r="M100" s="481"/>
      <c r="N100" s="929"/>
      <c r="O100" s="929"/>
      <c r="P100" s="1918"/>
      <c r="Q100" s="452"/>
    </row>
    <row r="101" spans="1:17" ht="14.4"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0"/>
      <c r="O101" s="930"/>
      <c r="P101" s="1918"/>
      <c r="Q101" s="452"/>
    </row>
    <row r="102" spans="1:17" ht="1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28"/>
      <c r="O102" s="928"/>
      <c r="P102" s="1918"/>
      <c r="Q102" s="452"/>
    </row>
    <row r="103" spans="1:17" s="421" customFormat="1">
      <c r="A103" s="541"/>
      <c r="B103" s="542"/>
      <c r="C103" s="543"/>
      <c r="D103" s="543"/>
      <c r="E103" s="543"/>
      <c r="F103" s="543"/>
      <c r="G103" s="543"/>
      <c r="H103" s="543"/>
      <c r="I103" s="543"/>
      <c r="J103" s="544"/>
      <c r="K103" s="544"/>
      <c r="L103" s="545"/>
      <c r="M103" s="546"/>
      <c r="N103" s="931"/>
      <c r="O103" s="931"/>
      <c r="P103" s="1919"/>
      <c r="Q103" s="507"/>
    </row>
    <row r="104" spans="1:17" s="421" customFormat="1" ht="14.4" thickBot="1">
      <c r="A104" s="501"/>
      <c r="B104" s="491"/>
      <c r="C104" s="508"/>
      <c r="D104" s="484"/>
      <c r="E104" s="484"/>
      <c r="F104" s="484"/>
      <c r="G104" s="484"/>
      <c r="H104" s="484"/>
      <c r="I104" s="484"/>
      <c r="J104" s="484"/>
      <c r="K104" s="484"/>
      <c r="L104" s="484"/>
      <c r="M104" s="484"/>
      <c r="N104" s="930"/>
      <c r="O104" s="930"/>
      <c r="P104" s="1919"/>
      <c r="Q104" s="507"/>
    </row>
    <row r="105" spans="1:17" ht="15" thickTop="1">
      <c r="A105" s="547"/>
      <c r="B105" s="486" t="s">
        <v>1738</v>
      </c>
      <c r="C105" s="502"/>
      <c r="D105" s="502"/>
      <c r="E105" s="531"/>
      <c r="F105" s="531"/>
      <c r="G105" s="531"/>
      <c r="H105" s="531"/>
      <c r="I105" s="531"/>
      <c r="J105" s="531"/>
      <c r="K105" s="532"/>
      <c r="L105" s="533"/>
      <c r="M105" s="534"/>
      <c r="N105" s="929"/>
      <c r="O105" s="929"/>
      <c r="P105" s="1918"/>
      <c r="Q105" s="452"/>
    </row>
    <row r="106" spans="1:17" ht="14.4"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0"/>
      <c r="O106" s="930"/>
      <c r="P106" s="1918"/>
      <c r="Q106" s="452"/>
    </row>
    <row r="107" spans="1:17" ht="15" thickTop="1">
      <c r="A107" s="547"/>
      <c r="B107" s="486" t="s">
        <v>1739</v>
      </c>
      <c r="C107" s="531"/>
      <c r="D107" s="531"/>
      <c r="E107" s="531"/>
      <c r="F107" s="531"/>
      <c r="G107" s="531"/>
      <c r="H107" s="531"/>
      <c r="I107" s="531"/>
      <c r="J107" s="531"/>
      <c r="K107" s="532"/>
      <c r="L107" s="533"/>
      <c r="M107" s="534"/>
      <c r="N107" s="929"/>
      <c r="O107" s="929"/>
      <c r="P107" s="1918"/>
      <c r="Q107" s="452"/>
    </row>
    <row r="108" spans="1:17" ht="14.4"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0"/>
      <c r="O108" s="930"/>
      <c r="P108" s="1918"/>
      <c r="Q108" s="452"/>
    </row>
    <row r="109" spans="1:17" ht="15" thickTop="1">
      <c r="A109" s="547"/>
      <c r="B109" s="486" t="s">
        <v>1740</v>
      </c>
      <c r="C109" s="502"/>
      <c r="D109" s="502"/>
      <c r="E109" s="502"/>
      <c r="F109" s="531"/>
      <c r="G109" s="531"/>
      <c r="H109" s="531"/>
      <c r="I109" s="531"/>
      <c r="J109" s="531"/>
      <c r="K109" s="532"/>
      <c r="L109" s="533"/>
      <c r="M109" s="534"/>
      <c r="N109" s="929"/>
      <c r="O109" s="929"/>
      <c r="P109" s="1918"/>
      <c r="Q109" s="452"/>
    </row>
    <row r="110" spans="1:17" ht="14.4"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0"/>
      <c r="O110" s="930"/>
      <c r="P110" s="1918"/>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1"/>
      <c r="O111" s="931"/>
      <c r="P111" s="1919"/>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1"/>
      <c r="O112" s="931"/>
      <c r="P112" s="1919"/>
      <c r="Q112" s="507"/>
    </row>
    <row r="113" spans="1:17" s="421" customFormat="1" ht="14.4"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1"/>
      <c r="O113" s="931"/>
      <c r="P113" s="1919"/>
      <c r="Q113" s="507"/>
    </row>
    <row r="114" spans="1:17" ht="15" thickTop="1">
      <c r="A114" s="547"/>
      <c r="B114" s="486" t="s">
        <v>1741</v>
      </c>
      <c r="C114" s="502"/>
      <c r="D114" s="502"/>
      <c r="E114" s="531"/>
      <c r="F114" s="531"/>
      <c r="G114" s="531"/>
      <c r="H114" s="531"/>
      <c r="I114" s="531"/>
      <c r="J114" s="531"/>
      <c r="K114" s="532"/>
      <c r="L114" s="533"/>
      <c r="M114" s="534"/>
      <c r="N114" s="929"/>
      <c r="O114" s="929"/>
      <c r="P114" s="1918"/>
      <c r="Q114" s="452"/>
    </row>
    <row r="115" spans="1:17" ht="14.4"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0"/>
      <c r="O115" s="930"/>
      <c r="P115" s="1918"/>
      <c r="Q115" s="452"/>
    </row>
    <row r="116" spans="1:17" ht="15" thickTop="1">
      <c r="A116" s="547"/>
      <c r="B116" s="486" t="s">
        <v>1742</v>
      </c>
      <c r="C116" s="502"/>
      <c r="D116" s="502"/>
      <c r="E116" s="502"/>
      <c r="F116" s="502"/>
      <c r="G116" s="502"/>
      <c r="H116" s="531"/>
      <c r="I116" s="531"/>
      <c r="J116" s="531"/>
      <c r="K116" s="532"/>
      <c r="L116" s="533"/>
      <c r="M116" s="534"/>
      <c r="N116" s="929"/>
      <c r="O116" s="929"/>
      <c r="P116" s="1918"/>
      <c r="Q116" s="452"/>
    </row>
    <row r="117" spans="1:17" ht="14.4" thickBot="1">
      <c r="A117" s="482"/>
      <c r="B117" s="491"/>
      <c r="C117" s="492">
        <v>100</v>
      </c>
      <c r="D117" s="492">
        <f>C117-$K39</f>
        <v>100</v>
      </c>
      <c r="E117" s="492">
        <f>D117-$K39</f>
        <v>100</v>
      </c>
      <c r="F117" s="492">
        <f>E117-$K39</f>
        <v>100</v>
      </c>
      <c r="G117" s="492">
        <f>F117-$K39</f>
        <v>100</v>
      </c>
      <c r="H117" s="492"/>
      <c r="I117" s="492"/>
      <c r="J117" s="492"/>
      <c r="K117" s="492"/>
      <c r="L117" s="492"/>
      <c r="M117" s="493"/>
      <c r="N117" s="930"/>
      <c r="O117" s="930"/>
      <c r="P117" s="1918"/>
      <c r="Q117" s="452"/>
    </row>
    <row r="118" spans="1:17" ht="15" thickTop="1">
      <c r="A118" s="547"/>
      <c r="B118" s="486" t="s">
        <v>1743</v>
      </c>
      <c r="C118" s="531"/>
      <c r="D118" s="531"/>
      <c r="E118" s="531"/>
      <c r="F118" s="531"/>
      <c r="G118" s="531"/>
      <c r="H118" s="531"/>
      <c r="I118" s="531"/>
      <c r="J118" s="531"/>
      <c r="K118" s="532"/>
      <c r="L118" s="533"/>
      <c r="M118" s="534"/>
      <c r="N118" s="929"/>
      <c r="O118" s="929"/>
      <c r="P118" s="1918"/>
      <c r="Q118" s="452"/>
    </row>
    <row r="119" spans="1:17" ht="14.4"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0"/>
      <c r="O119" s="930"/>
      <c r="P119" s="1918"/>
      <c r="Q119" s="452"/>
    </row>
    <row r="120" spans="1:17" s="421" customFormat="1" ht="29.4" thickTop="1">
      <c r="A120" s="541"/>
      <c r="B120" s="486" t="s">
        <v>1705</v>
      </c>
      <c r="C120" s="502"/>
      <c r="D120" s="502"/>
      <c r="E120" s="502"/>
      <c r="F120" s="502"/>
      <c r="G120" s="502"/>
      <c r="H120" s="502"/>
      <c r="I120" s="502"/>
      <c r="J120" s="502"/>
      <c r="K120" s="502"/>
      <c r="L120" s="528"/>
      <c r="M120" s="529"/>
      <c r="N120" s="931"/>
      <c r="O120" s="931"/>
      <c r="P120" s="1919"/>
      <c r="Q120" s="507"/>
    </row>
    <row r="121" spans="1:17" s="421" customFormat="1" ht="14.4" thickBot="1">
      <c r="A121" s="501"/>
      <c r="B121" s="483"/>
      <c r="C121" s="508"/>
      <c r="D121" s="484"/>
      <c r="E121" s="484"/>
      <c r="F121" s="484"/>
      <c r="G121" s="484"/>
      <c r="H121" s="484"/>
      <c r="I121" s="484"/>
      <c r="J121" s="484"/>
      <c r="K121" s="484"/>
      <c r="L121" s="484"/>
      <c r="M121" s="484"/>
      <c r="N121" s="931"/>
      <c r="O121" s="931"/>
      <c r="P121" s="1919"/>
      <c r="Q121" s="507"/>
    </row>
    <row r="122" spans="1:17" ht="15" thickTop="1">
      <c r="A122" s="547"/>
      <c r="B122" s="486" t="s">
        <v>1744</v>
      </c>
      <c r="C122" s="502"/>
      <c r="D122" s="502"/>
      <c r="E122" s="502"/>
      <c r="F122" s="531"/>
      <c r="G122" s="531"/>
      <c r="H122" s="531"/>
      <c r="I122" s="531"/>
      <c r="J122" s="531"/>
      <c r="K122" s="532"/>
      <c r="L122" s="533"/>
      <c r="M122" s="534"/>
      <c r="N122" s="929"/>
      <c r="O122" s="929"/>
      <c r="P122" s="1918"/>
      <c r="Q122" s="452"/>
    </row>
    <row r="123" spans="1:17" ht="14.4"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0"/>
      <c r="O123" s="930"/>
      <c r="P123" s="1918"/>
      <c r="Q123" s="452"/>
    </row>
    <row r="124" spans="1:17" ht="29.4" thickTop="1">
      <c r="A124" s="547"/>
      <c r="B124" s="486" t="s">
        <v>1745</v>
      </c>
      <c r="C124" s="526" t="s">
        <v>1721</v>
      </c>
      <c r="D124" s="526" t="s">
        <v>1722</v>
      </c>
      <c r="E124" s="526" t="s">
        <v>1723</v>
      </c>
      <c r="F124" s="526" t="s">
        <v>1724</v>
      </c>
      <c r="G124" s="526" t="s">
        <v>1725</v>
      </c>
      <c r="H124" s="487"/>
      <c r="I124" s="487"/>
      <c r="J124" s="487"/>
      <c r="K124" s="488"/>
      <c r="L124" s="489"/>
      <c r="M124" s="490"/>
      <c r="N124" s="929"/>
      <c r="O124" s="929"/>
      <c r="P124" s="1919"/>
      <c r="Q124" s="452"/>
    </row>
    <row r="125" spans="1:17" ht="14.4" thickBot="1">
      <c r="A125" s="482"/>
      <c r="B125" s="491"/>
      <c r="C125" s="492">
        <v>100</v>
      </c>
      <c r="D125" s="492">
        <f>C125-$K43</f>
        <v>100</v>
      </c>
      <c r="E125" s="492">
        <f>D125-$K43</f>
        <v>100</v>
      </c>
      <c r="F125" s="492">
        <f>E125-$K43</f>
        <v>100</v>
      </c>
      <c r="G125" s="492">
        <f>F125-$K43</f>
        <v>100</v>
      </c>
      <c r="H125" s="492"/>
      <c r="I125" s="492"/>
      <c r="J125" s="492"/>
      <c r="K125" s="492"/>
      <c r="L125" s="492"/>
      <c r="M125" s="493"/>
      <c r="N125" s="930"/>
      <c r="O125" s="930"/>
      <c r="P125" s="1918"/>
      <c r="Q125" s="452"/>
    </row>
    <row r="126" spans="1:17" s="421" customFormat="1" ht="14.4" thickTop="1">
      <c r="A126" s="541"/>
      <c r="B126" s="486">
        <f>B44</f>
        <v>111</v>
      </c>
      <c r="C126" s="502"/>
      <c r="D126" s="502"/>
      <c r="E126" s="502"/>
      <c r="F126" s="502"/>
      <c r="G126" s="502"/>
      <c r="H126" s="503"/>
      <c r="I126" s="503"/>
      <c r="J126" s="503"/>
      <c r="K126" s="503"/>
      <c r="L126" s="504"/>
      <c r="M126" s="505"/>
      <c r="N126" s="931"/>
      <c r="O126" s="931"/>
      <c r="P126" s="1919"/>
      <c r="Q126" s="507"/>
    </row>
    <row r="127" spans="1:17" s="421" customFormat="1" ht="14.4" thickBot="1">
      <c r="A127" s="501"/>
      <c r="B127" s="491"/>
      <c r="C127" s="508"/>
      <c r="D127" s="484"/>
      <c r="E127" s="484"/>
      <c r="F127" s="484"/>
      <c r="G127" s="508"/>
      <c r="H127" s="510"/>
      <c r="I127" s="510"/>
      <c r="J127" s="510"/>
      <c r="K127" s="510"/>
      <c r="L127" s="510"/>
      <c r="M127" s="511"/>
      <c r="N127" s="931"/>
      <c r="O127" s="931"/>
      <c r="P127" s="1919"/>
      <c r="Q127" s="507"/>
    </row>
    <row r="128" spans="1:17" ht="14.4" thickTop="1">
      <c r="A128" s="547"/>
      <c r="B128" s="486">
        <f>B45</f>
        <v>111</v>
      </c>
      <c r="C128" s="502"/>
      <c r="D128" s="502"/>
      <c r="E128" s="502"/>
      <c r="F128" s="502"/>
      <c r="G128" s="531"/>
      <c r="H128" s="531"/>
      <c r="I128" s="531"/>
      <c r="J128" s="531"/>
      <c r="K128" s="532"/>
      <c r="L128" s="533"/>
      <c r="M128" s="534"/>
      <c r="N128" s="929"/>
      <c r="O128" s="929"/>
      <c r="P128" s="1918"/>
      <c r="Q128" s="452"/>
    </row>
    <row r="129" spans="1:17" ht="14.4" thickBot="1">
      <c r="A129" s="482"/>
      <c r="B129" s="491"/>
      <c r="C129" s="508"/>
      <c r="D129" s="508"/>
      <c r="E129" s="508"/>
      <c r="F129" s="508"/>
      <c r="G129" s="484"/>
      <c r="H129" s="484"/>
      <c r="I129" s="484"/>
      <c r="J129" s="484"/>
      <c r="K129" s="484"/>
      <c r="L129" s="484"/>
      <c r="M129" s="485"/>
      <c r="N129" s="930"/>
      <c r="O129" s="930"/>
      <c r="P129" s="1918"/>
      <c r="Q129" s="452"/>
    </row>
    <row r="130" spans="1:17" ht="14.4" thickTop="1">
      <c r="A130" s="547"/>
      <c r="B130" s="494">
        <f>B46</f>
        <v>111</v>
      </c>
      <c r="C130" s="502"/>
      <c r="D130" s="502"/>
      <c r="E130" s="502"/>
      <c r="F130" s="502"/>
      <c r="G130" s="535"/>
      <c r="H130" s="535"/>
      <c r="I130" s="535"/>
      <c r="J130" s="535"/>
      <c r="K130" s="471"/>
      <c r="L130" s="472"/>
      <c r="M130" s="538"/>
      <c r="N130" s="929"/>
      <c r="O130" s="929"/>
      <c r="P130" s="1918"/>
      <c r="Q130" s="452"/>
    </row>
    <row r="131" spans="1:17" ht="14.4" thickBot="1">
      <c r="A131" s="1924"/>
      <c r="B131" s="517"/>
      <c r="C131" s="518"/>
      <c r="D131" s="518"/>
      <c r="E131" s="518"/>
      <c r="F131" s="518"/>
      <c r="G131" s="539"/>
      <c r="H131" s="539"/>
      <c r="I131" s="539"/>
      <c r="J131" s="539"/>
      <c r="K131" s="539"/>
      <c r="L131" s="539"/>
      <c r="M131" s="540"/>
      <c r="N131" s="930"/>
      <c r="O131" s="930"/>
      <c r="P131" s="1918"/>
      <c r="Q131" s="452"/>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6" t="s">
        <v>1749</v>
      </c>
      <c r="D138" s="136" t="s">
        <v>1750</v>
      </c>
      <c r="E138" s="1933" t="s">
        <v>1751</v>
      </c>
      <c r="F138" s="1934" t="s">
        <v>1752</v>
      </c>
      <c r="G138" s="136" t="s">
        <v>1750</v>
      </c>
      <c r="H138" s="137" t="s">
        <v>1751</v>
      </c>
      <c r="I138" s="1935"/>
      <c r="J138" s="136" t="s">
        <v>1753</v>
      </c>
      <c r="K138" s="137" t="s">
        <v>1754</v>
      </c>
    </row>
    <row r="139" spans="1:17" ht="15">
      <c r="B139" s="863">
        <v>6</v>
      </c>
      <c r="C139" s="864">
        <v>96</v>
      </c>
      <c r="D139" s="1936" t="s">
        <v>1755</v>
      </c>
      <c r="E139" s="865">
        <v>100</v>
      </c>
      <c r="F139" s="866">
        <v>102.5</v>
      </c>
      <c r="G139" s="1936" t="s">
        <v>1755</v>
      </c>
      <c r="H139" s="867">
        <v>105</v>
      </c>
      <c r="I139" s="1937" t="s">
        <v>1756</v>
      </c>
      <c r="J139" s="864">
        <v>20</v>
      </c>
      <c r="K139" s="868">
        <f>C145/(J139-2)</f>
        <v>4.0555555555555553E-3</v>
      </c>
    </row>
    <row r="140" spans="1:17" ht="15">
      <c r="B140" s="869">
        <v>5</v>
      </c>
      <c r="C140" s="870">
        <v>100</v>
      </c>
      <c r="D140" s="870"/>
      <c r="E140" s="871"/>
      <c r="F140" s="872">
        <v>102</v>
      </c>
      <c r="G140" s="870"/>
      <c r="H140" s="873"/>
      <c r="I140" s="1938" t="s">
        <v>1757</v>
      </c>
      <c r="J140" s="270">
        <f>ROUNDUP((J139-1)/2,0)</f>
        <v>10</v>
      </c>
      <c r="K140" s="874">
        <v>100</v>
      </c>
    </row>
    <row r="141" spans="1:17" ht="15">
      <c r="B141" s="869">
        <v>4</v>
      </c>
      <c r="C141" s="870">
        <v>102</v>
      </c>
      <c r="D141" s="870"/>
      <c r="E141" s="871"/>
      <c r="F141" s="872">
        <v>101.5</v>
      </c>
      <c r="G141" s="870"/>
      <c r="H141" s="873"/>
      <c r="I141" s="1938" t="s">
        <v>1758</v>
      </c>
      <c r="J141" s="270">
        <v>1</v>
      </c>
      <c r="K141" s="875">
        <f>ROUND(100+(J141-J140)*K139*100,1)</f>
        <v>96.4</v>
      </c>
    </row>
    <row r="142" spans="1:17" ht="15">
      <c r="B142" s="869">
        <v>3</v>
      </c>
      <c r="C142" s="870">
        <v>103</v>
      </c>
      <c r="D142" s="870"/>
      <c r="E142" s="871"/>
      <c r="F142" s="872">
        <v>101</v>
      </c>
      <c r="G142" s="870"/>
      <c r="H142" s="873"/>
      <c r="I142" s="1938" t="s">
        <v>1759</v>
      </c>
      <c r="J142" s="270">
        <f>J139</f>
        <v>20</v>
      </c>
      <c r="K142" s="876">
        <v>95</v>
      </c>
    </row>
    <row r="143" spans="1:17" ht="15">
      <c r="B143" s="869">
        <v>2</v>
      </c>
      <c r="C143" s="870">
        <v>100</v>
      </c>
      <c r="D143" s="870"/>
      <c r="E143" s="871"/>
      <c r="F143" s="872">
        <v>100.5</v>
      </c>
      <c r="G143" s="870"/>
      <c r="H143" s="873"/>
      <c r="I143" s="1938" t="s">
        <v>1760</v>
      </c>
      <c r="J143" s="870">
        <v>15</v>
      </c>
      <c r="K143" s="875">
        <f>ROUND(100+(J143-J140)*K139*100,1)</f>
        <v>102</v>
      </c>
    </row>
    <row r="144" spans="1:17" ht="15">
      <c r="B144" s="869">
        <v>1</v>
      </c>
      <c r="C144" s="870">
        <v>98</v>
      </c>
      <c r="D144" s="1939" t="s">
        <v>1761</v>
      </c>
      <c r="E144" s="871">
        <v>102</v>
      </c>
      <c r="F144" s="877">
        <v>100</v>
      </c>
      <c r="G144" s="1939" t="s">
        <v>1761</v>
      </c>
      <c r="H144" s="873">
        <v>105</v>
      </c>
      <c r="I144" s="1938" t="s">
        <v>1760</v>
      </c>
      <c r="J144" s="870">
        <v>18</v>
      </c>
      <c r="K144" s="875">
        <f>ROUND(100+(J144-J140)*K139*100,1)</f>
        <v>103.2</v>
      </c>
    </row>
    <row r="145" spans="2:11" ht="16.2" thickBot="1">
      <c r="B145" s="1940" t="s">
        <v>1762</v>
      </c>
      <c r="C145" s="878">
        <f>ROUND(MAX(C139:C144)/MIN(C139:C144)-1,3)</f>
        <v>7.2999999999999995E-2</v>
      </c>
      <c r="D145" s="879"/>
      <c r="E145" s="879"/>
      <c r="F145" s="1941" t="s">
        <v>1763</v>
      </c>
      <c r="G145" s="1942"/>
      <c r="H145" s="1943"/>
      <c r="I145" s="1944" t="s">
        <v>1760</v>
      </c>
      <c r="J145" s="880">
        <v>8</v>
      </c>
      <c r="K145" s="881">
        <f>ROUND(100+(J145-J140)*K139*100,1)</f>
        <v>99.2</v>
      </c>
    </row>
    <row r="147" spans="2:11" ht="14.4">
      <c r="B147" s="1925" t="s">
        <v>1764</v>
      </c>
    </row>
    <row r="148" spans="2:11" ht="14.4">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6" customWidth="1"/>
    <col min="2" max="2" width="15.77734375" style="356" customWidth="1"/>
    <col min="3" max="3" width="15.10937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1912"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1660</v>
      </c>
      <c r="B1" s="1874" t="s">
        <v>1766</v>
      </c>
      <c r="C1" s="1234" t="s">
        <v>1662</v>
      </c>
      <c r="D1" s="1221"/>
      <c r="E1" s="3422"/>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51"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30"/>
      <c r="M2" s="2731"/>
      <c r="N2" s="2731"/>
      <c r="O2" s="2731"/>
      <c r="P2" s="1948"/>
      <c r="Q2" s="908"/>
      <c r="R2" s="908"/>
      <c r="S2" s="908"/>
      <c r="T2" s="908"/>
      <c r="U2" s="908"/>
      <c r="V2" s="908"/>
      <c r="W2" s="908"/>
      <c r="X2" s="908"/>
      <c r="Y2" s="908"/>
      <c r="Z2" s="908"/>
      <c r="AA2" s="908"/>
      <c r="AB2" s="908"/>
      <c r="AC2" s="1949"/>
    </row>
    <row r="3" spans="1:29" s="351" customFormat="1" ht="28.5" customHeight="1" thickBot="1">
      <c r="A3" s="202" t="s">
        <v>1464</v>
      </c>
      <c r="B3" s="557">
        <f>IF(C2="——",C49,ROUND(B2*10000/D3,0))</f>
        <v>0</v>
      </c>
      <c r="C3" s="353" t="s">
        <v>1768</v>
      </c>
      <c r="D3" s="352">
        <f>IF(D1="",'数据-汇总表'!E3,SUMIF('数据-汇总表'!$C19:$C33,D1,'数据-汇总表'!$E19:$E33))</f>
        <v>99232.329999999987</v>
      </c>
      <c r="E3" s="1950"/>
      <c r="F3" s="905"/>
      <c r="G3" s="904"/>
      <c r="H3" s="904"/>
      <c r="I3" s="904"/>
      <c r="J3" s="904"/>
      <c r="K3" s="906"/>
      <c r="L3" s="2730"/>
      <c r="M3" s="2731"/>
      <c r="N3" s="2731"/>
      <c r="O3" s="2731"/>
      <c r="P3" s="1948"/>
      <c r="Q3" s="908"/>
      <c r="R3" s="908"/>
      <c r="S3" s="908"/>
      <c r="T3" s="908"/>
      <c r="U3" s="908"/>
      <c r="V3" s="908"/>
      <c r="W3" s="908"/>
      <c r="X3" s="908"/>
      <c r="Y3" s="908"/>
      <c r="Z3" s="908"/>
      <c r="AA3" s="908"/>
      <c r="AB3" s="908"/>
      <c r="AC3" s="1950"/>
    </row>
    <row r="4" spans="1:29" ht="14.4">
      <c r="A4" s="354" t="s">
        <v>1769</v>
      </c>
      <c r="B4" s="355"/>
      <c r="C4" s="3724" t="s">
        <v>1770</v>
      </c>
      <c r="D4" s="3725"/>
      <c r="E4" s="3726" t="s">
        <v>1771</v>
      </c>
      <c r="F4" s="3727"/>
      <c r="G4" s="3724" t="s">
        <v>1772</v>
      </c>
      <c r="H4" s="3725"/>
      <c r="I4" s="3724" t="s">
        <v>1773</v>
      </c>
      <c r="J4" s="3725"/>
      <c r="K4" s="558" t="s">
        <v>1774</v>
      </c>
      <c r="L4" s="2711"/>
      <c r="M4" s="2712"/>
      <c r="N4" s="2712"/>
      <c r="O4" s="2712"/>
      <c r="P4" s="3728" t="s">
        <v>1775</v>
      </c>
      <c r="Q4" s="3729"/>
      <c r="R4" s="3711" t="s">
        <v>1771</v>
      </c>
      <c r="S4" s="3712"/>
      <c r="T4" s="3711" t="s">
        <v>1772</v>
      </c>
      <c r="U4" s="3712"/>
      <c r="V4" s="3736" t="s">
        <v>1773</v>
      </c>
      <c r="W4" s="3736"/>
      <c r="X4" s="1351"/>
      <c r="Y4" s="3711" t="s">
        <v>1775</v>
      </c>
      <c r="Z4" s="3712"/>
      <c r="AA4" s="3706" t="s">
        <v>1771</v>
      </c>
      <c r="AB4" s="3736" t="s">
        <v>1772</v>
      </c>
      <c r="AC4" s="3706" t="s">
        <v>1773</v>
      </c>
    </row>
    <row r="5" spans="1:29">
      <c r="A5" s="357"/>
      <c r="B5" s="358"/>
      <c r="C5" s="3717" t="s">
        <v>1673</v>
      </c>
      <c r="D5" s="3718"/>
      <c r="E5" s="3715" t="s">
        <v>1674</v>
      </c>
      <c r="F5" s="3716"/>
      <c r="G5" s="3717" t="s">
        <v>1675</v>
      </c>
      <c r="H5" s="3718"/>
      <c r="I5" s="3717" t="s">
        <v>1676</v>
      </c>
      <c r="J5" s="3718"/>
      <c r="K5" s="558"/>
      <c r="L5" s="2711"/>
      <c r="M5" s="2712"/>
      <c r="N5" s="2712"/>
      <c r="O5" s="2712"/>
      <c r="P5" s="3730"/>
      <c r="Q5" s="3731"/>
      <c r="R5" s="3713"/>
      <c r="S5" s="3714"/>
      <c r="T5" s="3713"/>
      <c r="U5" s="3714"/>
      <c r="V5" s="3736"/>
      <c r="W5" s="3736"/>
      <c r="X5" s="1351"/>
      <c r="Y5" s="3713"/>
      <c r="Z5" s="3714"/>
      <c r="AA5" s="3707"/>
      <c r="AB5" s="3736"/>
      <c r="AC5" s="3707"/>
    </row>
    <row r="6" spans="1:29" ht="15" thickBot="1">
      <c r="A6" s="359"/>
      <c r="B6" s="360"/>
      <c r="C6" s="3719" t="s">
        <v>1677</v>
      </c>
      <c r="D6" s="3720"/>
      <c r="E6" s="3721" t="s">
        <v>1677</v>
      </c>
      <c r="F6" s="3722"/>
      <c r="G6" s="3719" t="s">
        <v>1677</v>
      </c>
      <c r="H6" s="3720"/>
      <c r="I6" s="3719" t="s">
        <v>1677</v>
      </c>
      <c r="J6" s="3720"/>
      <c r="K6" s="558" t="s">
        <v>1678</v>
      </c>
      <c r="L6" s="2711"/>
      <c r="M6" s="2712"/>
      <c r="N6" s="2712"/>
      <c r="O6" s="2712"/>
      <c r="P6" s="3732"/>
      <c r="Q6" s="3733"/>
      <c r="R6" s="3713"/>
      <c r="S6" s="3714"/>
      <c r="T6" s="3734"/>
      <c r="U6" s="3735"/>
      <c r="V6" s="3736"/>
      <c r="W6" s="3736"/>
      <c r="X6" s="1351"/>
      <c r="Y6" s="3734"/>
      <c r="Z6" s="3735"/>
      <c r="AA6" s="3708"/>
      <c r="AB6" s="3736"/>
      <c r="AC6" s="3708"/>
    </row>
    <row r="7" spans="1:29" s="108" customFormat="1" ht="15" thickBot="1">
      <c r="A7" s="361" t="s">
        <v>1679</v>
      </c>
      <c r="B7" s="362"/>
      <c r="C7" s="363">
        <f>'数据-取费表'!B2</f>
        <v>44995</v>
      </c>
      <c r="D7" s="364">
        <v>100</v>
      </c>
      <c r="E7" s="365"/>
      <c r="F7" s="366">
        <f>SUMIF(58:58,YEAR(E7)&amp;"-"&amp;MONTH(E7),59:59)</f>
        <v>0</v>
      </c>
      <c r="G7" s="365"/>
      <c r="H7" s="364">
        <f>SUMIF(58:58,YEAR(G7)&amp;"-"&amp;MONTH(G7),59:59)</f>
        <v>0</v>
      </c>
      <c r="I7" s="365"/>
      <c r="J7" s="364">
        <f>SUMIF(58:58,YEAR(I7)&amp;"-"&amp;MONTH(I7),59:59)</f>
        <v>0</v>
      </c>
      <c r="K7" s="559"/>
      <c r="L7" s="2713"/>
      <c r="M7" s="2714"/>
      <c r="N7" s="2714"/>
      <c r="O7" s="2714"/>
      <c r="P7" s="3709" t="s">
        <v>1680</v>
      </c>
      <c r="Q7" s="3737"/>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3"/>
      <c r="M8" s="2714"/>
      <c r="N8" s="2714"/>
      <c r="O8" s="2714"/>
      <c r="P8" s="3709" t="s">
        <v>1683</v>
      </c>
      <c r="Q8" s="3710"/>
      <c r="R8" s="699" t="s">
        <v>14</v>
      </c>
      <c r="S8" s="700">
        <f t="shared" si="0"/>
        <v>100</v>
      </c>
      <c r="T8" s="699" t="s">
        <v>14</v>
      </c>
      <c r="U8" s="700">
        <f t="shared" si="1"/>
        <v>100</v>
      </c>
      <c r="V8" s="699" t="s">
        <v>14</v>
      </c>
      <c r="W8" s="700">
        <f t="shared" si="2"/>
        <v>100</v>
      </c>
      <c r="X8" s="701"/>
      <c r="Y8" s="3709" t="s">
        <v>1683</v>
      </c>
      <c r="Z8" s="3710"/>
      <c r="AA8" s="702">
        <f t="shared" ref="AA8:AA46" si="3">D8/F8</f>
        <v>1</v>
      </c>
      <c r="AB8" s="702">
        <f t="shared" ref="AB8:AB46" si="4">D8/H8</f>
        <v>1</v>
      </c>
      <c r="AC8" s="702">
        <f t="shared" ref="AC8:AC46" si="5">D8/J8</f>
        <v>1</v>
      </c>
    </row>
    <row r="9" spans="1:29" s="108" customFormat="1" ht="14.4">
      <c r="A9" s="368" t="s">
        <v>1684</v>
      </c>
      <c r="B9" s="63" t="s">
        <v>1685</v>
      </c>
      <c r="C9" s="369"/>
      <c r="D9" s="125">
        <v>100</v>
      </c>
      <c r="E9" s="370"/>
      <c r="F9" s="371">
        <f>SUMIF(63:63,E9,64:64)-SUMIF(63:63,C9,64:64)+100</f>
        <v>100</v>
      </c>
      <c r="G9" s="370"/>
      <c r="H9" s="125">
        <f>SUMIF(63:63,G9,64:64)-SUMIF(63:63,C9,64:64)+100</f>
        <v>100</v>
      </c>
      <c r="I9" s="370"/>
      <c r="J9" s="125">
        <f>SUMIF(63:63,I9,64:64)-SUMIF(63:63,C9,64:64)+100</f>
        <v>100</v>
      </c>
      <c r="K9" s="559"/>
      <c r="L9" s="2713"/>
      <c r="M9" s="2714"/>
      <c r="N9" s="2714"/>
      <c r="O9" s="2714"/>
      <c r="P9" s="3723"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702">
        <f t="shared" si="5"/>
        <v>1</v>
      </c>
    </row>
    <row r="10" spans="1:29" s="377" customFormat="1" ht="28.8">
      <c r="A10" s="373"/>
      <c r="B10" s="374" t="s">
        <v>1688</v>
      </c>
      <c r="C10" s="3430"/>
      <c r="D10" s="126">
        <v>100</v>
      </c>
      <c r="E10" s="3431"/>
      <c r="F10" s="375">
        <f>SUMIF(65:65,E10,66:66)-SUMIF(65:65,C10,66:66)+100</f>
        <v>100</v>
      </c>
      <c r="G10" s="3430"/>
      <c r="H10" s="126">
        <f>SUMIF(65:65,G10,66:66)-SUMIF(65:65,C10,66:66)+100</f>
        <v>100</v>
      </c>
      <c r="I10" s="3430"/>
      <c r="J10" s="126">
        <f>SUMIF(65:65,I10,66:66)-SUMIF(65:65,C10,66:66)+100</f>
        <v>100</v>
      </c>
      <c r="K10" s="559"/>
      <c r="L10" s="2715"/>
      <c r="M10" s="2716"/>
      <c r="N10" s="2716"/>
      <c r="O10" s="2716"/>
      <c r="P10" s="3723"/>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17"/>
      <c r="M11" s="2712"/>
      <c r="N11" s="2712"/>
      <c r="O11" s="2712"/>
      <c r="P11" s="3723"/>
      <c r="Q11" s="1339" t="str">
        <f t="shared" si="6"/>
        <v>容积率</v>
      </c>
      <c r="R11" s="699" t="s">
        <v>14</v>
      </c>
      <c r="S11" s="700" t="e">
        <f t="shared" si="0"/>
        <v>#N/A</v>
      </c>
      <c r="T11" s="699" t="s">
        <v>14</v>
      </c>
      <c r="U11" s="700" t="e">
        <f t="shared" si="1"/>
        <v>#N/A</v>
      </c>
      <c r="V11" s="699" t="s">
        <v>14</v>
      </c>
      <c r="W11" s="700" t="e">
        <f t="shared" si="2"/>
        <v>#N/A</v>
      </c>
      <c r="X11" s="701"/>
      <c r="Y11" s="3634"/>
      <c r="Z11" s="52" t="str">
        <f t="shared" si="7"/>
        <v>容积率</v>
      </c>
      <c r="AA11" s="702" t="e">
        <f t="shared" si="3"/>
        <v>#N/A</v>
      </c>
      <c r="AB11" s="702" t="e">
        <f t="shared" si="4"/>
        <v>#N/A</v>
      </c>
      <c r="AC11" s="702" t="e">
        <f t="shared" si="5"/>
        <v>#N/A</v>
      </c>
    </row>
    <row r="12" spans="1:29" s="108" customFormat="1" ht="15">
      <c r="A12" s="381"/>
      <c r="B12" s="1889">
        <v>111</v>
      </c>
      <c r="C12" s="382"/>
      <c r="D12" s="383">
        <v>100</v>
      </c>
      <c r="E12" s="384"/>
      <c r="F12" s="375">
        <f>SUMIF(70:70,E12,71:71)-SUMIF(70:70,C12,71:71)+100</f>
        <v>100</v>
      </c>
      <c r="G12" s="384"/>
      <c r="H12" s="126">
        <f>SUMIF(70:70,G12,71:71)-SUMIF(70:70,C12,71:71)+100</f>
        <v>100</v>
      </c>
      <c r="I12" s="384"/>
      <c r="J12" s="126">
        <f>SUMIF(70:70,I12,71:71)-SUMIF(70:70,C12,71:71)+100</f>
        <v>100</v>
      </c>
      <c r="K12" s="561"/>
      <c r="L12" s="2713"/>
      <c r="M12" s="2714"/>
      <c r="N12" s="2714"/>
      <c r="O12" s="2714"/>
      <c r="P12" s="3723"/>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702">
        <f>D12/J12</f>
        <v>1</v>
      </c>
    </row>
    <row r="13" spans="1:29" ht="15">
      <c r="A13" s="378"/>
      <c r="B13" s="1889">
        <v>111</v>
      </c>
      <c r="C13" s="384"/>
      <c r="D13" s="385">
        <v>100</v>
      </c>
      <c r="E13" s="384"/>
      <c r="F13" s="375">
        <f>SUMIF(72:72,E13,73:73)-SUMIF(72:72,C13,73:73)+100</f>
        <v>100</v>
      </c>
      <c r="G13" s="384"/>
      <c r="H13" s="385">
        <f>SUMIF(72:72,G13,73:73)-SUMIF(72:72,C13,73:73)+100</f>
        <v>100</v>
      </c>
      <c r="I13" s="384"/>
      <c r="J13" s="385">
        <f>SUMIF(72:72,I13,73:73)-SUMIF(72:72,C13,73:73)+100</f>
        <v>100</v>
      </c>
      <c r="K13" s="561"/>
      <c r="L13" s="2718"/>
      <c r="M13" s="2712"/>
      <c r="N13" s="2712"/>
      <c r="O13" s="2712"/>
      <c r="P13" s="3723"/>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702">
        <f t="shared" si="5"/>
        <v>1</v>
      </c>
    </row>
    <row r="14" spans="1:29" ht="15.6" thickBot="1">
      <c r="A14" s="386"/>
      <c r="B14" s="1891">
        <v>111</v>
      </c>
      <c r="C14" s="387"/>
      <c r="D14" s="388">
        <v>100</v>
      </c>
      <c r="E14" s="384"/>
      <c r="F14" s="389">
        <f>SUMIF(74:74,E14,75:75)-SUMIF(74:74,C14,75:75)+100</f>
        <v>100</v>
      </c>
      <c r="G14" s="384"/>
      <c r="H14" s="388">
        <f>SUMIF(74:74,G14,75:75)-SUMIF(74:74,C14,75:75)+100</f>
        <v>100</v>
      </c>
      <c r="I14" s="384"/>
      <c r="J14" s="388">
        <f>SUMIF(74:74,I14,75:75)-SUMIF(74:74,C14,75:75)+100</f>
        <v>100</v>
      </c>
      <c r="K14" s="561"/>
      <c r="L14" s="2718"/>
      <c r="M14" s="2712"/>
      <c r="N14" s="2712"/>
      <c r="O14" s="2712"/>
      <c r="P14" s="3723"/>
      <c r="Q14" s="1339">
        <f t="shared" si="6"/>
        <v>111</v>
      </c>
      <c r="R14" s="699" t="s">
        <v>14</v>
      </c>
      <c r="S14" s="700">
        <f t="shared" si="0"/>
        <v>100</v>
      </c>
      <c r="T14" s="699" t="s">
        <v>14</v>
      </c>
      <c r="U14" s="700">
        <f t="shared" si="1"/>
        <v>100</v>
      </c>
      <c r="V14" s="699" t="s">
        <v>14</v>
      </c>
      <c r="W14" s="700">
        <f t="shared" si="2"/>
        <v>100</v>
      </c>
      <c r="X14" s="701"/>
      <c r="Y14" s="3634"/>
      <c r="Z14" s="52">
        <f t="shared" si="7"/>
        <v>111</v>
      </c>
      <c r="AA14" s="702">
        <f t="shared" si="3"/>
        <v>1</v>
      </c>
      <c r="AB14" s="702">
        <f t="shared" si="4"/>
        <v>1</v>
      </c>
      <c r="AC14" s="702">
        <f t="shared" si="5"/>
        <v>1</v>
      </c>
    </row>
    <row r="15" spans="1:29" ht="69">
      <c r="A15" s="390" t="s">
        <v>1690</v>
      </c>
      <c r="B15" s="61" t="s">
        <v>1777</v>
      </c>
      <c r="C15" s="1892"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18"/>
      <c r="M15" s="2712"/>
      <c r="N15" s="2712"/>
      <c r="O15" s="2712"/>
      <c r="P15" s="3750" t="s">
        <v>1691</v>
      </c>
      <c r="Q15" s="1348" t="str">
        <f t="shared" si="6"/>
        <v>商业繁华度</v>
      </c>
      <c r="R15" s="703" t="s">
        <v>14</v>
      </c>
      <c r="S15" s="704">
        <f t="shared" si="0"/>
        <v>100</v>
      </c>
      <c r="T15" s="703" t="s">
        <v>14</v>
      </c>
      <c r="U15" s="704">
        <f t="shared" si="1"/>
        <v>100</v>
      </c>
      <c r="V15" s="703" t="s">
        <v>14</v>
      </c>
      <c r="W15" s="704">
        <f t="shared" si="2"/>
        <v>100</v>
      </c>
      <c r="X15" s="1351"/>
      <c r="Y15" s="3743" t="s">
        <v>1691</v>
      </c>
      <c r="Z15" s="1352" t="str">
        <f t="shared" si="7"/>
        <v>商业繁华度</v>
      </c>
      <c r="AA15" s="1349">
        <f t="shared" si="3"/>
        <v>1</v>
      </c>
      <c r="AB15" s="1349">
        <f t="shared" si="4"/>
        <v>1</v>
      </c>
      <c r="AC15" s="1349">
        <f t="shared" si="5"/>
        <v>1</v>
      </c>
    </row>
    <row r="16" spans="1:29" ht="15">
      <c r="A16" s="378"/>
      <c r="B16" s="396"/>
      <c r="C16" s="397"/>
      <c r="D16" s="398"/>
      <c r="E16" s="397"/>
      <c r="F16" s="399"/>
      <c r="G16" s="397"/>
      <c r="H16" s="400"/>
      <c r="I16" s="397"/>
      <c r="J16" s="398"/>
      <c r="K16" s="563"/>
      <c r="L16" s="2718"/>
      <c r="M16" s="2712"/>
      <c r="N16" s="2712"/>
      <c r="O16" s="2712"/>
      <c r="P16" s="3751"/>
      <c r="Q16" s="1348"/>
      <c r="R16" s="703"/>
      <c r="S16" s="704"/>
      <c r="T16" s="703"/>
      <c r="U16" s="704"/>
      <c r="V16" s="703"/>
      <c r="W16" s="704"/>
      <c r="X16" s="1351"/>
      <c r="Y16" s="3744"/>
      <c r="Z16" s="1352"/>
      <c r="AA16" s="1349">
        <v>1</v>
      </c>
      <c r="AB16" s="1349">
        <v>1</v>
      </c>
      <c r="AC16" s="1349">
        <v>1</v>
      </c>
    </row>
    <row r="17" spans="1:29" ht="82.8">
      <c r="A17" s="378"/>
      <c r="B17" s="401" t="s">
        <v>1259</v>
      </c>
      <c r="C17" s="1896"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18"/>
      <c r="M17" s="2712"/>
      <c r="N17" s="2712"/>
      <c r="O17" s="2712"/>
      <c r="P17" s="3751"/>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8"/>
      <c r="B18" s="406"/>
      <c r="C18" s="1897"/>
      <c r="D18" s="400"/>
      <c r="E18" s="1899"/>
      <c r="F18" s="403"/>
      <c r="G18" s="1898"/>
      <c r="H18" s="398"/>
      <c r="I18" s="1899"/>
      <c r="J18" s="398"/>
      <c r="K18" s="563"/>
      <c r="L18" s="2718"/>
      <c r="M18" s="2712"/>
      <c r="N18" s="2712"/>
      <c r="O18" s="2712"/>
      <c r="P18" s="3751"/>
      <c r="Q18" s="1348"/>
      <c r="R18" s="703"/>
      <c r="S18" s="704"/>
      <c r="T18" s="703"/>
      <c r="U18" s="704"/>
      <c r="V18" s="703"/>
      <c r="W18" s="704"/>
      <c r="X18" s="1351"/>
      <c r="Y18" s="3744"/>
      <c r="Z18" s="1352"/>
      <c r="AA18" s="1349">
        <v>1</v>
      </c>
      <c r="AB18" s="1349">
        <v>1</v>
      </c>
      <c r="AC18" s="1349">
        <v>1</v>
      </c>
    </row>
    <row r="19" spans="1:29" ht="41.4">
      <c r="A19" s="378"/>
      <c r="B19" s="401" t="s">
        <v>1778</v>
      </c>
      <c r="C19" s="1896"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18"/>
      <c r="M19" s="2712"/>
      <c r="N19" s="2712"/>
      <c r="O19" s="2712"/>
      <c r="P19" s="3751"/>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349">
        <f t="shared" si="5"/>
        <v>1</v>
      </c>
    </row>
    <row r="20" spans="1:29" ht="15">
      <c r="A20" s="378"/>
      <c r="B20" s="406"/>
      <c r="C20" s="397"/>
      <c r="D20" s="398"/>
      <c r="E20" s="1894"/>
      <c r="F20" s="399"/>
      <c r="G20" s="1893"/>
      <c r="H20" s="398"/>
      <c r="I20" s="1894"/>
      <c r="J20" s="398"/>
      <c r="K20" s="563"/>
      <c r="L20" s="2718"/>
      <c r="M20" s="2712"/>
      <c r="N20" s="2712"/>
      <c r="O20" s="2712"/>
      <c r="P20" s="3751"/>
      <c r="Q20" s="1348"/>
      <c r="R20" s="703"/>
      <c r="S20" s="704"/>
      <c r="T20" s="703"/>
      <c r="U20" s="704"/>
      <c r="V20" s="703"/>
      <c r="W20" s="704"/>
      <c r="X20" s="1351"/>
      <c r="Y20" s="3744"/>
      <c r="Z20" s="1352"/>
      <c r="AA20" s="1349">
        <v>1</v>
      </c>
      <c r="AB20" s="1349">
        <v>1</v>
      </c>
      <c r="AC20" s="1349">
        <v>1</v>
      </c>
    </row>
    <row r="21" spans="1:29" ht="27.6">
      <c r="A21" s="378"/>
      <c r="B21" s="1127" t="s">
        <v>1779</v>
      </c>
      <c r="C21" s="1896"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18"/>
      <c r="M21" s="2712"/>
      <c r="N21" s="2712"/>
      <c r="O21" s="2712"/>
      <c r="P21" s="3751"/>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8"/>
      <c r="B22" s="1127"/>
      <c r="C22" s="1897"/>
      <c r="D22" s="398"/>
      <c r="E22" s="397"/>
      <c r="F22" s="399"/>
      <c r="G22" s="397"/>
      <c r="H22" s="398"/>
      <c r="I22" s="397"/>
      <c r="J22" s="398"/>
      <c r="K22" s="1126"/>
      <c r="L22" s="2718"/>
      <c r="M22" s="2712"/>
      <c r="N22" s="2712"/>
      <c r="O22" s="2712"/>
      <c r="P22" s="3751"/>
      <c r="Q22" s="1348"/>
      <c r="R22" s="703"/>
      <c r="S22" s="704"/>
      <c r="T22" s="703"/>
      <c r="U22" s="704"/>
      <c r="V22" s="703"/>
      <c r="W22" s="704"/>
      <c r="X22" s="1351"/>
      <c r="Y22" s="3744"/>
      <c r="Z22" s="1352"/>
      <c r="AA22" s="1349">
        <v>1</v>
      </c>
      <c r="AB22" s="1349">
        <v>1</v>
      </c>
      <c r="AC22" s="1349">
        <v>1</v>
      </c>
    </row>
    <row r="23" spans="1:29" ht="55.2">
      <c r="A23" s="378"/>
      <c r="B23" s="401" t="s">
        <v>1261</v>
      </c>
      <c r="C23" s="1951"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18"/>
      <c r="M23" s="2712"/>
      <c r="N23" s="2712"/>
      <c r="O23" s="2712"/>
      <c r="P23" s="3751"/>
      <c r="Q23" s="1348" t="str">
        <f>B23</f>
        <v>自然及人文环境</v>
      </c>
      <c r="R23" s="703" t="s">
        <v>14</v>
      </c>
      <c r="S23" s="704">
        <f>F23</f>
        <v>100</v>
      </c>
      <c r="T23" s="703" t="s">
        <v>14</v>
      </c>
      <c r="U23" s="704">
        <f>H23</f>
        <v>100</v>
      </c>
      <c r="V23" s="703" t="s">
        <v>14</v>
      </c>
      <c r="W23" s="704">
        <f>J23</f>
        <v>100</v>
      </c>
      <c r="X23" s="1351"/>
      <c r="Y23" s="3744"/>
      <c r="Z23" s="1352" t="str">
        <f>Q23</f>
        <v>自然及人文环境</v>
      </c>
      <c r="AA23" s="1349">
        <f t="shared" si="3"/>
        <v>1</v>
      </c>
      <c r="AB23" s="1349">
        <f t="shared" si="4"/>
        <v>1</v>
      </c>
      <c r="AC23" s="1349">
        <f t="shared" si="5"/>
        <v>1</v>
      </c>
    </row>
    <row r="24" spans="1:29" ht="15">
      <c r="A24" s="378"/>
      <c r="B24" s="406"/>
      <c r="C24" s="397"/>
      <c r="D24" s="398"/>
      <c r="E24" s="1894"/>
      <c r="F24" s="399"/>
      <c r="G24" s="1893"/>
      <c r="H24" s="398"/>
      <c r="I24" s="1894"/>
      <c r="J24" s="398"/>
      <c r="K24" s="563"/>
      <c r="L24" s="2718"/>
      <c r="M24" s="2712"/>
      <c r="N24" s="2712"/>
      <c r="O24" s="2712"/>
      <c r="P24" s="3751"/>
      <c r="Q24" s="1348"/>
      <c r="R24" s="703"/>
      <c r="S24" s="704"/>
      <c r="T24" s="703"/>
      <c r="U24" s="704"/>
      <c r="V24" s="703"/>
      <c r="W24" s="704"/>
      <c r="X24" s="1351"/>
      <c r="Y24" s="3744"/>
      <c r="Z24" s="1352"/>
      <c r="AA24" s="1349">
        <v>1</v>
      </c>
      <c r="AB24" s="1349">
        <v>1</v>
      </c>
      <c r="AC24" s="1349">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18"/>
      <c r="M25" s="2712"/>
      <c r="N25" s="2712"/>
      <c r="O25" s="2712"/>
      <c r="P25" s="3751"/>
      <c r="Q25" s="1348" t="str">
        <f t="shared" ref="Q25:Q46" si="11">B25</f>
        <v>临街状况</v>
      </c>
      <c r="R25" s="703" t="s">
        <v>14</v>
      </c>
      <c r="S25" s="704">
        <f>F25</f>
        <v>100</v>
      </c>
      <c r="T25" s="703" t="s">
        <v>14</v>
      </c>
      <c r="U25" s="704">
        <f>H25</f>
        <v>100</v>
      </c>
      <c r="V25" s="703" t="s">
        <v>14</v>
      </c>
      <c r="W25" s="704">
        <f>J25</f>
        <v>100</v>
      </c>
      <c r="X25" s="1351"/>
      <c r="Y25" s="3744"/>
      <c r="Z25" s="1352" t="str">
        <f>Q25</f>
        <v>临街状况</v>
      </c>
      <c r="AA25" s="1349">
        <f t="shared" si="3"/>
        <v>1</v>
      </c>
      <c r="AB25" s="1349">
        <f t="shared" si="4"/>
        <v>1</v>
      </c>
      <c r="AC25" s="1349">
        <f t="shared" si="5"/>
        <v>1</v>
      </c>
    </row>
    <row r="26" spans="1:29" ht="15">
      <c r="A26" s="378"/>
      <c r="B26" s="1129" t="s">
        <v>1781</v>
      </c>
      <c r="C26" s="384"/>
      <c r="D26" s="385">
        <v>100</v>
      </c>
      <c r="E26" s="384"/>
      <c r="F26" s="411">
        <f>SUMIF(88:88,E26,89:89)-SUMIF(88:88,C26,89:89)+100</f>
        <v>100</v>
      </c>
      <c r="G26" s="384"/>
      <c r="H26" s="385">
        <f>SUMIF(88:88,G26,89:89)-SUMIF(88:88,C26,89:89)+100</f>
        <v>100</v>
      </c>
      <c r="I26" s="384"/>
      <c r="J26" s="385">
        <f>SUMIF(88:88,I26,89:89)-SUMIF(88:88,C26,89:89)+100</f>
        <v>100</v>
      </c>
      <c r="K26" s="561"/>
      <c r="L26" s="2718"/>
      <c r="M26" s="2712"/>
      <c r="N26" s="2712"/>
      <c r="O26" s="2712"/>
      <c r="P26" s="3751"/>
      <c r="Q26" s="1348" t="str">
        <f t="shared" si="11"/>
        <v>平面位置/可视性</v>
      </c>
      <c r="R26" s="703" t="s">
        <v>14</v>
      </c>
      <c r="S26" s="704">
        <f>F26</f>
        <v>100</v>
      </c>
      <c r="T26" s="703" t="s">
        <v>14</v>
      </c>
      <c r="U26" s="704">
        <f>H26</f>
        <v>100</v>
      </c>
      <c r="V26" s="703" t="s">
        <v>14</v>
      </c>
      <c r="W26" s="704">
        <f>J26</f>
        <v>100</v>
      </c>
      <c r="X26" s="1351"/>
      <c r="Y26" s="3744"/>
      <c r="Z26" s="1352" t="str">
        <f>Q26</f>
        <v>平面位置/可视性</v>
      </c>
      <c r="AA26" s="1349">
        <f t="shared" si="3"/>
        <v>1</v>
      </c>
      <c r="AB26" s="1349">
        <f t="shared" si="4"/>
        <v>1</v>
      </c>
      <c r="AC26" s="1349">
        <f t="shared" si="5"/>
        <v>1</v>
      </c>
    </row>
    <row r="27" spans="1:29" s="108" customFormat="1" ht="15">
      <c r="A27" s="381"/>
      <c r="B27" s="401" t="s">
        <v>1782</v>
      </c>
      <c r="C27" s="1952"/>
      <c r="D27" s="412">
        <v>100</v>
      </c>
      <c r="E27" s="1952"/>
      <c r="F27" s="414">
        <f>SUMIF(90:90,E27,91:91)-SUMIF(90:90,C27,91:91)+100</f>
        <v>100</v>
      </c>
      <c r="G27" s="1952"/>
      <c r="H27" s="412">
        <f>SUMIF(90:90,G27,91:91)-SUMIF(90:90,C27,91:91)+100</f>
        <v>100</v>
      </c>
      <c r="I27" s="1952"/>
      <c r="J27" s="412">
        <f>SUMIF(90:90,I27,91:91)-SUMIF(90:90,C27,91:91)+100</f>
        <v>100</v>
      </c>
      <c r="K27" s="560"/>
      <c r="L27" s="2713"/>
      <c r="M27" s="2714"/>
      <c r="N27" s="2714"/>
      <c r="O27" s="2714"/>
      <c r="P27" s="3751"/>
      <c r="Q27" s="1339" t="str">
        <f t="shared" si="11"/>
        <v>人流量</v>
      </c>
      <c r="R27" s="699" t="s">
        <v>14</v>
      </c>
      <c r="S27" s="700">
        <f>F27</f>
        <v>100</v>
      </c>
      <c r="T27" s="699" t="s">
        <v>14</v>
      </c>
      <c r="U27" s="700">
        <f>H27</f>
        <v>100</v>
      </c>
      <c r="V27" s="699" t="s">
        <v>14</v>
      </c>
      <c r="W27" s="700">
        <f>J27</f>
        <v>100</v>
      </c>
      <c r="X27" s="701"/>
      <c r="Y27" s="3744"/>
      <c r="Z27" s="52" t="str">
        <f>Q27</f>
        <v>人流量</v>
      </c>
      <c r="AA27" s="1349">
        <f>D27/F27</f>
        <v>1</v>
      </c>
      <c r="AB27" s="1349">
        <f>D27/H27</f>
        <v>1</v>
      </c>
      <c r="AC27" s="1349">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18"/>
      <c r="M28" s="2712"/>
      <c r="N28" s="2712"/>
      <c r="O28" s="2712"/>
      <c r="P28" s="3751"/>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44"/>
      <c r="Z28" s="1352" t="str">
        <f t="shared" ref="Z28:Z46" si="15">Q28</f>
        <v>楼层</v>
      </c>
      <c r="AA28" s="1349">
        <f t="shared" si="3"/>
        <v>1</v>
      </c>
      <c r="AB28" s="1349">
        <f t="shared" si="4"/>
        <v>1</v>
      </c>
      <c r="AC28" s="1349">
        <f t="shared" si="5"/>
        <v>1</v>
      </c>
    </row>
    <row r="29" spans="1:29" ht="15">
      <c r="A29" s="378"/>
      <c r="B29" s="1129">
        <v>111</v>
      </c>
      <c r="C29" s="384"/>
      <c r="D29" s="385">
        <v>100</v>
      </c>
      <c r="E29" s="384"/>
      <c r="F29" s="411">
        <f>SUMIF(94:94,E29,95:95)-SUMIF(94:94,C29,95:95)+100</f>
        <v>100</v>
      </c>
      <c r="G29" s="384"/>
      <c r="H29" s="385">
        <f>SUMIF(94:94,G29,95:95)-SUMIF(94:94,C29,95:95)+100</f>
        <v>100</v>
      </c>
      <c r="I29" s="384"/>
      <c r="J29" s="385">
        <f>SUMIF(94:94,I29,95:95)-SUMIF(94:94,C29,95:95)+100</f>
        <v>100</v>
      </c>
      <c r="K29" s="561"/>
      <c r="L29" s="2718"/>
      <c r="M29" s="2712"/>
      <c r="N29" s="2712"/>
      <c r="O29" s="2712"/>
      <c r="P29" s="3751"/>
      <c r="Q29" s="1348">
        <f t="shared" si="11"/>
        <v>111</v>
      </c>
      <c r="R29" s="703" t="s">
        <v>14</v>
      </c>
      <c r="S29" s="704">
        <f t="shared" si="12"/>
        <v>100</v>
      </c>
      <c r="T29" s="703" t="s">
        <v>14</v>
      </c>
      <c r="U29" s="704">
        <f t="shared" si="13"/>
        <v>100</v>
      </c>
      <c r="V29" s="703" t="s">
        <v>14</v>
      </c>
      <c r="W29" s="704">
        <f t="shared" si="14"/>
        <v>100</v>
      </c>
      <c r="X29" s="1351"/>
      <c r="Y29" s="3744"/>
      <c r="Z29" s="1352">
        <f t="shared" si="15"/>
        <v>111</v>
      </c>
      <c r="AA29" s="1349">
        <f t="shared" si="3"/>
        <v>1</v>
      </c>
      <c r="AB29" s="1349">
        <f t="shared" si="4"/>
        <v>1</v>
      </c>
      <c r="AC29" s="1349">
        <f t="shared" si="5"/>
        <v>1</v>
      </c>
    </row>
    <row r="30" spans="1:29" ht="15">
      <c r="A30" s="378"/>
      <c r="B30" s="1129">
        <v>111</v>
      </c>
      <c r="C30" s="384"/>
      <c r="D30" s="385">
        <v>100</v>
      </c>
      <c r="E30" s="384"/>
      <c r="F30" s="411">
        <f>SUMIF(96:96,E30,97:97)-SUMIF(96:96,C30,97:97)+100</f>
        <v>100</v>
      </c>
      <c r="G30" s="384"/>
      <c r="H30" s="385">
        <f>SUMIF(96:96,G30,97:97)-SUMIF(96:96,C30,97:97)+100</f>
        <v>100</v>
      </c>
      <c r="I30" s="384"/>
      <c r="J30" s="385">
        <f>SUMIF(96:96,I30,97:97)-SUMIF(96:96,C30,97:97)+100</f>
        <v>100</v>
      </c>
      <c r="K30" s="561"/>
      <c r="L30" s="2718"/>
      <c r="M30" s="2712"/>
      <c r="N30" s="2712"/>
      <c r="O30" s="2712"/>
      <c r="P30" s="3751"/>
      <c r="Q30" s="1348">
        <f t="shared" si="11"/>
        <v>111</v>
      </c>
      <c r="R30" s="703" t="s">
        <v>14</v>
      </c>
      <c r="S30" s="704">
        <f t="shared" si="12"/>
        <v>100</v>
      </c>
      <c r="T30" s="703" t="s">
        <v>14</v>
      </c>
      <c r="U30" s="704">
        <f t="shared" si="13"/>
        <v>100</v>
      </c>
      <c r="V30" s="703" t="s">
        <v>14</v>
      </c>
      <c r="W30" s="704">
        <f t="shared" si="14"/>
        <v>100</v>
      </c>
      <c r="X30" s="1351"/>
      <c r="Y30" s="3744"/>
      <c r="Z30" s="1352">
        <f t="shared" si="15"/>
        <v>111</v>
      </c>
      <c r="AA30" s="1349">
        <f t="shared" si="3"/>
        <v>1</v>
      </c>
      <c r="AB30" s="1349">
        <f t="shared" si="4"/>
        <v>1</v>
      </c>
      <c r="AC30" s="1349">
        <f t="shared" si="5"/>
        <v>1</v>
      </c>
    </row>
    <row r="31" spans="1:29" ht="15.6" thickBot="1">
      <c r="A31" s="386"/>
      <c r="B31" s="1129">
        <v>111</v>
      </c>
      <c r="C31" s="387"/>
      <c r="D31" s="388">
        <v>100</v>
      </c>
      <c r="E31" s="384"/>
      <c r="F31" s="389">
        <f>SUMIF(98:98,E31,99:99)-SUMIF(98:98,C31,99:99)+100</f>
        <v>100</v>
      </c>
      <c r="G31" s="384"/>
      <c r="H31" s="388">
        <f>SUMIF(98:98,G31,99:99)-SUMIF(98:98,C31,99:99)+100</f>
        <v>100</v>
      </c>
      <c r="I31" s="384"/>
      <c r="J31" s="388">
        <f>SUMIF(98:98,I31,99:99)-SUMIF(98:98,C31,99:99)+100</f>
        <v>100</v>
      </c>
      <c r="K31" s="561"/>
      <c r="L31" s="2718"/>
      <c r="M31" s="2712"/>
      <c r="N31" s="2712"/>
      <c r="O31" s="2712"/>
      <c r="P31" s="3751"/>
      <c r="Q31" s="1348">
        <f t="shared" si="11"/>
        <v>111</v>
      </c>
      <c r="R31" s="703" t="s">
        <v>14</v>
      </c>
      <c r="S31" s="704">
        <f t="shared" si="12"/>
        <v>100</v>
      </c>
      <c r="T31" s="703" t="s">
        <v>14</v>
      </c>
      <c r="U31" s="704">
        <f t="shared" si="13"/>
        <v>100</v>
      </c>
      <c r="V31" s="703" t="s">
        <v>14</v>
      </c>
      <c r="W31" s="704">
        <f t="shared" si="14"/>
        <v>100</v>
      </c>
      <c r="X31" s="1351"/>
      <c r="Y31" s="3744"/>
      <c r="Z31" s="1352">
        <f t="shared" si="15"/>
        <v>111</v>
      </c>
      <c r="AA31" s="1349">
        <f t="shared" si="3"/>
        <v>1</v>
      </c>
      <c r="AB31" s="1349">
        <f t="shared" si="4"/>
        <v>1</v>
      </c>
      <c r="AC31" s="1349">
        <f t="shared" si="5"/>
        <v>1</v>
      </c>
    </row>
    <row r="32" spans="1:29" ht="15">
      <c r="A32" s="390" t="s">
        <v>1694</v>
      </c>
      <c r="B32" s="63" t="s">
        <v>1784</v>
      </c>
      <c r="C32" s="1906"/>
      <c r="D32" s="417">
        <v>100</v>
      </c>
      <c r="E32" s="1906"/>
      <c r="F32" s="411">
        <f>SUMIF(100:100,E32,101:101)-SUMIF(100:100,C32,101:101)+100</f>
        <v>100</v>
      </c>
      <c r="G32" s="1906"/>
      <c r="H32" s="385">
        <f>SUMIF(100:100,G32,101:101)-SUMIF(100:100,C32,101:101)+100</f>
        <v>100</v>
      </c>
      <c r="I32" s="1906"/>
      <c r="J32" s="417">
        <f>SUMIF(100:100,I32,101:101)-SUMIF(100:100,C32,101:101)+100</f>
        <v>100</v>
      </c>
      <c r="K32" s="560"/>
      <c r="L32" s="2718"/>
      <c r="M32" s="2712"/>
      <c r="N32" s="2712"/>
      <c r="O32" s="2712"/>
      <c r="P32" s="3745" t="s">
        <v>1696</v>
      </c>
      <c r="Q32" s="1348" t="str">
        <f t="shared" si="11"/>
        <v>商业类型</v>
      </c>
      <c r="R32" s="703" t="s">
        <v>14</v>
      </c>
      <c r="S32" s="704">
        <f t="shared" si="12"/>
        <v>100</v>
      </c>
      <c r="T32" s="703" t="s">
        <v>14</v>
      </c>
      <c r="U32" s="704">
        <f t="shared" si="13"/>
        <v>100</v>
      </c>
      <c r="V32" s="703" t="s">
        <v>14</v>
      </c>
      <c r="W32" s="704">
        <f t="shared" si="14"/>
        <v>100</v>
      </c>
      <c r="X32" s="1351"/>
      <c r="Y32" s="3748" t="s">
        <v>1696</v>
      </c>
      <c r="Z32" s="1352" t="str">
        <f t="shared" si="15"/>
        <v>商业类型</v>
      </c>
      <c r="AA32" s="1349">
        <f t="shared" si="3"/>
        <v>1</v>
      </c>
      <c r="AB32" s="1349">
        <f t="shared" si="4"/>
        <v>1</v>
      </c>
      <c r="AC32" s="1349">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17"/>
      <c r="M33" s="2719"/>
      <c r="N33" s="2719"/>
      <c r="O33" s="2719"/>
      <c r="P33" s="3746"/>
      <c r="Q33" s="705" t="str">
        <f t="shared" si="11"/>
        <v>项目建筑规模</v>
      </c>
      <c r="R33" s="706" t="s">
        <v>14</v>
      </c>
      <c r="S33" s="707" t="e">
        <f t="shared" si="12"/>
        <v>#N/A</v>
      </c>
      <c r="T33" s="706" t="s">
        <v>14</v>
      </c>
      <c r="U33" s="707" t="e">
        <f t="shared" si="13"/>
        <v>#N/A</v>
      </c>
      <c r="V33" s="706" t="s">
        <v>14</v>
      </c>
      <c r="W33" s="707" t="e">
        <f t="shared" si="14"/>
        <v>#N/A</v>
      </c>
      <c r="X33" s="708"/>
      <c r="Y33" s="3748"/>
      <c r="Z33" s="709" t="str">
        <f t="shared" si="15"/>
        <v>项目建筑规模</v>
      </c>
      <c r="AA33" s="1349" t="e">
        <f t="shared" si="3"/>
        <v>#N/A</v>
      </c>
      <c r="AB33" s="1349" t="e">
        <f t="shared" si="4"/>
        <v>#N/A</v>
      </c>
      <c r="AC33" s="1349" t="e">
        <f t="shared" si="5"/>
        <v>#N/A</v>
      </c>
    </row>
    <row r="34" spans="1:29" ht="15">
      <c r="A34" s="422"/>
      <c r="B34" s="374" t="s">
        <v>1698</v>
      </c>
      <c r="C34" s="1908"/>
      <c r="D34" s="385">
        <v>100</v>
      </c>
      <c r="E34" s="1908"/>
      <c r="F34" s="411">
        <f>SUMIF(105:105,E34,106:106)-SUMIF(105:105,C34,106:106)+100</f>
        <v>100</v>
      </c>
      <c r="G34" s="1908"/>
      <c r="H34" s="385">
        <f>SUMIF(105:105,G34,106:106)-SUMIF(105:105,C34,106:106)+100</f>
        <v>100</v>
      </c>
      <c r="I34" s="1908"/>
      <c r="J34" s="385">
        <f>SUMIF(105:105,I34,106:106)-SUMIF(105:105,C34,106:106)+100</f>
        <v>100</v>
      </c>
      <c r="K34" s="560"/>
      <c r="L34" s="2718"/>
      <c r="M34" s="2712"/>
      <c r="N34" s="2712"/>
      <c r="O34" s="2712"/>
      <c r="P34" s="3746"/>
      <c r="Q34" s="1348" t="str">
        <f t="shared" si="11"/>
        <v>建筑结构</v>
      </c>
      <c r="R34" s="703" t="s">
        <v>14</v>
      </c>
      <c r="S34" s="704">
        <f t="shared" si="12"/>
        <v>100</v>
      </c>
      <c r="T34" s="703" t="s">
        <v>14</v>
      </c>
      <c r="U34" s="704">
        <f t="shared" si="13"/>
        <v>100</v>
      </c>
      <c r="V34" s="703" t="s">
        <v>14</v>
      </c>
      <c r="W34" s="704">
        <f t="shared" si="14"/>
        <v>100</v>
      </c>
      <c r="X34" s="1351"/>
      <c r="Y34" s="3748"/>
      <c r="Z34" s="1352" t="str">
        <f t="shared" si="15"/>
        <v>建筑结构</v>
      </c>
      <c r="AA34" s="1349">
        <f t="shared" si="3"/>
        <v>1</v>
      </c>
      <c r="AB34" s="1349">
        <f t="shared" si="4"/>
        <v>1</v>
      </c>
      <c r="AC34" s="1349">
        <f t="shared" si="5"/>
        <v>1</v>
      </c>
    </row>
    <row r="35" spans="1:29" ht="15">
      <c r="A35" s="422"/>
      <c r="B35" s="374" t="s">
        <v>1785</v>
      </c>
      <c r="C35" s="1902"/>
      <c r="D35" s="385">
        <v>100</v>
      </c>
      <c r="E35" s="1902"/>
      <c r="F35" s="411">
        <f>SUMIF(107:107,E35,108:108)-SUMIF(107:107,C35,108:108)+100</f>
        <v>100</v>
      </c>
      <c r="G35" s="1902"/>
      <c r="H35" s="385">
        <f>SUMIF(107:107,G35,108:108)-SUMIF(107:107,C35,108:108)+100</f>
        <v>100</v>
      </c>
      <c r="I35" s="1902"/>
      <c r="J35" s="385">
        <f>SUMIF(107:107,I35,108:108)-SUMIF(107:107,C35,108:108)+100</f>
        <v>100</v>
      </c>
      <c r="K35" s="560"/>
      <c r="L35" s="2718"/>
      <c r="M35" s="2712"/>
      <c r="N35" s="2712"/>
      <c r="O35" s="2712"/>
      <c r="P35" s="3746"/>
      <c r="Q35" s="1348" t="str">
        <f t="shared" si="11"/>
        <v>公共部分装修</v>
      </c>
      <c r="R35" s="703" t="s">
        <v>14</v>
      </c>
      <c r="S35" s="704">
        <f t="shared" si="12"/>
        <v>100</v>
      </c>
      <c r="T35" s="703" t="s">
        <v>14</v>
      </c>
      <c r="U35" s="704">
        <f t="shared" si="13"/>
        <v>100</v>
      </c>
      <c r="V35" s="703" t="s">
        <v>14</v>
      </c>
      <c r="W35" s="704">
        <f t="shared" si="14"/>
        <v>100</v>
      </c>
      <c r="X35" s="1351"/>
      <c r="Y35" s="3748"/>
      <c r="Z35" s="1352" t="str">
        <f t="shared" si="15"/>
        <v>公共部分装修</v>
      </c>
      <c r="AA35" s="1349">
        <f t="shared" si="3"/>
        <v>1</v>
      </c>
      <c r="AB35" s="1349">
        <f t="shared" si="4"/>
        <v>1</v>
      </c>
      <c r="AC35" s="1349">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18"/>
      <c r="M36" s="2712"/>
      <c r="N36" s="2712"/>
      <c r="O36" s="2712"/>
      <c r="P36" s="3746"/>
      <c r="Q36" s="1348" t="str">
        <f t="shared" si="11"/>
        <v>成新度</v>
      </c>
      <c r="R36" s="703" t="s">
        <v>14</v>
      </c>
      <c r="S36" s="704" t="e">
        <f t="shared" si="12"/>
        <v>#N/A</v>
      </c>
      <c r="T36" s="703" t="s">
        <v>14</v>
      </c>
      <c r="U36" s="704" t="e">
        <f t="shared" si="13"/>
        <v>#N/A</v>
      </c>
      <c r="V36" s="703" t="s">
        <v>14</v>
      </c>
      <c r="W36" s="704" t="e">
        <f t="shared" si="14"/>
        <v>#N/A</v>
      </c>
      <c r="X36" s="1351"/>
      <c r="Y36" s="3748"/>
      <c r="Z36" s="1352" t="str">
        <f t="shared" si="15"/>
        <v>成新度</v>
      </c>
      <c r="AA36" s="1349" t="e">
        <f t="shared" si="3"/>
        <v>#N/A</v>
      </c>
      <c r="AB36" s="1349" t="e">
        <f t="shared" si="4"/>
        <v>#N/A</v>
      </c>
      <c r="AC36" s="1349" t="e">
        <f t="shared" si="5"/>
        <v>#N/A</v>
      </c>
    </row>
    <row r="37" spans="1:29" s="108" customFormat="1" ht="15">
      <c r="A37" s="423"/>
      <c r="B37" s="374" t="s">
        <v>1787</v>
      </c>
      <c r="C37" s="1902"/>
      <c r="D37" s="126">
        <v>100</v>
      </c>
      <c r="E37" s="1902"/>
      <c r="F37" s="411">
        <f>SUMIF(112:112,E37,113:113)-SUMIF(112:112,C37,113:113)+100</f>
        <v>100</v>
      </c>
      <c r="G37" s="1902"/>
      <c r="H37" s="385">
        <f>SUMIF(112:112,G37,113:113)-SUMIF(112:112,C37,113:113)+100</f>
        <v>100</v>
      </c>
      <c r="I37" s="1902"/>
      <c r="J37" s="385">
        <f>SUMIF(112:112,I37,113:113)-SUMIF(112:112,C37,113:113)+100</f>
        <v>100</v>
      </c>
      <c r="K37" s="560"/>
      <c r="L37" s="2713"/>
      <c r="M37" s="2714"/>
      <c r="N37" s="2714"/>
      <c r="O37" s="2714"/>
      <c r="P37" s="3746"/>
      <c r="Q37" s="1339" t="str">
        <f t="shared" si="11"/>
        <v>市政基础设施</v>
      </c>
      <c r="R37" s="699" t="s">
        <v>14</v>
      </c>
      <c r="S37" s="700">
        <f t="shared" si="12"/>
        <v>100</v>
      </c>
      <c r="T37" s="699" t="s">
        <v>14</v>
      </c>
      <c r="U37" s="700">
        <f t="shared" si="13"/>
        <v>100</v>
      </c>
      <c r="V37" s="699" t="s">
        <v>14</v>
      </c>
      <c r="W37" s="700">
        <f t="shared" si="14"/>
        <v>100</v>
      </c>
      <c r="X37" s="701"/>
      <c r="Y37" s="3748"/>
      <c r="Z37" s="52" t="str">
        <f t="shared" si="15"/>
        <v>市政基础设施</v>
      </c>
      <c r="AA37" s="702">
        <f t="shared" si="3"/>
        <v>1</v>
      </c>
      <c r="AB37" s="702">
        <f t="shared" si="4"/>
        <v>1</v>
      </c>
      <c r="AC37" s="702">
        <f t="shared" si="5"/>
        <v>1</v>
      </c>
    </row>
    <row r="38" spans="1:29" ht="15">
      <c r="A38" s="422"/>
      <c r="B38" s="374" t="s">
        <v>1788</v>
      </c>
      <c r="C38" s="1902"/>
      <c r="D38" s="385">
        <v>100</v>
      </c>
      <c r="E38" s="1902"/>
      <c r="F38" s="411">
        <f>SUMIF(114:114,E38,115:115)-SUMIF(114:114,C38,115:115)+100</f>
        <v>100</v>
      </c>
      <c r="G38" s="1902"/>
      <c r="H38" s="385">
        <f>SUMIF(114:114,G38,115:115)-SUMIF(114:114,C38,115:115)+100</f>
        <v>100</v>
      </c>
      <c r="I38" s="1902"/>
      <c r="J38" s="385">
        <f>SUMIF(114:114,I38,115:115)-SUMIF(114:114,C38,115:115)+100</f>
        <v>100</v>
      </c>
      <c r="K38" s="560"/>
      <c r="L38" s="2718"/>
      <c r="M38" s="2712"/>
      <c r="N38" s="2712"/>
      <c r="O38" s="2712"/>
      <c r="P38" s="3746" t="s">
        <v>1696</v>
      </c>
      <c r="Q38" s="1348" t="str">
        <f t="shared" si="11"/>
        <v>业态</v>
      </c>
      <c r="R38" s="703" t="s">
        <v>14</v>
      </c>
      <c r="S38" s="704">
        <f t="shared" si="12"/>
        <v>100</v>
      </c>
      <c r="T38" s="703" t="s">
        <v>14</v>
      </c>
      <c r="U38" s="704">
        <f t="shared" si="13"/>
        <v>100</v>
      </c>
      <c r="V38" s="703" t="s">
        <v>14</v>
      </c>
      <c r="W38" s="704">
        <f t="shared" si="14"/>
        <v>100</v>
      </c>
      <c r="X38" s="1351"/>
      <c r="Y38" s="3748" t="s">
        <v>1696</v>
      </c>
      <c r="Z38" s="1352" t="str">
        <f t="shared" si="15"/>
        <v>业态</v>
      </c>
      <c r="AA38" s="1349">
        <f t="shared" si="3"/>
        <v>1</v>
      </c>
      <c r="AB38" s="1349">
        <f t="shared" si="4"/>
        <v>1</v>
      </c>
      <c r="AC38" s="1349">
        <f t="shared" si="5"/>
        <v>1</v>
      </c>
    </row>
    <row r="39" spans="1:29" ht="15">
      <c r="A39" s="422"/>
      <c r="B39" s="374" t="s">
        <v>1789</v>
      </c>
      <c r="C39" s="1902"/>
      <c r="D39" s="385">
        <v>100</v>
      </c>
      <c r="E39" s="1902"/>
      <c r="F39" s="411">
        <f>SUMIF(116:116,E39,117:117)-SUMIF(116:116,C39,117:117)+100</f>
        <v>100</v>
      </c>
      <c r="G39" s="1902"/>
      <c r="H39" s="385">
        <f>SUMIF(116:116,G39,117:117)-SUMIF(116:116,C39,117:117)+100</f>
        <v>100</v>
      </c>
      <c r="I39" s="1902"/>
      <c r="J39" s="385">
        <f>SUMIF(116:116,I39,117:117)-SUMIF(116:116,C39,117:117)+100</f>
        <v>100</v>
      </c>
      <c r="K39" s="560"/>
      <c r="L39" s="2718"/>
      <c r="M39" s="2712"/>
      <c r="N39" s="2712"/>
      <c r="O39" s="2712"/>
      <c r="P39" s="3746"/>
      <c r="Q39" s="1348" t="str">
        <f t="shared" si="11"/>
        <v>层高</v>
      </c>
      <c r="R39" s="703" t="s">
        <v>14</v>
      </c>
      <c r="S39" s="704">
        <f t="shared" si="12"/>
        <v>100</v>
      </c>
      <c r="T39" s="703" t="s">
        <v>14</v>
      </c>
      <c r="U39" s="704">
        <f t="shared" si="13"/>
        <v>100</v>
      </c>
      <c r="V39" s="703" t="s">
        <v>14</v>
      </c>
      <c r="W39" s="704">
        <f t="shared" si="14"/>
        <v>100</v>
      </c>
      <c r="X39" s="1351"/>
      <c r="Y39" s="3748"/>
      <c r="Z39" s="1352" t="str">
        <f t="shared" si="15"/>
        <v>层高</v>
      </c>
      <c r="AA39" s="1349">
        <f t="shared" si="3"/>
        <v>1</v>
      </c>
      <c r="AB39" s="1349">
        <f t="shared" si="4"/>
        <v>1</v>
      </c>
      <c r="AC39" s="1349">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8"/>
      <c r="M40" s="2712"/>
      <c r="N40" s="2712"/>
      <c r="O40" s="2712"/>
      <c r="P40" s="3746"/>
      <c r="Q40" s="1348" t="str">
        <f t="shared" si="11"/>
        <v>单套建筑面积</v>
      </c>
      <c r="R40" s="703" t="s">
        <v>14</v>
      </c>
      <c r="S40" s="704">
        <f t="shared" si="12"/>
        <v>100</v>
      </c>
      <c r="T40" s="703" t="s">
        <v>14</v>
      </c>
      <c r="U40" s="704">
        <f t="shared" si="13"/>
        <v>100</v>
      </c>
      <c r="V40" s="703" t="s">
        <v>14</v>
      </c>
      <c r="W40" s="704">
        <f t="shared" si="14"/>
        <v>100</v>
      </c>
      <c r="X40" s="1351"/>
      <c r="Y40" s="3748"/>
      <c r="Z40" s="1352" t="str">
        <f t="shared" si="15"/>
        <v>单套建筑面积</v>
      </c>
      <c r="AA40" s="1349">
        <f t="shared" si="3"/>
        <v>1</v>
      </c>
      <c r="AB40" s="1349">
        <f t="shared" si="4"/>
        <v>1</v>
      </c>
      <c r="AC40" s="1349">
        <f t="shared" si="5"/>
        <v>1</v>
      </c>
    </row>
    <row r="41" spans="1:29" s="421" customFormat="1" ht="15">
      <c r="A41" s="418"/>
      <c r="B41" s="1350"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7"/>
      <c r="M41" s="2719"/>
      <c r="N41" s="2719"/>
      <c r="O41" s="2719"/>
      <c r="P41" s="3746"/>
      <c r="Q41" s="705" t="str">
        <f t="shared" si="11"/>
        <v>进深比</v>
      </c>
      <c r="R41" s="706" t="s">
        <v>14</v>
      </c>
      <c r="S41" s="707">
        <f t="shared" si="12"/>
        <v>100</v>
      </c>
      <c r="T41" s="706" t="s">
        <v>14</v>
      </c>
      <c r="U41" s="707">
        <f t="shared" si="13"/>
        <v>100</v>
      </c>
      <c r="V41" s="706" t="s">
        <v>14</v>
      </c>
      <c r="W41" s="707">
        <f t="shared" si="14"/>
        <v>100</v>
      </c>
      <c r="X41" s="708"/>
      <c r="Y41" s="3748"/>
      <c r="Z41" s="709" t="str">
        <f t="shared" si="15"/>
        <v>进深比</v>
      </c>
      <c r="AA41" s="1349">
        <f t="shared" si="3"/>
        <v>1</v>
      </c>
      <c r="AB41" s="1349">
        <f t="shared" si="4"/>
        <v>1</v>
      </c>
      <c r="AC41" s="1349">
        <f t="shared" si="5"/>
        <v>1</v>
      </c>
    </row>
    <row r="42" spans="1:29" ht="15">
      <c r="A42" s="422"/>
      <c r="B42" s="374" t="s">
        <v>1792</v>
      </c>
      <c r="C42" s="1902"/>
      <c r="D42" s="385">
        <v>100</v>
      </c>
      <c r="E42" s="1902"/>
      <c r="F42" s="411">
        <f>SUMIF(122:122,E42,123:123)-SUMIF(122:122,C42,123:123)+100</f>
        <v>100</v>
      </c>
      <c r="G42" s="1902"/>
      <c r="H42" s="385">
        <f>SUMIF(122:122,G42,123:123)-SUMIF(122:122,C42,123:123)+100</f>
        <v>100</v>
      </c>
      <c r="I42" s="1902"/>
      <c r="J42" s="385">
        <f>SUMIF(122:122,I42,123:123)-SUMIF(122:122,C42,123:123)+100</f>
        <v>100</v>
      </c>
      <c r="K42" s="560"/>
      <c r="L42" s="2718"/>
      <c r="M42" s="2712"/>
      <c r="N42" s="2712"/>
      <c r="O42" s="2712"/>
      <c r="P42" s="3746"/>
      <c r="Q42" s="1348" t="str">
        <f t="shared" si="11"/>
        <v>内部装修</v>
      </c>
      <c r="R42" s="703" t="s">
        <v>14</v>
      </c>
      <c r="S42" s="704">
        <f t="shared" si="12"/>
        <v>100</v>
      </c>
      <c r="T42" s="703" t="s">
        <v>14</v>
      </c>
      <c r="U42" s="704">
        <f t="shared" si="13"/>
        <v>100</v>
      </c>
      <c r="V42" s="703" t="s">
        <v>14</v>
      </c>
      <c r="W42" s="704">
        <f t="shared" si="14"/>
        <v>100</v>
      </c>
      <c r="X42" s="1351"/>
      <c r="Y42" s="3748"/>
      <c r="Z42" s="1352" t="str">
        <f t="shared" si="15"/>
        <v>内部装修</v>
      </c>
      <c r="AA42" s="1349">
        <f t="shared" si="3"/>
        <v>1</v>
      </c>
      <c r="AB42" s="1349">
        <f t="shared" si="4"/>
        <v>1</v>
      </c>
      <c r="AC42" s="1349">
        <f t="shared" si="5"/>
        <v>1</v>
      </c>
    </row>
    <row r="43" spans="1:29" ht="28.8">
      <c r="A43" s="422"/>
      <c r="B43" s="374" t="s">
        <v>1707</v>
      </c>
      <c r="C43" s="1902"/>
      <c r="D43" s="385">
        <v>100</v>
      </c>
      <c r="E43" s="1902"/>
      <c r="F43" s="411">
        <f>SUMIF(124:124,E43,125:125)-SUMIF(124:124,C43,125:125)+100</f>
        <v>100</v>
      </c>
      <c r="G43" s="1902"/>
      <c r="H43" s="385">
        <f>SUMIF(124:124,G43,125:125)-SUMIF(124:124,C43,125:125)+100</f>
        <v>100</v>
      </c>
      <c r="I43" s="1902"/>
      <c r="J43" s="385">
        <f>SUMIF(124:124,I43,125:125)-SUMIF(124:124,C43,125:125)+100</f>
        <v>100</v>
      </c>
      <c r="K43" s="560"/>
      <c r="L43" s="2718"/>
      <c r="M43" s="2712"/>
      <c r="N43" s="2712"/>
      <c r="O43" s="2712"/>
      <c r="P43" s="3746"/>
      <c r="Q43" s="1348" t="str">
        <f t="shared" si="11"/>
        <v>内部装修维护情况</v>
      </c>
      <c r="R43" s="703" t="s">
        <v>14</v>
      </c>
      <c r="S43" s="704">
        <f t="shared" si="12"/>
        <v>100</v>
      </c>
      <c r="T43" s="703" t="s">
        <v>14</v>
      </c>
      <c r="U43" s="704">
        <f t="shared" si="13"/>
        <v>100</v>
      </c>
      <c r="V43" s="703" t="s">
        <v>14</v>
      </c>
      <c r="W43" s="704">
        <f t="shared" si="14"/>
        <v>100</v>
      </c>
      <c r="X43" s="1351"/>
      <c r="Y43" s="3748"/>
      <c r="Z43" s="1352" t="str">
        <f t="shared" si="15"/>
        <v>内部装修维护情况</v>
      </c>
      <c r="AA43" s="1349">
        <f t="shared" si="3"/>
        <v>1</v>
      </c>
      <c r="AB43" s="1349">
        <f t="shared" si="4"/>
        <v>1</v>
      </c>
      <c r="AC43" s="1349">
        <f t="shared" si="5"/>
        <v>1</v>
      </c>
    </row>
    <row r="44" spans="1:29" s="108" customFormat="1" ht="15">
      <c r="A44" s="423"/>
      <c r="B44" s="1129">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3"/>
      <c r="M44" s="2714"/>
      <c r="N44" s="2714"/>
      <c r="O44" s="2714"/>
      <c r="P44" s="3746"/>
      <c r="Q44" s="1339">
        <f t="shared" si="11"/>
        <v>111</v>
      </c>
      <c r="R44" s="699" t="s">
        <v>14</v>
      </c>
      <c r="S44" s="700">
        <f t="shared" si="12"/>
        <v>100</v>
      </c>
      <c r="T44" s="699" t="s">
        <v>14</v>
      </c>
      <c r="U44" s="700">
        <f t="shared" si="13"/>
        <v>100</v>
      </c>
      <c r="V44" s="699" t="s">
        <v>14</v>
      </c>
      <c r="W44" s="700">
        <f t="shared" si="14"/>
        <v>100</v>
      </c>
      <c r="X44" s="701"/>
      <c r="Y44" s="3748"/>
      <c r="Z44" s="52">
        <f t="shared" si="15"/>
        <v>111</v>
      </c>
      <c r="AA44" s="702">
        <f t="shared" si="3"/>
        <v>1</v>
      </c>
      <c r="AB44" s="702">
        <f t="shared" si="4"/>
        <v>1</v>
      </c>
      <c r="AC44" s="702">
        <f t="shared" si="5"/>
        <v>1</v>
      </c>
    </row>
    <row r="45" spans="1:29" ht="15">
      <c r="A45" s="422"/>
      <c r="B45" s="1129">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8"/>
      <c r="M45" s="2712"/>
      <c r="N45" s="2712"/>
      <c r="O45" s="2712"/>
      <c r="P45" s="3746"/>
      <c r="Q45" s="1348">
        <f t="shared" si="11"/>
        <v>111</v>
      </c>
      <c r="R45" s="703" t="s">
        <v>14</v>
      </c>
      <c r="S45" s="704">
        <f t="shared" si="12"/>
        <v>100</v>
      </c>
      <c r="T45" s="703" t="s">
        <v>14</v>
      </c>
      <c r="U45" s="704">
        <f t="shared" si="13"/>
        <v>100</v>
      </c>
      <c r="V45" s="703" t="s">
        <v>14</v>
      </c>
      <c r="W45" s="704">
        <f t="shared" si="14"/>
        <v>100</v>
      </c>
      <c r="X45" s="1351"/>
      <c r="Y45" s="3748"/>
      <c r="Z45" s="1352">
        <f t="shared" si="15"/>
        <v>111</v>
      </c>
      <c r="AA45" s="1349">
        <f t="shared" si="3"/>
        <v>1</v>
      </c>
      <c r="AB45" s="1349">
        <f t="shared" si="4"/>
        <v>1</v>
      </c>
      <c r="AC45" s="1349">
        <f t="shared" si="5"/>
        <v>1</v>
      </c>
    </row>
    <row r="46" spans="1:29" ht="15.6" thickBot="1">
      <c r="A46" s="428"/>
      <c r="B46" s="1891">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8"/>
      <c r="M46" s="2712"/>
      <c r="N46" s="2712"/>
      <c r="O46" s="2712"/>
      <c r="P46" s="3747"/>
      <c r="Q46" s="1348">
        <f t="shared" si="11"/>
        <v>111</v>
      </c>
      <c r="R46" s="703" t="s">
        <v>14</v>
      </c>
      <c r="S46" s="704">
        <f t="shared" si="12"/>
        <v>100</v>
      </c>
      <c r="T46" s="703" t="s">
        <v>14</v>
      </c>
      <c r="U46" s="704">
        <f t="shared" si="13"/>
        <v>100</v>
      </c>
      <c r="V46" s="703" t="s">
        <v>14</v>
      </c>
      <c r="W46" s="704">
        <f t="shared" si="14"/>
        <v>100</v>
      </c>
      <c r="X46" s="1351"/>
      <c r="Y46" s="3749"/>
      <c r="Z46" s="1352">
        <f t="shared" si="15"/>
        <v>111</v>
      </c>
      <c r="AA46" s="1349">
        <f t="shared" si="3"/>
        <v>1</v>
      </c>
      <c r="AB46" s="1349">
        <f t="shared" si="4"/>
        <v>1</v>
      </c>
      <c r="AC46" s="1349">
        <f t="shared" si="5"/>
        <v>1</v>
      </c>
    </row>
    <row r="47" spans="1:29" ht="14.4">
      <c r="A47" s="429" t="s">
        <v>1708</v>
      </c>
      <c r="B47" s="430"/>
      <c r="C47" s="1150" t="s">
        <v>0</v>
      </c>
      <c r="D47" s="1151"/>
      <c r="E47" s="1152"/>
      <c r="F47" s="1153"/>
      <c r="G47" s="1154"/>
      <c r="H47" s="1155"/>
      <c r="I47" s="1152"/>
      <c r="J47" s="1155"/>
      <c r="K47" s="712"/>
      <c r="L47" s="2720"/>
      <c r="M47" s="2721"/>
      <c r="N47" s="2712"/>
      <c r="O47" s="2721"/>
      <c r="P47" s="3741" t="str">
        <f>A47</f>
        <v>成交单价（元/平方米）</v>
      </c>
      <c r="Q47" s="3741"/>
      <c r="R47" s="3736">
        <f>E47</f>
        <v>0</v>
      </c>
      <c r="S47" s="3736"/>
      <c r="T47" s="3736">
        <f>G47</f>
        <v>0</v>
      </c>
      <c r="U47" s="3736"/>
      <c r="V47" s="3736">
        <f>I47</f>
        <v>0</v>
      </c>
      <c r="W47" s="3736"/>
      <c r="X47" s="688"/>
      <c r="Y47" s="710"/>
      <c r="Z47" s="688"/>
      <c r="AA47" s="688"/>
      <c r="AB47" s="688"/>
      <c r="AC47" s="688"/>
    </row>
    <row r="48" spans="1:29" ht="15" thickBot="1">
      <c r="A48" s="436" t="s">
        <v>1793</v>
      </c>
      <c r="B48" s="437"/>
      <c r="C48" s="1156" t="e">
        <f>R49</f>
        <v>#DIV/0!</v>
      </c>
      <c r="D48" s="2313" t="s">
        <v>2138</v>
      </c>
      <c r="E48" s="1157" t="e">
        <f>R48</f>
        <v>#DIV/0!</v>
      </c>
      <c r="F48" s="2314"/>
      <c r="G48" s="1156" t="e">
        <f>T48</f>
        <v>#DIV/0!</v>
      </c>
      <c r="H48" s="2314"/>
      <c r="I48" s="1157" t="e">
        <f>V48</f>
        <v>#DIV/0!</v>
      </c>
      <c r="J48" s="2314"/>
      <c r="K48" s="2316">
        <f>F48+H48+J48</f>
        <v>0</v>
      </c>
      <c r="L48" s="2720"/>
      <c r="M48" s="2721"/>
      <c r="N48" s="2712"/>
      <c r="O48" s="2721"/>
      <c r="P48" s="3741" t="str">
        <f>A48</f>
        <v>比较价值（元/平方米）</v>
      </c>
      <c r="Q48" s="3741"/>
      <c r="R48" s="3742" t="e">
        <f>IF(F1="售价",ROUND(PRODUCT(R47,AA7:AA46),0),ROUND(PRODUCT(R47,AA7:AA46),1))</f>
        <v>#DIV/0!</v>
      </c>
      <c r="S48" s="3742"/>
      <c r="T48" s="3742" t="e">
        <f>IF(F1="售价",ROUND(PRODUCT(T47,AB7:AB46),0),ROUND(PRODUCT(T47,AB7:AB46),1))</f>
        <v>#DIV/0!</v>
      </c>
      <c r="U48" s="3742"/>
      <c r="V48" s="3742" t="e">
        <f>IF(F1="售价",ROUND(PRODUCT(V47,AC7:AC46),0),ROUND(PRODUCT(V47,AC7:AC46),1))</f>
        <v>#DIV/0!</v>
      </c>
      <c r="W48" s="3742"/>
      <c r="X48" s="688"/>
      <c r="Y48" s="688"/>
      <c r="Z48" s="688"/>
      <c r="AA48" s="688"/>
      <c r="AB48" s="688"/>
      <c r="AC48" s="688"/>
    </row>
    <row r="49" spans="1:29" ht="15" thickBot="1">
      <c r="A49" s="440" t="s">
        <v>1794</v>
      </c>
      <c r="B49" s="441"/>
      <c r="C49" s="1159" t="e">
        <f>R49</f>
        <v>#DIV/0!</v>
      </c>
      <c r="D49" s="1159"/>
      <c r="E49" s="1159"/>
      <c r="F49" s="1159"/>
      <c r="G49" s="1159"/>
      <c r="H49" s="1159"/>
      <c r="I49" s="1159"/>
      <c r="J49" s="1159"/>
      <c r="K49" s="713"/>
      <c r="L49" s="2720"/>
      <c r="M49" s="2721"/>
      <c r="N49" s="2712"/>
      <c r="O49" s="2721"/>
      <c r="P49" s="3738" t="str">
        <f>A49</f>
        <v>估价对象XX用房的比较价值（楼面单价，元/平方米）</v>
      </c>
      <c r="Q49" s="3739"/>
      <c r="R49" s="3740" t="e">
        <f>IF(F1="售价",ROUND(IF(D48="简单平均",AVERAGE(R48:V48),R48*F48+T48*H48+V48*J48),0),ROUND(IF(D48="简单平均",AVERAGE(R48:V48),R48*F48+T48*H48+V48*J48),1))</f>
        <v>#DIV/0!</v>
      </c>
      <c r="S49" s="3740"/>
      <c r="T49" s="3740"/>
      <c r="U49" s="3740"/>
      <c r="V49" s="3740"/>
      <c r="W49" s="3740"/>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0" customFormat="1" ht="13.5" customHeight="1">
      <c r="A54" s="2724"/>
      <c r="B54" s="2724"/>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0"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2.2" thickBot="1">
      <c r="A57" s="692" t="s">
        <v>1798</v>
      </c>
      <c r="B57" s="688"/>
      <c r="C57" s="693"/>
      <c r="D57" s="693"/>
      <c r="E57" s="693"/>
      <c r="F57" s="694"/>
      <c r="G57" s="694"/>
      <c r="H57" s="693"/>
      <c r="I57" s="693"/>
      <c r="J57" s="693"/>
      <c r="K57" s="695"/>
      <c r="L57" s="938"/>
      <c r="M57" s="936"/>
      <c r="N57" s="936"/>
      <c r="O57" s="936"/>
      <c r="P57" s="2734"/>
      <c r="Q57" s="2735"/>
      <c r="R57" s="2721"/>
      <c r="S57" s="2721"/>
      <c r="T57" s="2721"/>
      <c r="U57" s="2721"/>
      <c r="V57" s="2721"/>
      <c r="W57" s="2721"/>
      <c r="X57" s="2721"/>
      <c r="Y57" s="2721"/>
      <c r="Z57" s="2721"/>
      <c r="AA57" s="2721"/>
      <c r="AB57" s="2721"/>
      <c r="AC57" s="2721"/>
    </row>
    <row r="58" spans="1:29" s="456" customFormat="1" ht="14.4">
      <c r="A58" s="453" t="s">
        <v>1679</v>
      </c>
      <c r="B58" s="454"/>
      <c r="C58" s="1180" t="str">
        <f>YEAR(C7)&amp;"-"&amp;MONTH(C7)</f>
        <v>2023-3</v>
      </c>
      <c r="D58" s="1181">
        <f>EDATE(C58,-1)</f>
        <v>44958</v>
      </c>
      <c r="E58" s="1181">
        <f t="shared" ref="E58:N58" si="16">EDATE(D58,-1)</f>
        <v>44927</v>
      </c>
      <c r="F58" s="1181">
        <f t="shared" si="16"/>
        <v>44896</v>
      </c>
      <c r="G58" s="1181">
        <f t="shared" si="16"/>
        <v>44866</v>
      </c>
      <c r="H58" s="1181">
        <f t="shared" si="16"/>
        <v>44835</v>
      </c>
      <c r="I58" s="1181">
        <f t="shared" si="16"/>
        <v>44805</v>
      </c>
      <c r="J58" s="1181">
        <f t="shared" si="16"/>
        <v>44774</v>
      </c>
      <c r="K58" s="1181">
        <f t="shared" si="16"/>
        <v>44743</v>
      </c>
      <c r="L58" s="1181">
        <f t="shared" si="16"/>
        <v>44713</v>
      </c>
      <c r="M58" s="1181">
        <f t="shared" si="16"/>
        <v>44682</v>
      </c>
      <c r="N58" s="1181">
        <f t="shared" si="16"/>
        <v>44652</v>
      </c>
      <c r="O58" s="1181">
        <f>EDATE(N58,-1)</f>
        <v>44621</v>
      </c>
      <c r="P58" s="2736"/>
      <c r="Q58" s="2737"/>
      <c r="R58" s="2737"/>
      <c r="S58" s="2737"/>
      <c r="T58" s="2737"/>
      <c r="U58" s="2737"/>
      <c r="V58" s="2737"/>
      <c r="W58" s="2737"/>
      <c r="X58" s="2737"/>
      <c r="Y58" s="2737"/>
      <c r="Z58" s="2737"/>
      <c r="AA58" s="2737"/>
      <c r="AB58" s="2737"/>
      <c r="AC58" s="2737"/>
    </row>
    <row r="59" spans="1:29" s="108" customFormat="1">
      <c r="A59" s="457"/>
      <c r="B59" s="458"/>
      <c r="C59" s="1179">
        <v>100</v>
      </c>
      <c r="D59" s="460"/>
      <c r="E59" s="460"/>
      <c r="F59" s="460"/>
      <c r="G59" s="460"/>
      <c r="H59" s="460"/>
      <c r="I59" s="460"/>
      <c r="J59" s="460"/>
      <c r="K59" s="460"/>
      <c r="L59" s="460"/>
      <c r="M59" s="461"/>
      <c r="N59" s="460"/>
      <c r="O59" s="461"/>
      <c r="P59" s="2738"/>
      <c r="Q59" s="2657"/>
      <c r="R59" s="2657"/>
      <c r="S59" s="2657"/>
      <c r="T59" s="2657"/>
      <c r="U59" s="2657"/>
      <c r="V59" s="2657"/>
      <c r="W59" s="2657"/>
      <c r="X59" s="2657"/>
      <c r="Y59" s="2657"/>
      <c r="Z59" s="2657"/>
      <c r="AA59" s="2657"/>
      <c r="AB59" s="2657"/>
      <c r="AC59" s="2657"/>
    </row>
    <row r="60" spans="1:29" s="108" customFormat="1" ht="15" thickBot="1">
      <c r="A60" s="463" t="s">
        <v>1716</v>
      </c>
      <c r="B60" s="464"/>
      <c r="C60" s="465"/>
      <c r="D60" s="466"/>
      <c r="E60" s="466"/>
      <c r="F60" s="466"/>
      <c r="G60" s="466"/>
      <c r="H60" s="466"/>
      <c r="I60" s="466"/>
      <c r="J60" s="466"/>
      <c r="K60" s="466"/>
      <c r="L60" s="466"/>
      <c r="M60" s="467"/>
      <c r="N60" s="466"/>
      <c r="O60" s="467"/>
      <c r="P60" s="2738"/>
      <c r="Q60" s="2735"/>
      <c r="R60" s="2657"/>
      <c r="S60" s="2657"/>
      <c r="T60" s="2657"/>
      <c r="U60" s="2657"/>
      <c r="V60" s="2657"/>
      <c r="W60" s="2657"/>
      <c r="X60" s="2657"/>
      <c r="Y60" s="2657"/>
      <c r="Z60" s="2657"/>
      <c r="AA60" s="2657"/>
      <c r="AB60" s="2657"/>
      <c r="AC60" s="2657"/>
    </row>
    <row r="61" spans="1:29" s="108" customFormat="1" ht="14.4">
      <c r="A61" s="469" t="s">
        <v>1681</v>
      </c>
      <c r="B61" s="458"/>
      <c r="C61" s="470" t="s">
        <v>1776</v>
      </c>
      <c r="D61" s="471"/>
      <c r="E61" s="471"/>
      <c r="F61" s="471"/>
      <c r="G61" s="471"/>
      <c r="H61" s="471"/>
      <c r="I61" s="471"/>
      <c r="J61" s="471"/>
      <c r="K61" s="471"/>
      <c r="L61" s="472"/>
      <c r="M61" s="473"/>
      <c r="N61" s="2748"/>
      <c r="O61" s="2748"/>
      <c r="P61" s="2739"/>
      <c r="Q61" s="2735"/>
      <c r="R61" s="2657"/>
      <c r="S61" s="2657"/>
      <c r="T61" s="2657"/>
      <c r="U61" s="2657"/>
      <c r="V61" s="2657"/>
      <c r="W61" s="2657"/>
      <c r="X61" s="2657"/>
      <c r="Y61" s="2657"/>
      <c r="Z61" s="2657"/>
      <c r="AA61" s="2657"/>
      <c r="AB61" s="2657"/>
      <c r="AC61" s="2657"/>
    </row>
    <row r="62" spans="1:29" s="108" customFormat="1" ht="14.4" thickBot="1">
      <c r="A62" s="469"/>
      <c r="B62" s="458"/>
      <c r="C62" s="459">
        <v>100</v>
      </c>
      <c r="D62" s="460"/>
      <c r="E62" s="460"/>
      <c r="F62" s="460"/>
      <c r="G62" s="460"/>
      <c r="H62" s="460"/>
      <c r="I62" s="460"/>
      <c r="J62" s="460"/>
      <c r="K62" s="460"/>
      <c r="L62" s="460"/>
      <c r="M62" s="462"/>
      <c r="N62" s="2748"/>
      <c r="O62" s="2748"/>
      <c r="P62" s="2738"/>
      <c r="Q62" s="2735"/>
      <c r="R62" s="2657"/>
      <c r="S62" s="2657"/>
      <c r="T62" s="2657"/>
      <c r="U62" s="2657"/>
      <c r="V62" s="2657"/>
      <c r="W62" s="2657"/>
      <c r="X62" s="2657"/>
      <c r="Y62" s="2657"/>
      <c r="Z62" s="2657"/>
      <c r="AA62" s="2657"/>
      <c r="AB62" s="2657"/>
      <c r="AC62" s="2657"/>
    </row>
    <row r="63" spans="1:29" ht="14.4">
      <c r="A63" s="475" t="s">
        <v>1719</v>
      </c>
      <c r="B63" s="476" t="s">
        <v>1685</v>
      </c>
      <c r="C63" s="477">
        <f>C9</f>
        <v>0</v>
      </c>
      <c r="D63" s="478"/>
      <c r="E63" s="478"/>
      <c r="F63" s="478"/>
      <c r="G63" s="478"/>
      <c r="H63" s="478"/>
      <c r="I63" s="478"/>
      <c r="J63" s="478"/>
      <c r="K63" s="479"/>
      <c r="L63" s="480"/>
      <c r="M63" s="481"/>
      <c r="N63" s="2749"/>
      <c r="O63" s="2749"/>
      <c r="P63" s="2740"/>
      <c r="Q63" s="2735"/>
      <c r="R63" s="2721"/>
      <c r="S63" s="2721"/>
      <c r="T63" s="2721"/>
      <c r="U63" s="2721"/>
      <c r="V63" s="2721"/>
      <c r="W63" s="2721"/>
      <c r="X63" s="2721"/>
      <c r="Y63" s="2721"/>
      <c r="Z63" s="2721"/>
      <c r="AA63" s="2721"/>
      <c r="AB63" s="2721"/>
      <c r="AC63" s="2721"/>
    </row>
    <row r="64" spans="1:29" ht="14.4" thickBot="1">
      <c r="A64" s="482"/>
      <c r="B64" s="483"/>
      <c r="C64" s="484">
        <v>100</v>
      </c>
      <c r="D64" s="484"/>
      <c r="E64" s="484"/>
      <c r="F64" s="484"/>
      <c r="G64" s="484"/>
      <c r="H64" s="484"/>
      <c r="I64" s="484"/>
      <c r="J64" s="484"/>
      <c r="K64" s="484"/>
      <c r="L64" s="484"/>
      <c r="M64" s="485"/>
      <c r="N64" s="2750"/>
      <c r="O64" s="2750"/>
      <c r="P64" s="2740"/>
      <c r="Q64" s="2735"/>
      <c r="R64" s="2721"/>
      <c r="S64" s="2721"/>
      <c r="T64" s="2721"/>
      <c r="U64" s="2721"/>
      <c r="V64" s="2721"/>
      <c r="W64" s="2721"/>
      <c r="X64" s="2721"/>
      <c r="Y64" s="2721"/>
      <c r="Z64" s="2721"/>
      <c r="AA64" s="2721"/>
      <c r="AB64" s="2721"/>
      <c r="AC64" s="2721"/>
    </row>
    <row r="65" spans="1:29" ht="29.4" thickTop="1">
      <c r="A65" s="482"/>
      <c r="B65" s="486" t="s">
        <v>1688</v>
      </c>
      <c r="C65" s="531"/>
      <c r="D65" s="531"/>
      <c r="E65" s="531"/>
      <c r="F65" s="531"/>
      <c r="G65" s="531"/>
      <c r="H65" s="531"/>
      <c r="I65" s="531"/>
      <c r="J65" s="531"/>
      <c r="K65" s="532"/>
      <c r="L65" s="533"/>
      <c r="M65" s="534"/>
      <c r="N65" s="2749"/>
      <c r="O65" s="2749"/>
      <c r="P65" s="2740"/>
      <c r="Q65" s="2735"/>
      <c r="R65" s="2721"/>
      <c r="S65" s="2721"/>
      <c r="T65" s="2721"/>
      <c r="U65" s="2721"/>
      <c r="V65" s="2721"/>
      <c r="W65" s="2721"/>
      <c r="X65" s="2721"/>
      <c r="Y65" s="2721"/>
      <c r="Z65" s="2721"/>
      <c r="AA65" s="2721"/>
      <c r="AB65" s="2721"/>
      <c r="AC65" s="2721"/>
    </row>
    <row r="66" spans="1:29" ht="14.4" thickBot="1">
      <c r="A66" s="482"/>
      <c r="B66" s="491"/>
      <c r="C66" s="484"/>
      <c r="D66" s="484"/>
      <c r="E66" s="484"/>
      <c r="F66" s="484"/>
      <c r="G66" s="484"/>
      <c r="H66" s="484"/>
      <c r="I66" s="484"/>
      <c r="J66" s="484"/>
      <c r="K66" s="484"/>
      <c r="L66" s="484"/>
      <c r="M66" s="485"/>
      <c r="N66" s="2750"/>
      <c r="O66" s="2750"/>
      <c r="P66" s="2740"/>
      <c r="Q66" s="2735"/>
      <c r="R66" s="2721"/>
      <c r="S66" s="2721"/>
      <c r="T66" s="2721"/>
      <c r="U66" s="2721"/>
      <c r="V66" s="2721"/>
      <c r="W66" s="2721"/>
      <c r="X66" s="2721"/>
      <c r="Y66" s="2721"/>
      <c r="Z66" s="2721"/>
      <c r="AA66" s="2721"/>
      <c r="AB66" s="2721"/>
      <c r="AC66" s="2721"/>
    </row>
    <row r="67" spans="1:29" ht="1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0"/>
      <c r="O67" s="2750"/>
      <c r="P67" s="2740"/>
      <c r="Q67" s="2735"/>
      <c r="R67" s="2721"/>
      <c r="S67" s="2721"/>
      <c r="T67" s="2721"/>
      <c r="U67" s="2721"/>
      <c r="V67" s="2721"/>
      <c r="W67" s="2721"/>
      <c r="X67" s="2721"/>
      <c r="Y67" s="2721"/>
      <c r="Z67" s="2721"/>
      <c r="AA67" s="2721"/>
      <c r="AB67" s="2721"/>
      <c r="AC67" s="2721"/>
    </row>
    <row r="68" spans="1:29">
      <c r="A68" s="482"/>
      <c r="B68" s="496"/>
      <c r="C68" s="497"/>
      <c r="D68" s="497"/>
      <c r="E68" s="497"/>
      <c r="F68" s="497"/>
      <c r="G68" s="497"/>
      <c r="H68" s="497"/>
      <c r="I68" s="497"/>
      <c r="J68" s="497"/>
      <c r="K68" s="498"/>
      <c r="L68" s="499"/>
      <c r="M68" s="500"/>
      <c r="N68" s="2749"/>
      <c r="O68" s="2749"/>
      <c r="P68" s="2740"/>
      <c r="Q68" s="2735"/>
      <c r="R68" s="2721"/>
      <c r="S68" s="2721"/>
      <c r="T68" s="2721"/>
      <c r="U68" s="2721"/>
      <c r="V68" s="2721"/>
      <c r="W68" s="2721"/>
      <c r="X68" s="2721"/>
      <c r="Y68" s="2721"/>
      <c r="Z68" s="2721"/>
      <c r="AA68" s="2721"/>
      <c r="AB68" s="2721"/>
      <c r="AC68" s="2721"/>
    </row>
    <row r="69" spans="1:29" ht="14.4"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0"/>
      <c r="O69" s="2750"/>
      <c r="P69" s="2740"/>
      <c r="Q69" s="2735"/>
      <c r="R69" s="2721"/>
      <c r="S69" s="2721"/>
      <c r="T69" s="2721"/>
      <c r="U69" s="2721"/>
      <c r="V69" s="2721"/>
      <c r="W69" s="2721"/>
      <c r="X69" s="2721"/>
      <c r="Y69" s="2721"/>
      <c r="Z69" s="2721"/>
      <c r="AA69" s="2721"/>
      <c r="AB69" s="2721"/>
      <c r="AC69" s="2721"/>
    </row>
    <row r="70" spans="1:29" s="421" customFormat="1" ht="14.4" thickTop="1">
      <c r="A70" s="501"/>
      <c r="B70" s="486">
        <f>B12</f>
        <v>111</v>
      </c>
      <c r="C70" s="502"/>
      <c r="D70" s="502"/>
      <c r="E70" s="502"/>
      <c r="F70" s="502"/>
      <c r="G70" s="502"/>
      <c r="H70" s="503"/>
      <c r="I70" s="503"/>
      <c r="J70" s="503"/>
      <c r="K70" s="503"/>
      <c r="L70" s="504"/>
      <c r="M70" s="505"/>
      <c r="N70" s="2751"/>
      <c r="O70" s="2751"/>
      <c r="P70" s="2741"/>
      <c r="Q70" s="2742"/>
      <c r="R70" s="2743"/>
      <c r="S70" s="2743"/>
      <c r="T70" s="2743"/>
      <c r="U70" s="2743"/>
      <c r="V70" s="2743"/>
      <c r="W70" s="2743"/>
      <c r="X70" s="2743"/>
      <c r="Y70" s="2743"/>
      <c r="Z70" s="2743"/>
      <c r="AA70" s="2743"/>
      <c r="AB70" s="2743"/>
      <c r="AC70" s="2743"/>
    </row>
    <row r="71" spans="1:29" s="421" customFormat="1" ht="14.4" thickBot="1">
      <c r="A71" s="501"/>
      <c r="B71" s="491"/>
      <c r="C71" s="508"/>
      <c r="D71" s="484"/>
      <c r="E71" s="484"/>
      <c r="F71" s="484"/>
      <c r="G71" s="484"/>
      <c r="H71" s="484"/>
      <c r="I71" s="484"/>
      <c r="J71" s="484"/>
      <c r="K71" s="484"/>
      <c r="L71" s="484"/>
      <c r="M71" s="485"/>
      <c r="N71" s="2750"/>
      <c r="O71" s="2750"/>
      <c r="P71" s="2741"/>
      <c r="Q71" s="2742"/>
      <c r="R71" s="2743"/>
      <c r="S71" s="2743"/>
      <c r="T71" s="2743"/>
      <c r="U71" s="2743"/>
      <c r="V71" s="2743"/>
      <c r="W71" s="2743"/>
      <c r="X71" s="2743"/>
      <c r="Y71" s="2743"/>
      <c r="Z71" s="2743"/>
      <c r="AA71" s="2743"/>
      <c r="AB71" s="2743"/>
      <c r="AC71" s="2743"/>
    </row>
    <row r="72" spans="1:29" s="421" customFormat="1" ht="14.4" thickTop="1">
      <c r="A72" s="501"/>
      <c r="B72" s="486">
        <f>B13</f>
        <v>111</v>
      </c>
      <c r="C72" s="502"/>
      <c r="D72" s="502"/>
      <c r="E72" s="502"/>
      <c r="F72" s="502"/>
      <c r="G72" s="502"/>
      <c r="H72" s="503"/>
      <c r="I72" s="503"/>
      <c r="J72" s="503"/>
      <c r="K72" s="503"/>
      <c r="L72" s="504"/>
      <c r="M72" s="505"/>
      <c r="N72" s="2751"/>
      <c r="O72" s="2751"/>
      <c r="P72" s="2744"/>
      <c r="Q72" s="2745"/>
      <c r="R72" s="2743"/>
      <c r="S72" s="2743"/>
      <c r="T72" s="2743"/>
      <c r="U72" s="2743"/>
      <c r="V72" s="2743"/>
      <c r="W72" s="2743"/>
      <c r="X72" s="2743"/>
      <c r="Y72" s="2743"/>
      <c r="Z72" s="2743"/>
      <c r="AA72" s="2743"/>
      <c r="AB72" s="2743"/>
      <c r="AC72" s="2743"/>
    </row>
    <row r="73" spans="1:29" s="421" customFormat="1" ht="14.4" thickBot="1">
      <c r="A73" s="501"/>
      <c r="B73" s="491"/>
      <c r="C73" s="508"/>
      <c r="D73" s="484"/>
      <c r="E73" s="484"/>
      <c r="F73" s="484"/>
      <c r="G73" s="508"/>
      <c r="H73" s="510"/>
      <c r="I73" s="510"/>
      <c r="J73" s="510"/>
      <c r="K73" s="510"/>
      <c r="L73" s="510"/>
      <c r="M73" s="511"/>
      <c r="N73" s="2751"/>
      <c r="O73" s="2751"/>
      <c r="P73" s="2741"/>
      <c r="Q73" s="2742"/>
      <c r="R73" s="2743"/>
      <c r="S73" s="2743"/>
      <c r="T73" s="2743"/>
      <c r="U73" s="2743"/>
      <c r="V73" s="2743"/>
      <c r="W73" s="2743"/>
      <c r="X73" s="2743"/>
      <c r="Y73" s="2743"/>
      <c r="Z73" s="2743"/>
      <c r="AA73" s="2743"/>
      <c r="AB73" s="2743"/>
      <c r="AC73" s="2743"/>
    </row>
    <row r="74" spans="1:29" s="421" customFormat="1" ht="14.4" thickTop="1">
      <c r="A74" s="501"/>
      <c r="B74" s="494">
        <f>B14</f>
        <v>111</v>
      </c>
      <c r="C74" s="502"/>
      <c r="D74" s="502"/>
      <c r="E74" s="502"/>
      <c r="F74" s="502"/>
      <c r="G74" s="471"/>
      <c r="H74" s="512"/>
      <c r="I74" s="512"/>
      <c r="J74" s="512"/>
      <c r="K74" s="512"/>
      <c r="L74" s="513"/>
      <c r="M74" s="514"/>
      <c r="N74" s="2751"/>
      <c r="O74" s="2751"/>
      <c r="P74" s="2746"/>
      <c r="Q74" s="2742"/>
      <c r="R74" s="2743"/>
      <c r="S74" s="2743"/>
      <c r="T74" s="2743"/>
      <c r="U74" s="2743"/>
      <c r="V74" s="2743"/>
      <c r="W74" s="2743"/>
      <c r="X74" s="2743"/>
      <c r="Y74" s="2743"/>
      <c r="Z74" s="2743"/>
      <c r="AA74" s="2743"/>
      <c r="AB74" s="2743"/>
      <c r="AC74" s="2743"/>
    </row>
    <row r="75" spans="1:29" s="421" customFormat="1" ht="14.4" thickBot="1">
      <c r="A75" s="516"/>
      <c r="B75" s="517"/>
      <c r="C75" s="518"/>
      <c r="D75" s="518"/>
      <c r="E75" s="518"/>
      <c r="F75" s="518"/>
      <c r="G75" s="518"/>
      <c r="H75" s="519"/>
      <c r="I75" s="519"/>
      <c r="J75" s="519"/>
      <c r="K75" s="519"/>
      <c r="L75" s="519"/>
      <c r="M75" s="520"/>
      <c r="N75" s="2751"/>
      <c r="O75" s="2751"/>
      <c r="P75" s="2741"/>
      <c r="Q75" s="2742"/>
      <c r="R75" s="2743"/>
      <c r="S75" s="2743"/>
      <c r="T75" s="2743"/>
      <c r="U75" s="2743"/>
      <c r="V75" s="2743"/>
      <c r="W75" s="2743"/>
      <c r="X75" s="2743"/>
      <c r="Y75" s="2743"/>
      <c r="Z75" s="2743"/>
      <c r="AA75" s="2743"/>
      <c r="AB75" s="2743"/>
      <c r="AC75" s="2743"/>
    </row>
    <row r="76" spans="1:29" ht="14.4">
      <c r="A76" s="475" t="s">
        <v>1690</v>
      </c>
      <c r="B76" s="476" t="s">
        <v>1720</v>
      </c>
      <c r="C76" s="521" t="s">
        <v>1721</v>
      </c>
      <c r="D76" s="521" t="s">
        <v>1722</v>
      </c>
      <c r="E76" s="521" t="s">
        <v>1723</v>
      </c>
      <c r="F76" s="521" t="s">
        <v>1724</v>
      </c>
      <c r="G76" s="521" t="s">
        <v>1725</v>
      </c>
      <c r="H76" s="477"/>
      <c r="I76" s="477"/>
      <c r="J76" s="477"/>
      <c r="K76" s="522"/>
      <c r="L76" s="523"/>
      <c r="M76" s="524"/>
      <c r="N76" s="2749"/>
      <c r="O76" s="2749"/>
      <c r="P76" s="2747"/>
      <c r="Q76" s="2735"/>
      <c r="R76" s="2721"/>
      <c r="S76" s="2721"/>
      <c r="T76" s="2721"/>
      <c r="U76" s="2721"/>
      <c r="V76" s="2721"/>
      <c r="W76" s="2721"/>
      <c r="X76" s="2721"/>
      <c r="Y76" s="2721"/>
      <c r="Z76" s="2721"/>
      <c r="AA76" s="2721"/>
      <c r="AB76" s="2721"/>
      <c r="AC76" s="2721"/>
    </row>
    <row r="77" spans="1:29" ht="14.4" thickBot="1">
      <c r="A77" s="482"/>
      <c r="B77" s="491"/>
      <c r="C77" s="492">
        <v>100</v>
      </c>
      <c r="D77" s="492">
        <f>C77-$K15</f>
        <v>100</v>
      </c>
      <c r="E77" s="492">
        <f>D77-$K15</f>
        <v>100</v>
      </c>
      <c r="F77" s="492">
        <f>E77-$K15</f>
        <v>100</v>
      </c>
      <c r="G77" s="492">
        <f>F77-$K15</f>
        <v>100</v>
      </c>
      <c r="H77" s="492"/>
      <c r="I77" s="492"/>
      <c r="J77" s="492"/>
      <c r="K77" s="492"/>
      <c r="L77" s="492"/>
      <c r="M77" s="493"/>
      <c r="N77" s="2750"/>
      <c r="O77" s="2750"/>
      <c r="P77" s="2740"/>
      <c r="Q77" s="2735"/>
      <c r="R77" s="2721"/>
      <c r="S77" s="2721"/>
      <c r="T77" s="2721"/>
      <c r="U77" s="2721"/>
      <c r="V77" s="2721"/>
      <c r="W77" s="2721"/>
      <c r="X77" s="2721"/>
      <c r="Y77" s="2721"/>
      <c r="Z77" s="2721"/>
      <c r="AA77" s="2721"/>
      <c r="AB77" s="2721"/>
      <c r="AC77" s="2721"/>
    </row>
    <row r="78" spans="1:29" ht="15" thickTop="1">
      <c r="A78" s="482"/>
      <c r="B78" s="486" t="s">
        <v>1726</v>
      </c>
      <c r="C78" s="526" t="s">
        <v>1721</v>
      </c>
      <c r="D78" s="526" t="s">
        <v>1722</v>
      </c>
      <c r="E78" s="526" t="s">
        <v>1723</v>
      </c>
      <c r="F78" s="526" t="s">
        <v>1724</v>
      </c>
      <c r="G78" s="526" t="s">
        <v>1725</v>
      </c>
      <c r="H78" s="487"/>
      <c r="I78" s="487"/>
      <c r="J78" s="487"/>
      <c r="K78" s="488"/>
      <c r="L78" s="489"/>
      <c r="M78" s="490"/>
      <c r="N78" s="2749"/>
      <c r="O78" s="2749"/>
      <c r="P78" s="2740"/>
      <c r="Q78" s="2735"/>
      <c r="R78" s="2721"/>
      <c r="S78" s="2721"/>
      <c r="T78" s="2721"/>
      <c r="U78" s="2721"/>
      <c r="V78" s="2721"/>
      <c r="W78" s="2721"/>
      <c r="X78" s="2721"/>
      <c r="Y78" s="2721"/>
      <c r="Z78" s="2721"/>
      <c r="AA78" s="2721"/>
      <c r="AB78" s="2721"/>
      <c r="AC78" s="2721"/>
    </row>
    <row r="79" spans="1:29" ht="14.4" thickBot="1">
      <c r="A79" s="482"/>
      <c r="B79" s="491"/>
      <c r="C79" s="492">
        <v>100</v>
      </c>
      <c r="D79" s="492">
        <f>C79-$K17</f>
        <v>100</v>
      </c>
      <c r="E79" s="492">
        <f>D79-$K17</f>
        <v>100</v>
      </c>
      <c r="F79" s="492">
        <f>E79-$K17</f>
        <v>100</v>
      </c>
      <c r="G79" s="492">
        <f>F79-$K17</f>
        <v>100</v>
      </c>
      <c r="H79" s="492"/>
      <c r="I79" s="492"/>
      <c r="J79" s="492"/>
      <c r="K79" s="492"/>
      <c r="L79" s="492"/>
      <c r="M79" s="493"/>
      <c r="N79" s="2750"/>
      <c r="O79" s="2750"/>
      <c r="P79" s="2740"/>
      <c r="Q79" s="2735"/>
      <c r="R79" s="2721"/>
      <c r="S79" s="2721"/>
      <c r="T79" s="2721"/>
      <c r="U79" s="2721"/>
      <c r="V79" s="2721"/>
      <c r="W79" s="2721"/>
      <c r="X79" s="2721"/>
      <c r="Y79" s="2721"/>
      <c r="Z79" s="2721"/>
      <c r="AA79" s="2721"/>
      <c r="AB79" s="2721"/>
      <c r="AC79" s="2721"/>
    </row>
    <row r="80" spans="1:29" ht="15" thickTop="1">
      <c r="A80" s="482"/>
      <c r="B80" s="486" t="s">
        <v>1727</v>
      </c>
      <c r="C80" s="526" t="s">
        <v>1721</v>
      </c>
      <c r="D80" s="526" t="s">
        <v>1722</v>
      </c>
      <c r="E80" s="526" t="s">
        <v>1723</v>
      </c>
      <c r="F80" s="526" t="s">
        <v>1724</v>
      </c>
      <c r="G80" s="526" t="s">
        <v>1725</v>
      </c>
      <c r="H80" s="487"/>
      <c r="I80" s="487"/>
      <c r="J80" s="487"/>
      <c r="K80" s="488"/>
      <c r="L80" s="489"/>
      <c r="M80" s="490"/>
      <c r="N80" s="2749"/>
      <c r="O80" s="2749"/>
      <c r="P80" s="2740"/>
      <c r="Q80" s="2735"/>
      <c r="R80" s="2721"/>
      <c r="S80" s="2721"/>
      <c r="T80" s="2721"/>
      <c r="U80" s="2721"/>
      <c r="V80" s="2721"/>
      <c r="W80" s="2721"/>
      <c r="X80" s="2721"/>
      <c r="Y80" s="2721"/>
      <c r="Z80" s="2721"/>
      <c r="AA80" s="2721"/>
      <c r="AB80" s="2721"/>
      <c r="AC80" s="2721"/>
    </row>
    <row r="81" spans="1:29" ht="14.4" thickBot="1">
      <c r="A81" s="482"/>
      <c r="B81" s="491"/>
      <c r="C81" s="492">
        <v>100</v>
      </c>
      <c r="D81" s="492">
        <f>C81-$K19</f>
        <v>100</v>
      </c>
      <c r="E81" s="492">
        <f>D81-$K19</f>
        <v>100</v>
      </c>
      <c r="F81" s="492">
        <f>E81-$K19</f>
        <v>100</v>
      </c>
      <c r="G81" s="492">
        <f>F81-$K19</f>
        <v>100</v>
      </c>
      <c r="H81" s="492"/>
      <c r="I81" s="492"/>
      <c r="J81" s="492"/>
      <c r="K81" s="492"/>
      <c r="L81" s="492"/>
      <c r="M81" s="493"/>
      <c r="N81" s="2750"/>
      <c r="O81" s="2750"/>
      <c r="P81" s="2740"/>
      <c r="Q81" s="2735"/>
      <c r="R81" s="2721"/>
      <c r="S81" s="2721"/>
      <c r="T81" s="2721"/>
      <c r="U81" s="2721"/>
      <c r="V81" s="2721"/>
      <c r="W81" s="2721"/>
      <c r="X81" s="2721"/>
      <c r="Y81" s="2721"/>
      <c r="Z81" s="2721"/>
      <c r="AA81" s="2721"/>
      <c r="AB81" s="2721"/>
      <c r="AC81" s="2721"/>
    </row>
    <row r="82" spans="1:29" ht="15" thickTop="1">
      <c r="A82" s="482"/>
      <c r="B82" s="494" t="s">
        <v>1779</v>
      </c>
      <c r="C82" s="607" t="s">
        <v>1799</v>
      </c>
      <c r="D82" s="607" t="s">
        <v>1800</v>
      </c>
      <c r="E82" s="607" t="s">
        <v>1801</v>
      </c>
      <c r="F82" s="607" t="s">
        <v>1802</v>
      </c>
      <c r="G82" s="607" t="s">
        <v>1803</v>
      </c>
      <c r="H82" s="487"/>
      <c r="I82" s="487"/>
      <c r="J82" s="487"/>
      <c r="K82" s="487"/>
      <c r="L82" s="487"/>
      <c r="M82" s="1125"/>
      <c r="N82" s="2750"/>
      <c r="O82" s="2750"/>
      <c r="P82" s="2740"/>
      <c r="Q82" s="2735"/>
      <c r="R82" s="2721"/>
      <c r="S82" s="2721"/>
      <c r="T82" s="2721"/>
      <c r="U82" s="2721"/>
      <c r="V82" s="2721"/>
      <c r="W82" s="2721"/>
      <c r="X82" s="2721"/>
      <c r="Y82" s="2721"/>
      <c r="Z82" s="2721"/>
      <c r="AA82" s="2721"/>
      <c r="AB82" s="2721"/>
      <c r="AC82" s="2721"/>
    </row>
    <row r="83" spans="1:29" ht="14.4"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0"/>
      <c r="O83" s="2750"/>
      <c r="P83" s="2740"/>
      <c r="Q83" s="2735"/>
      <c r="R83" s="2721"/>
      <c r="S83" s="2721"/>
      <c r="T83" s="2721"/>
      <c r="U83" s="2721"/>
      <c r="V83" s="2721"/>
      <c r="W83" s="2721"/>
      <c r="X83" s="2721"/>
      <c r="Y83" s="2721"/>
      <c r="Z83" s="2721"/>
      <c r="AA83" s="2721"/>
      <c r="AB83" s="2721"/>
      <c r="AC83" s="2721"/>
    </row>
    <row r="84" spans="1:29" ht="15" thickTop="1">
      <c r="A84" s="482"/>
      <c r="B84" s="486" t="s">
        <v>1733</v>
      </c>
      <c r="C84" s="526" t="s">
        <v>1721</v>
      </c>
      <c r="D84" s="526" t="s">
        <v>1722</v>
      </c>
      <c r="E84" s="526" t="s">
        <v>1723</v>
      </c>
      <c r="F84" s="526" t="s">
        <v>1724</v>
      </c>
      <c r="G84" s="526" t="s">
        <v>1725</v>
      </c>
      <c r="H84" s="487"/>
      <c r="I84" s="487"/>
      <c r="J84" s="487"/>
      <c r="K84" s="488"/>
      <c r="L84" s="489"/>
      <c r="M84" s="490"/>
      <c r="N84" s="2749"/>
      <c r="O84" s="2749"/>
      <c r="P84" s="2740"/>
      <c r="Q84" s="2735"/>
      <c r="R84" s="2721"/>
      <c r="S84" s="2721"/>
      <c r="T84" s="2721"/>
      <c r="U84" s="2721"/>
      <c r="V84" s="2721"/>
      <c r="W84" s="2721"/>
      <c r="X84" s="2721"/>
      <c r="Y84" s="2721"/>
      <c r="Z84" s="2721"/>
      <c r="AA84" s="2721"/>
      <c r="AB84" s="2721"/>
      <c r="AC84" s="2721"/>
    </row>
    <row r="85" spans="1:29" ht="14.4" thickBot="1">
      <c r="A85" s="482"/>
      <c r="B85" s="491"/>
      <c r="C85" s="492">
        <v>100</v>
      </c>
      <c r="D85" s="492">
        <f>C85-$K23</f>
        <v>100</v>
      </c>
      <c r="E85" s="492">
        <f>D85-$K23</f>
        <v>100</v>
      </c>
      <c r="F85" s="492">
        <f>E85-$K23</f>
        <v>100</v>
      </c>
      <c r="G85" s="492">
        <f>F85-$K23</f>
        <v>100</v>
      </c>
      <c r="H85" s="492"/>
      <c r="I85" s="492"/>
      <c r="J85" s="492"/>
      <c r="K85" s="492"/>
      <c r="L85" s="492"/>
      <c r="M85" s="493"/>
      <c r="N85" s="2750"/>
      <c r="O85" s="2750"/>
      <c r="P85" s="2740"/>
      <c r="Q85" s="2735"/>
      <c r="R85" s="2721"/>
      <c r="S85" s="2721"/>
      <c r="T85" s="2721"/>
      <c r="U85" s="2721"/>
      <c r="V85" s="2721"/>
      <c r="W85" s="2721"/>
      <c r="X85" s="2721"/>
      <c r="Y85" s="2721"/>
      <c r="Z85" s="2721"/>
      <c r="AA85" s="2721"/>
      <c r="AB85" s="2721"/>
      <c r="AC85" s="2721"/>
    </row>
    <row r="86" spans="1:29" s="108" customFormat="1" ht="15" thickTop="1">
      <c r="A86" s="527"/>
      <c r="B86" s="486" t="s">
        <v>1804</v>
      </c>
      <c r="C86" s="502"/>
      <c r="D86" s="502"/>
      <c r="E86" s="502"/>
      <c r="F86" s="502"/>
      <c r="G86" s="502"/>
      <c r="H86" s="502"/>
      <c r="I86" s="502"/>
      <c r="J86" s="502"/>
      <c r="K86" s="502"/>
      <c r="L86" s="528"/>
      <c r="M86" s="529"/>
      <c r="N86" s="2748"/>
      <c r="O86" s="2748"/>
      <c r="P86" s="2740"/>
      <c r="Q86" s="2735"/>
      <c r="R86" s="2657"/>
      <c r="S86" s="2657"/>
      <c r="T86" s="2657"/>
      <c r="U86" s="2657"/>
      <c r="V86" s="2657"/>
      <c r="W86" s="2657"/>
      <c r="X86" s="2657"/>
      <c r="Y86" s="2657"/>
      <c r="Z86" s="2657"/>
      <c r="AA86" s="2657"/>
      <c r="AB86" s="2657"/>
      <c r="AC86" s="2657"/>
    </row>
    <row r="87" spans="1:29" s="108" customFormat="1" ht="14.4"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0"/>
      <c r="O87" s="2750"/>
      <c r="P87" s="2740"/>
      <c r="Q87" s="2735"/>
      <c r="R87" s="2657"/>
      <c r="S87" s="2657"/>
      <c r="T87" s="2657"/>
      <c r="U87" s="2657"/>
      <c r="V87" s="2657"/>
      <c r="W87" s="2657"/>
      <c r="X87" s="2657"/>
      <c r="Y87" s="2657"/>
      <c r="Z87" s="2657"/>
      <c r="AA87" s="2657"/>
      <c r="AB87" s="2657"/>
      <c r="AC87" s="2657"/>
    </row>
    <row r="88" spans="1:29" s="108" customFormat="1" ht="14.4" thickTop="1">
      <c r="A88" s="527"/>
      <c r="B88" s="486" t="str">
        <f>B26</f>
        <v>平面位置/可视性</v>
      </c>
      <c r="C88" s="502"/>
      <c r="D88" s="502"/>
      <c r="E88" s="502"/>
      <c r="F88" s="1923"/>
      <c r="G88" s="502"/>
      <c r="H88" s="502"/>
      <c r="I88" s="502"/>
      <c r="J88" s="502"/>
      <c r="K88" s="502"/>
      <c r="L88" s="502"/>
      <c r="M88" s="529"/>
      <c r="N88" s="2748"/>
      <c r="O88" s="2748"/>
      <c r="P88" s="2740"/>
      <c r="Q88" s="2735"/>
      <c r="R88" s="2657"/>
      <c r="S88" s="2657"/>
      <c r="T88" s="2657"/>
      <c r="U88" s="2657"/>
      <c r="V88" s="2657"/>
      <c r="W88" s="2657"/>
      <c r="X88" s="2657"/>
      <c r="Y88" s="2657"/>
      <c r="Z88" s="2657"/>
      <c r="AA88" s="2657"/>
      <c r="AB88" s="2657"/>
      <c r="AC88" s="2657"/>
    </row>
    <row r="89" spans="1:29" s="108" customFormat="1" ht="14.4" thickBot="1">
      <c r="A89" s="527"/>
      <c r="B89" s="491"/>
      <c r="C89" s="508"/>
      <c r="D89" s="484"/>
      <c r="E89" s="484"/>
      <c r="F89" s="484"/>
      <c r="G89" s="484"/>
      <c r="H89" s="484"/>
      <c r="I89" s="484"/>
      <c r="J89" s="484"/>
      <c r="K89" s="484"/>
      <c r="L89" s="484"/>
      <c r="M89" s="484"/>
      <c r="N89" s="2750"/>
      <c r="O89" s="2750"/>
      <c r="P89" s="2740"/>
      <c r="Q89" s="2735"/>
      <c r="R89" s="2657"/>
      <c r="S89" s="2657"/>
      <c r="T89" s="2657"/>
      <c r="U89" s="2657"/>
      <c r="V89" s="2657"/>
      <c r="W89" s="2657"/>
      <c r="X89" s="2657"/>
      <c r="Y89" s="2657"/>
      <c r="Z89" s="2657"/>
      <c r="AA89" s="2657"/>
      <c r="AB89" s="2657"/>
      <c r="AC89" s="2657"/>
    </row>
    <row r="90" spans="1:29" s="421" customFormat="1" ht="14.4" thickTop="1">
      <c r="A90" s="501"/>
      <c r="B90" s="486" t="str">
        <f>B27</f>
        <v>人流量</v>
      </c>
      <c r="C90" s="502"/>
      <c r="D90" s="502"/>
      <c r="E90" s="502"/>
      <c r="F90" s="502"/>
      <c r="G90" s="502"/>
      <c r="H90" s="503"/>
      <c r="I90" s="503"/>
      <c r="J90" s="503"/>
      <c r="K90" s="503"/>
      <c r="L90" s="504"/>
      <c r="M90" s="505"/>
      <c r="N90" s="2751"/>
      <c r="O90" s="2751"/>
      <c r="P90" s="2741"/>
      <c r="Q90" s="2742"/>
      <c r="R90" s="2743"/>
      <c r="S90" s="2743"/>
      <c r="T90" s="2743"/>
      <c r="U90" s="2743"/>
      <c r="V90" s="2743"/>
      <c r="W90" s="2743"/>
      <c r="X90" s="2743"/>
      <c r="Y90" s="2743"/>
      <c r="Z90" s="2743"/>
      <c r="AA90" s="2743"/>
      <c r="AB90" s="2743"/>
      <c r="AC90" s="2743"/>
    </row>
    <row r="91" spans="1:29" s="421" customFormat="1" ht="14.4"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1"/>
      <c r="O91" s="2751"/>
      <c r="P91" s="2741"/>
      <c r="Q91" s="2742"/>
      <c r="R91" s="2743"/>
      <c r="S91" s="2743"/>
      <c r="T91" s="2743"/>
      <c r="U91" s="2743"/>
      <c r="V91" s="2743"/>
      <c r="W91" s="2743"/>
      <c r="X91" s="2743"/>
      <c r="Y91" s="2743"/>
      <c r="Z91" s="2743"/>
      <c r="AA91" s="2743"/>
      <c r="AB91" s="2743"/>
      <c r="AC91" s="2743"/>
    </row>
    <row r="92" spans="1:29" ht="14.4" thickTop="1">
      <c r="A92" s="482"/>
      <c r="B92" s="486" t="str">
        <f>B28</f>
        <v>楼层</v>
      </c>
      <c r="C92" s="502"/>
      <c r="D92" s="502"/>
      <c r="E92" s="502"/>
      <c r="F92" s="502"/>
      <c r="G92" s="502"/>
      <c r="H92" s="502"/>
      <c r="I92" s="502"/>
      <c r="J92" s="502"/>
      <c r="K92" s="502"/>
      <c r="L92" s="528"/>
      <c r="M92" s="529"/>
      <c r="N92" s="2749"/>
      <c r="O92" s="2749"/>
      <c r="P92" s="2740"/>
      <c r="Q92" s="2735"/>
      <c r="R92" s="2721"/>
      <c r="S92" s="2721"/>
      <c r="T92" s="2721"/>
      <c r="U92" s="2721"/>
      <c r="V92" s="2721"/>
      <c r="W92" s="2721"/>
      <c r="X92" s="2721"/>
      <c r="Y92" s="2721"/>
      <c r="Z92" s="2721"/>
      <c r="AA92" s="2721"/>
      <c r="AB92" s="2721"/>
      <c r="AC92" s="2721"/>
    </row>
    <row r="93" spans="1:29" ht="14.4" thickBot="1">
      <c r="A93" s="482"/>
      <c r="B93" s="491"/>
      <c r="C93" s="484"/>
      <c r="D93" s="484"/>
      <c r="E93" s="484"/>
      <c r="F93" s="484"/>
      <c r="G93" s="484"/>
      <c r="H93" s="484"/>
      <c r="I93" s="484"/>
      <c r="J93" s="484"/>
      <c r="K93" s="484"/>
      <c r="L93" s="484"/>
      <c r="M93" s="485"/>
      <c r="N93" s="2750"/>
      <c r="O93" s="2750"/>
      <c r="P93" s="2740"/>
      <c r="Q93" s="2735"/>
      <c r="R93" s="2721"/>
      <c r="S93" s="2721"/>
      <c r="T93" s="2721"/>
      <c r="U93" s="2721"/>
      <c r="V93" s="2721"/>
      <c r="W93" s="2721"/>
      <c r="X93" s="2721"/>
      <c r="Y93" s="2721"/>
      <c r="Z93" s="2721"/>
      <c r="AA93" s="2721"/>
      <c r="AB93" s="2721"/>
      <c r="AC93" s="2721"/>
    </row>
    <row r="94" spans="1:29" ht="14.4" thickTop="1">
      <c r="A94" s="482"/>
      <c r="B94" s="486">
        <f>B29</f>
        <v>111</v>
      </c>
      <c r="C94" s="502"/>
      <c r="D94" s="502"/>
      <c r="E94" s="502"/>
      <c r="F94" s="502"/>
      <c r="G94" s="531"/>
      <c r="H94" s="531"/>
      <c r="I94" s="531"/>
      <c r="J94" s="531"/>
      <c r="K94" s="532"/>
      <c r="L94" s="533"/>
      <c r="M94" s="534"/>
      <c r="N94" s="2749"/>
      <c r="O94" s="2749"/>
      <c r="P94" s="2740"/>
      <c r="Q94" s="2735"/>
      <c r="R94" s="2721"/>
      <c r="S94" s="2721"/>
      <c r="T94" s="2721"/>
      <c r="U94" s="2721"/>
      <c r="V94" s="2721"/>
      <c r="W94" s="2721"/>
      <c r="X94" s="2721"/>
      <c r="Y94" s="2721"/>
      <c r="Z94" s="2721"/>
      <c r="AA94" s="2721"/>
      <c r="AB94" s="2721"/>
      <c r="AC94" s="2721"/>
    </row>
    <row r="95" spans="1:29" ht="14.4" thickBot="1">
      <c r="A95" s="482"/>
      <c r="B95" s="491"/>
      <c r="C95" s="508"/>
      <c r="D95" s="484"/>
      <c r="E95" s="484"/>
      <c r="F95" s="484"/>
      <c r="G95" s="484"/>
      <c r="H95" s="484"/>
      <c r="I95" s="484"/>
      <c r="J95" s="484"/>
      <c r="K95" s="484"/>
      <c r="L95" s="484"/>
      <c r="M95" s="485"/>
      <c r="N95" s="2750"/>
      <c r="O95" s="2750"/>
      <c r="P95" s="2740"/>
      <c r="Q95" s="2735"/>
      <c r="R95" s="2721"/>
      <c r="S95" s="2721"/>
      <c r="T95" s="2721"/>
      <c r="U95" s="2721"/>
      <c r="V95" s="2721"/>
      <c r="W95" s="2721"/>
      <c r="X95" s="2721"/>
      <c r="Y95" s="2721"/>
      <c r="Z95" s="2721"/>
      <c r="AA95" s="2721"/>
      <c r="AB95" s="2721"/>
      <c r="AC95" s="2721"/>
    </row>
    <row r="96" spans="1:29" ht="14.4" thickTop="1">
      <c r="A96" s="482"/>
      <c r="B96" s="486">
        <f>B30</f>
        <v>111</v>
      </c>
      <c r="C96" s="502"/>
      <c r="D96" s="502"/>
      <c r="E96" s="502"/>
      <c r="F96" s="502"/>
      <c r="G96" s="531"/>
      <c r="H96" s="531"/>
      <c r="I96" s="531"/>
      <c r="J96" s="531"/>
      <c r="K96" s="532"/>
      <c r="L96" s="533"/>
      <c r="M96" s="534"/>
      <c r="N96" s="2749"/>
      <c r="O96" s="2749"/>
      <c r="P96" s="2740"/>
      <c r="Q96" s="2735"/>
      <c r="R96" s="2721"/>
      <c r="S96" s="2721"/>
      <c r="T96" s="2721"/>
      <c r="U96" s="2721"/>
      <c r="V96" s="2721"/>
      <c r="W96" s="2721"/>
      <c r="X96" s="2721"/>
      <c r="Y96" s="2721"/>
      <c r="Z96" s="2721"/>
      <c r="AA96" s="2721"/>
      <c r="AB96" s="2721"/>
      <c r="AC96" s="2721"/>
    </row>
    <row r="97" spans="1:29" ht="14.4" thickBot="1">
      <c r="A97" s="482"/>
      <c r="B97" s="491"/>
      <c r="C97" s="508"/>
      <c r="D97" s="484"/>
      <c r="E97" s="484"/>
      <c r="F97" s="484"/>
      <c r="G97" s="484"/>
      <c r="H97" s="484"/>
      <c r="I97" s="484"/>
      <c r="J97" s="484"/>
      <c r="K97" s="484"/>
      <c r="L97" s="484"/>
      <c r="M97" s="485"/>
      <c r="N97" s="2750"/>
      <c r="O97" s="2750"/>
      <c r="P97" s="2740"/>
      <c r="Q97" s="2735"/>
      <c r="R97" s="2721"/>
      <c r="S97" s="2721"/>
      <c r="T97" s="2721"/>
      <c r="U97" s="2721"/>
      <c r="V97" s="2721"/>
      <c r="W97" s="2721"/>
      <c r="X97" s="2721"/>
      <c r="Y97" s="2721"/>
      <c r="Z97" s="2721"/>
      <c r="AA97" s="2721"/>
      <c r="AB97" s="2721"/>
      <c r="AC97" s="2721"/>
    </row>
    <row r="98" spans="1:29" ht="14.4" thickTop="1">
      <c r="A98" s="482"/>
      <c r="B98" s="494">
        <f>B31</f>
        <v>111</v>
      </c>
      <c r="C98" s="502"/>
      <c r="D98" s="502"/>
      <c r="E98" s="502"/>
      <c r="F98" s="502"/>
      <c r="G98" s="535"/>
      <c r="H98" s="535"/>
      <c r="I98" s="535"/>
      <c r="J98" s="535"/>
      <c r="K98" s="536"/>
      <c r="L98" s="537"/>
      <c r="M98" s="538"/>
      <c r="N98" s="2749"/>
      <c r="O98" s="2749"/>
      <c r="P98" s="2740"/>
      <c r="Q98" s="2735"/>
      <c r="R98" s="2721"/>
      <c r="S98" s="2721"/>
      <c r="T98" s="2721"/>
      <c r="U98" s="2721"/>
      <c r="V98" s="2721"/>
      <c r="W98" s="2721"/>
      <c r="X98" s="2721"/>
      <c r="Y98" s="2721"/>
      <c r="Z98" s="2721"/>
      <c r="AA98" s="2721"/>
      <c r="AB98" s="2721"/>
      <c r="AC98" s="2721"/>
    </row>
    <row r="99" spans="1:29" ht="14.4" thickBot="1">
      <c r="A99" s="1924"/>
      <c r="B99" s="517"/>
      <c r="C99" s="518"/>
      <c r="D99" s="518"/>
      <c r="E99" s="518"/>
      <c r="F99" s="518"/>
      <c r="G99" s="539"/>
      <c r="H99" s="539"/>
      <c r="I99" s="539"/>
      <c r="J99" s="539"/>
      <c r="K99" s="539"/>
      <c r="L99" s="539"/>
      <c r="M99" s="540"/>
      <c r="N99" s="2750"/>
      <c r="O99" s="2750"/>
      <c r="P99" s="2740"/>
      <c r="Q99" s="2735"/>
      <c r="R99" s="2721"/>
      <c r="S99" s="2721"/>
      <c r="T99" s="2721"/>
      <c r="U99" s="2721"/>
      <c r="V99" s="2721"/>
      <c r="W99" s="2721"/>
      <c r="X99" s="2721"/>
      <c r="Y99" s="2721"/>
      <c r="Z99" s="2721"/>
      <c r="AA99" s="2721"/>
      <c r="AB99" s="2721"/>
      <c r="AC99" s="2721"/>
    </row>
    <row r="100" spans="1:29" ht="14.4">
      <c r="A100" s="475" t="s">
        <v>1694</v>
      </c>
      <c r="B100" s="476" t="s">
        <v>1805</v>
      </c>
      <c r="C100" s="478"/>
      <c r="D100" s="478"/>
      <c r="E100" s="478"/>
      <c r="F100" s="478"/>
      <c r="G100" s="478"/>
      <c r="H100" s="478"/>
      <c r="I100" s="478"/>
      <c r="J100" s="478"/>
      <c r="K100" s="479"/>
      <c r="L100" s="480"/>
      <c r="M100" s="481"/>
      <c r="N100" s="2749"/>
      <c r="O100" s="2749"/>
      <c r="P100" s="2740"/>
      <c r="Q100" s="2735"/>
      <c r="R100" s="2721"/>
      <c r="S100" s="2721"/>
      <c r="T100" s="2721"/>
      <c r="U100" s="2721"/>
      <c r="V100" s="2721"/>
      <c r="W100" s="2721"/>
      <c r="X100" s="2721"/>
      <c r="Y100" s="2721"/>
      <c r="Z100" s="2721"/>
      <c r="AA100" s="2721"/>
      <c r="AB100" s="2721"/>
      <c r="AC100" s="2721"/>
    </row>
    <row r="101" spans="1:29" ht="14.4"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0"/>
      <c r="O101" s="2750"/>
      <c r="P101" s="2740"/>
      <c r="Q101" s="2735"/>
      <c r="R101" s="2721"/>
      <c r="S101" s="2721"/>
      <c r="T101" s="2721"/>
      <c r="U101" s="2721"/>
      <c r="V101" s="2721"/>
      <c r="W101" s="2721"/>
      <c r="X101" s="2721"/>
      <c r="Y101" s="2721"/>
      <c r="Z101" s="2721"/>
      <c r="AA101" s="2721"/>
      <c r="AB101" s="2721"/>
      <c r="AC101" s="2721"/>
    </row>
    <row r="102" spans="1:29" ht="1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1" customFormat="1">
      <c r="A103" s="541"/>
      <c r="B103" s="542"/>
      <c r="C103" s="543"/>
      <c r="D103" s="543"/>
      <c r="E103" s="543"/>
      <c r="F103" s="543"/>
      <c r="G103" s="543"/>
      <c r="H103" s="543"/>
      <c r="I103" s="543"/>
      <c r="J103" s="544"/>
      <c r="K103" s="544"/>
      <c r="L103" s="545"/>
      <c r="M103" s="546"/>
      <c r="N103" s="2751"/>
      <c r="O103" s="2751"/>
      <c r="P103" s="2741"/>
      <c r="Q103" s="2742"/>
      <c r="R103" s="2743"/>
      <c r="S103" s="2743"/>
      <c r="T103" s="2743"/>
      <c r="U103" s="2743"/>
      <c r="V103" s="2743"/>
      <c r="W103" s="2743"/>
      <c r="X103" s="2743"/>
      <c r="Y103" s="2743"/>
      <c r="Z103" s="2743"/>
      <c r="AA103" s="2743"/>
      <c r="AB103" s="2743"/>
      <c r="AC103" s="2743"/>
    </row>
    <row r="104" spans="1:29" s="421" customFormat="1" ht="14.4" thickBot="1">
      <c r="A104" s="501"/>
      <c r="B104" s="491"/>
      <c r="C104" s="508"/>
      <c r="D104" s="484"/>
      <c r="E104" s="484"/>
      <c r="F104" s="484"/>
      <c r="G104" s="484"/>
      <c r="H104" s="484"/>
      <c r="I104" s="484"/>
      <c r="J104" s="484"/>
      <c r="K104" s="484"/>
      <c r="L104" s="484"/>
      <c r="M104" s="485"/>
      <c r="N104" s="2750"/>
      <c r="O104" s="2750"/>
      <c r="P104" s="2741"/>
      <c r="Q104" s="2742"/>
      <c r="R104" s="2743"/>
      <c r="S104" s="2743"/>
      <c r="T104" s="2743"/>
      <c r="U104" s="2743"/>
      <c r="V104" s="2743"/>
      <c r="W104" s="2743"/>
      <c r="X104" s="2743"/>
      <c r="Y104" s="2743"/>
      <c r="Z104" s="2743"/>
      <c r="AA104" s="2743"/>
      <c r="AB104" s="2743"/>
      <c r="AC104" s="2743"/>
    </row>
    <row r="105" spans="1:29" ht="15" thickTop="1">
      <c r="A105" s="547"/>
      <c r="B105" s="486" t="s">
        <v>1738</v>
      </c>
      <c r="C105" s="502"/>
      <c r="D105" s="502"/>
      <c r="E105" s="531"/>
      <c r="F105" s="531"/>
      <c r="G105" s="531"/>
      <c r="H105" s="531"/>
      <c r="I105" s="531"/>
      <c r="J105" s="531"/>
      <c r="K105" s="532"/>
      <c r="L105" s="533"/>
      <c r="M105" s="534"/>
      <c r="N105" s="2749"/>
      <c r="O105" s="2749"/>
      <c r="P105" s="2740"/>
      <c r="Q105" s="2735"/>
      <c r="R105" s="2721"/>
      <c r="S105" s="2721"/>
      <c r="T105" s="2721"/>
      <c r="U105" s="2721"/>
      <c r="V105" s="2721"/>
      <c r="W105" s="2721"/>
      <c r="X105" s="2721"/>
      <c r="Y105" s="2721"/>
      <c r="Z105" s="2721"/>
      <c r="AA105" s="2721"/>
      <c r="AB105" s="2721"/>
      <c r="AC105" s="2721"/>
    </row>
    <row r="106" spans="1:29" ht="14.4"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7"/>
      <c r="B107" s="486" t="s">
        <v>1740</v>
      </c>
      <c r="C107" s="502"/>
      <c r="D107" s="502"/>
      <c r="E107" s="502"/>
      <c r="F107" s="531"/>
      <c r="G107" s="531"/>
      <c r="H107" s="531"/>
      <c r="I107" s="531"/>
      <c r="J107" s="531"/>
      <c r="K107" s="532"/>
      <c r="L107" s="533"/>
      <c r="M107" s="534"/>
      <c r="N107" s="2749"/>
      <c r="O107" s="2749"/>
      <c r="P107" s="2740"/>
      <c r="Q107" s="2735"/>
      <c r="R107" s="2721"/>
      <c r="S107" s="2721"/>
      <c r="T107" s="2721"/>
      <c r="U107" s="2721"/>
      <c r="V107" s="2721"/>
      <c r="W107" s="2721"/>
      <c r="X107" s="2721"/>
      <c r="Y107" s="2721"/>
      <c r="Z107" s="2721"/>
      <c r="AA107" s="2721"/>
      <c r="AB107" s="2721"/>
      <c r="AC107" s="2721"/>
    </row>
    <row r="108" spans="1:29" ht="14.4"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9"/>
      <c r="O109" s="2749"/>
      <c r="P109" s="2740"/>
      <c r="Q109" s="2735"/>
      <c r="R109" s="2721"/>
      <c r="S109" s="2721"/>
      <c r="T109" s="2721"/>
      <c r="U109" s="2721"/>
      <c r="V109" s="2721"/>
      <c r="W109" s="2721"/>
      <c r="X109" s="2721"/>
      <c r="Y109" s="2721"/>
      <c r="Z109" s="2721"/>
      <c r="AA109" s="2721"/>
      <c r="AB109" s="2721"/>
      <c r="AC109" s="2721"/>
    </row>
    <row r="110" spans="1:29">
      <c r="A110" s="547"/>
      <c r="B110" s="494"/>
      <c r="C110" s="551">
        <v>0.5</v>
      </c>
      <c r="D110" s="551">
        <v>0.6</v>
      </c>
      <c r="E110" s="551">
        <v>0.7</v>
      </c>
      <c r="F110" s="551">
        <v>0.8</v>
      </c>
      <c r="G110" s="551">
        <v>0.9</v>
      </c>
      <c r="H110" s="551">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4.4"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0"/>
      <c r="O111" s="2750"/>
      <c r="P111" s="2740"/>
      <c r="Q111" s="2735"/>
      <c r="R111" s="2721"/>
      <c r="S111" s="2721"/>
      <c r="T111" s="2721"/>
      <c r="U111" s="2721"/>
      <c r="V111" s="2721"/>
      <c r="W111" s="2721"/>
      <c r="X111" s="2721"/>
      <c r="Y111" s="2721"/>
      <c r="Z111" s="2721"/>
      <c r="AA111" s="2721"/>
      <c r="AB111" s="2721"/>
      <c r="AC111" s="2721"/>
    </row>
    <row r="112" spans="1:29" s="421" customFormat="1" ht="15" thickTop="1">
      <c r="A112" s="541"/>
      <c r="B112" s="486" t="s">
        <v>1742</v>
      </c>
      <c r="C112" s="502"/>
      <c r="D112" s="502"/>
      <c r="E112" s="502"/>
      <c r="F112" s="502"/>
      <c r="G112" s="502"/>
      <c r="H112" s="531"/>
      <c r="I112" s="531"/>
      <c r="J112" s="531"/>
      <c r="K112" s="532"/>
      <c r="L112" s="533"/>
      <c r="M112" s="534"/>
      <c r="N112" s="2751"/>
      <c r="O112" s="2751"/>
      <c r="P112" s="2741"/>
      <c r="Q112" s="2742"/>
      <c r="R112" s="2743"/>
      <c r="S112" s="2743"/>
      <c r="T112" s="2743"/>
      <c r="U112" s="2743"/>
      <c r="V112" s="2743"/>
      <c r="W112" s="2743"/>
      <c r="X112" s="2743"/>
      <c r="Y112" s="2743"/>
      <c r="Z112" s="2743"/>
      <c r="AA112" s="2743"/>
      <c r="AB112" s="2743"/>
      <c r="AC112" s="2743"/>
    </row>
    <row r="113" spans="1:29" s="421" customFormat="1" ht="14.4"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7"/>
      <c r="B114" s="486" t="s">
        <v>1806</v>
      </c>
      <c r="C114" s="502"/>
      <c r="D114" s="502"/>
      <c r="E114" s="531"/>
      <c r="F114" s="531"/>
      <c r="G114" s="531"/>
      <c r="H114" s="531"/>
      <c r="I114" s="531"/>
      <c r="J114" s="531"/>
      <c r="K114" s="532"/>
      <c r="L114" s="533"/>
      <c r="M114" s="534"/>
      <c r="N114" s="2749"/>
      <c r="O114" s="2749"/>
      <c r="P114" s="2740"/>
      <c r="Q114" s="2735"/>
      <c r="R114" s="2721"/>
      <c r="S114" s="2721"/>
      <c r="T114" s="2721"/>
      <c r="U114" s="2721"/>
      <c r="V114" s="2721"/>
      <c r="W114" s="2721"/>
      <c r="X114" s="2721"/>
      <c r="Y114" s="2721"/>
      <c r="Z114" s="2721"/>
      <c r="AA114" s="2721"/>
      <c r="AB114" s="2721"/>
      <c r="AC114" s="2721"/>
    </row>
    <row r="115" spans="1:29" ht="14.4"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7"/>
      <c r="B116" s="486" t="s">
        <v>1807</v>
      </c>
      <c r="C116" s="502"/>
      <c r="D116" s="502"/>
      <c r="E116" s="502"/>
      <c r="F116" s="502"/>
      <c r="G116" s="502"/>
      <c r="H116" s="531"/>
      <c r="I116" s="531"/>
      <c r="J116" s="531"/>
      <c r="K116" s="532"/>
      <c r="L116" s="533"/>
      <c r="M116" s="534"/>
      <c r="N116" s="2749"/>
      <c r="O116" s="2749"/>
      <c r="P116" s="2740"/>
      <c r="Q116" s="2735"/>
      <c r="R116" s="2721"/>
      <c r="S116" s="2721"/>
      <c r="T116" s="2721"/>
      <c r="U116" s="2721"/>
      <c r="V116" s="2721"/>
      <c r="W116" s="2721"/>
      <c r="X116" s="2721"/>
      <c r="Y116" s="2721"/>
      <c r="Z116" s="2721"/>
      <c r="AA116" s="2721"/>
      <c r="AB116" s="2721"/>
      <c r="AC116" s="2721"/>
    </row>
    <row r="117" spans="1:29" ht="14.4" thickBot="1">
      <c r="A117" s="482"/>
      <c r="B117" s="491"/>
      <c r="C117" s="492">
        <v>100</v>
      </c>
      <c r="D117" s="492">
        <f>C117-$K39</f>
        <v>100</v>
      </c>
      <c r="E117" s="492">
        <f>D117-$K39</f>
        <v>100</v>
      </c>
      <c r="F117" s="492">
        <f>E117-$K39</f>
        <v>100</v>
      </c>
      <c r="G117" s="492">
        <f>F117-$K39</f>
        <v>100</v>
      </c>
      <c r="H117" s="492"/>
      <c r="I117" s="492"/>
      <c r="J117" s="492"/>
      <c r="K117" s="492"/>
      <c r="L117" s="492"/>
      <c r="M117" s="493"/>
      <c r="N117" s="2750"/>
      <c r="O117" s="2750"/>
      <c r="P117" s="2740"/>
      <c r="Q117" s="2735"/>
      <c r="R117" s="2721"/>
      <c r="S117" s="2721"/>
      <c r="T117" s="2721"/>
      <c r="U117" s="2721"/>
      <c r="V117" s="2721"/>
      <c r="W117" s="2721"/>
      <c r="X117" s="2721"/>
      <c r="Y117" s="2721"/>
      <c r="Z117" s="2721"/>
      <c r="AA117" s="2721"/>
      <c r="AB117" s="2721"/>
      <c r="AC117" s="2721"/>
    </row>
    <row r="118" spans="1:29" ht="15" thickTop="1">
      <c r="A118" s="547"/>
      <c r="B118" s="486" t="s">
        <v>1808</v>
      </c>
      <c r="C118" s="574"/>
      <c r="D118" s="574"/>
      <c r="E118" s="574"/>
      <c r="F118" s="574"/>
      <c r="G118" s="574"/>
      <c r="H118" s="503"/>
      <c r="I118" s="503"/>
      <c r="J118" s="503"/>
      <c r="K118" s="503"/>
      <c r="L118" s="504"/>
      <c r="M118" s="505"/>
      <c r="N118" s="2749"/>
      <c r="O118" s="2749"/>
      <c r="P118" s="2740"/>
      <c r="Q118" s="2735"/>
      <c r="R118" s="2721"/>
      <c r="S118" s="2721"/>
      <c r="T118" s="2721"/>
      <c r="U118" s="2721"/>
      <c r="V118" s="2721"/>
      <c r="W118" s="2721"/>
      <c r="X118" s="2721"/>
      <c r="Y118" s="2721"/>
      <c r="Z118" s="2721"/>
      <c r="AA118" s="2721"/>
      <c r="AB118" s="2721"/>
      <c r="AC118" s="2721"/>
    </row>
    <row r="119" spans="1:29" ht="14.4" thickBot="1">
      <c r="A119" s="482"/>
      <c r="B119" s="491"/>
      <c r="C119" s="508"/>
      <c r="D119" s="484"/>
      <c r="E119" s="484"/>
      <c r="F119" s="484"/>
      <c r="G119" s="484"/>
      <c r="H119" s="484"/>
      <c r="I119" s="484"/>
      <c r="J119" s="484"/>
      <c r="K119" s="484"/>
      <c r="L119" s="484"/>
      <c r="M119" s="485"/>
      <c r="N119" s="2750"/>
      <c r="O119" s="2750"/>
      <c r="P119" s="2740"/>
      <c r="Q119" s="2735"/>
      <c r="R119" s="2721"/>
      <c r="S119" s="2721"/>
      <c r="T119" s="2721"/>
      <c r="U119" s="2721"/>
      <c r="V119" s="2721"/>
      <c r="W119" s="2721"/>
      <c r="X119" s="2721"/>
      <c r="Y119" s="2721"/>
      <c r="Z119" s="2721"/>
      <c r="AA119" s="2721"/>
      <c r="AB119" s="2721"/>
      <c r="AC119" s="2721"/>
    </row>
    <row r="120" spans="1:29" s="421" customFormat="1" ht="15" thickTop="1">
      <c r="A120" s="541"/>
      <c r="B120" s="486" t="s">
        <v>1809</v>
      </c>
      <c r="C120" s="531"/>
      <c r="D120" s="531"/>
      <c r="E120" s="531"/>
      <c r="F120" s="531"/>
      <c r="G120" s="503"/>
      <c r="H120" s="503"/>
      <c r="I120" s="503"/>
      <c r="J120" s="503"/>
      <c r="K120" s="503"/>
      <c r="L120" s="504"/>
      <c r="M120" s="505"/>
      <c r="N120" s="2751"/>
      <c r="O120" s="2751"/>
      <c r="P120" s="2741"/>
      <c r="Q120" s="2742"/>
      <c r="R120" s="2743"/>
      <c r="S120" s="2743"/>
      <c r="T120" s="2743"/>
      <c r="U120" s="2743"/>
      <c r="V120" s="2743"/>
      <c r="W120" s="2743"/>
      <c r="X120" s="2743"/>
      <c r="Y120" s="2743"/>
      <c r="Z120" s="2743"/>
      <c r="AA120" s="2743"/>
      <c r="AB120" s="2743"/>
      <c r="AC120" s="2743"/>
    </row>
    <row r="121" spans="1:29" s="421" customFormat="1" ht="14.4"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7"/>
      <c r="B122" s="486" t="s">
        <v>1744</v>
      </c>
      <c r="C122" s="502"/>
      <c r="D122" s="502"/>
      <c r="E122" s="502"/>
      <c r="F122" s="531"/>
      <c r="G122" s="531"/>
      <c r="H122" s="531"/>
      <c r="I122" s="531"/>
      <c r="J122" s="531"/>
      <c r="K122" s="532"/>
      <c r="L122" s="533"/>
      <c r="M122" s="534"/>
      <c r="N122" s="2749"/>
      <c r="O122" s="2749"/>
      <c r="P122" s="2740"/>
      <c r="Q122" s="2735"/>
      <c r="R122" s="2721"/>
      <c r="S122" s="2721"/>
      <c r="T122" s="2721"/>
      <c r="U122" s="2721"/>
      <c r="V122" s="2721"/>
      <c r="W122" s="2721"/>
      <c r="X122" s="2721"/>
      <c r="Y122" s="2721"/>
      <c r="Z122" s="2721"/>
      <c r="AA122" s="2721"/>
      <c r="AB122" s="2721"/>
      <c r="AC122" s="2721"/>
    </row>
    <row r="123" spans="1:29" ht="14.4"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0"/>
      <c r="O123" s="2750"/>
      <c r="P123" s="2740"/>
      <c r="Q123" s="2735"/>
      <c r="R123" s="2721"/>
      <c r="S123" s="2721"/>
      <c r="T123" s="2721"/>
      <c r="U123" s="2721"/>
      <c r="V123" s="2721"/>
      <c r="W123" s="2721"/>
      <c r="X123" s="2721"/>
      <c r="Y123" s="2721"/>
      <c r="Z123" s="2721"/>
      <c r="AA123" s="2721"/>
      <c r="AB123" s="2721"/>
      <c r="AC123" s="2721"/>
    </row>
    <row r="124" spans="1:29" ht="29.4" thickTop="1">
      <c r="A124" s="547"/>
      <c r="B124" s="486" t="s">
        <v>1745</v>
      </c>
      <c r="C124" s="526" t="s">
        <v>1721</v>
      </c>
      <c r="D124" s="526" t="s">
        <v>1722</v>
      </c>
      <c r="E124" s="526" t="s">
        <v>1723</v>
      </c>
      <c r="F124" s="526" t="s">
        <v>1724</v>
      </c>
      <c r="G124" s="526" t="s">
        <v>1725</v>
      </c>
      <c r="H124" s="487"/>
      <c r="I124" s="487"/>
      <c r="J124" s="487"/>
      <c r="K124" s="488"/>
      <c r="L124" s="489"/>
      <c r="M124" s="490"/>
      <c r="N124" s="2749"/>
      <c r="O124" s="2749"/>
      <c r="P124" s="2741"/>
      <c r="Q124" s="2735"/>
      <c r="R124" s="2721"/>
      <c r="S124" s="2721"/>
      <c r="T124" s="2721"/>
      <c r="U124" s="2721"/>
      <c r="V124" s="2721"/>
      <c r="W124" s="2721"/>
      <c r="X124" s="2721"/>
      <c r="Y124" s="2721"/>
      <c r="Z124" s="2721"/>
      <c r="AA124" s="2721"/>
      <c r="AB124" s="2721"/>
      <c r="AC124" s="2721"/>
    </row>
    <row r="125" spans="1:29" ht="14.4" thickBot="1">
      <c r="A125" s="482"/>
      <c r="B125" s="491"/>
      <c r="C125" s="492">
        <v>100</v>
      </c>
      <c r="D125" s="492">
        <f>C125-$K43</f>
        <v>100</v>
      </c>
      <c r="E125" s="492">
        <f>D125-$K43</f>
        <v>100</v>
      </c>
      <c r="F125" s="492">
        <f>E125-$K43</f>
        <v>100</v>
      </c>
      <c r="G125" s="492">
        <f>F125-$K43</f>
        <v>100</v>
      </c>
      <c r="H125" s="492"/>
      <c r="I125" s="492"/>
      <c r="J125" s="492"/>
      <c r="K125" s="492"/>
      <c r="L125" s="492"/>
      <c r="M125" s="493"/>
      <c r="N125" s="2750"/>
      <c r="O125" s="2750"/>
      <c r="P125" s="2740"/>
      <c r="Q125" s="2735"/>
      <c r="R125" s="2721"/>
      <c r="S125" s="2721"/>
      <c r="T125" s="2721"/>
      <c r="U125" s="2721"/>
      <c r="V125" s="2721"/>
      <c r="W125" s="2721"/>
      <c r="X125" s="2721"/>
      <c r="Y125" s="2721"/>
      <c r="Z125" s="2721"/>
      <c r="AA125" s="2721"/>
      <c r="AB125" s="2721"/>
      <c r="AC125" s="2721"/>
    </row>
    <row r="126" spans="1:29" s="421" customFormat="1" ht="14.4" thickTop="1">
      <c r="A126" s="541"/>
      <c r="B126" s="486">
        <f>B44</f>
        <v>111</v>
      </c>
      <c r="C126" s="502"/>
      <c r="D126" s="502"/>
      <c r="E126" s="502"/>
      <c r="F126" s="502"/>
      <c r="G126" s="502"/>
      <c r="H126" s="503"/>
      <c r="I126" s="503"/>
      <c r="J126" s="503"/>
      <c r="K126" s="503"/>
      <c r="L126" s="504"/>
      <c r="M126" s="505"/>
      <c r="N126" s="2751"/>
      <c r="O126" s="2751"/>
      <c r="P126" s="2741"/>
      <c r="Q126" s="2742"/>
      <c r="R126" s="2743"/>
      <c r="S126" s="2743"/>
      <c r="T126" s="2743"/>
      <c r="U126" s="2743"/>
      <c r="V126" s="2743"/>
      <c r="W126" s="2743"/>
      <c r="X126" s="2743"/>
      <c r="Y126" s="2743"/>
      <c r="Z126" s="2743"/>
      <c r="AA126" s="2743"/>
      <c r="AB126" s="2743"/>
      <c r="AC126" s="2743"/>
    </row>
    <row r="127" spans="1:29" s="421" customFormat="1" ht="14.4" thickBot="1">
      <c r="A127" s="501"/>
      <c r="B127" s="491"/>
      <c r="C127" s="508"/>
      <c r="D127" s="484"/>
      <c r="E127" s="484"/>
      <c r="F127" s="484"/>
      <c r="G127" s="508"/>
      <c r="H127" s="510"/>
      <c r="I127" s="510"/>
      <c r="J127" s="510"/>
      <c r="K127" s="510"/>
      <c r="L127" s="510"/>
      <c r="M127" s="511"/>
      <c r="N127" s="2751"/>
      <c r="O127" s="2751"/>
      <c r="P127" s="2741"/>
      <c r="Q127" s="2742"/>
      <c r="R127" s="2743"/>
      <c r="S127" s="2743"/>
      <c r="T127" s="2743"/>
      <c r="U127" s="2743"/>
      <c r="V127" s="2743"/>
      <c r="W127" s="2743"/>
      <c r="X127" s="2743"/>
      <c r="Y127" s="2743"/>
      <c r="Z127" s="2743"/>
      <c r="AA127" s="2743"/>
      <c r="AB127" s="2743"/>
      <c r="AC127" s="2743"/>
    </row>
    <row r="128" spans="1:29" ht="14.4" thickTop="1">
      <c r="A128" s="547"/>
      <c r="B128" s="486">
        <f>B45</f>
        <v>111</v>
      </c>
      <c r="C128" s="502"/>
      <c r="D128" s="502"/>
      <c r="E128" s="502"/>
      <c r="F128" s="502"/>
      <c r="G128" s="531"/>
      <c r="H128" s="531"/>
      <c r="I128" s="531"/>
      <c r="J128" s="531"/>
      <c r="K128" s="532"/>
      <c r="L128" s="533"/>
      <c r="M128" s="534"/>
      <c r="N128" s="2749"/>
      <c r="O128" s="2749"/>
      <c r="P128" s="2740"/>
      <c r="Q128" s="2735"/>
      <c r="R128" s="2721"/>
      <c r="S128" s="2721"/>
      <c r="T128" s="2721"/>
      <c r="U128" s="2721"/>
      <c r="V128" s="2721"/>
      <c r="W128" s="2721"/>
      <c r="X128" s="2721"/>
      <c r="Y128" s="2721"/>
      <c r="Z128" s="2721"/>
      <c r="AA128" s="2721"/>
      <c r="AB128" s="2721"/>
      <c r="AC128" s="2721"/>
    </row>
    <row r="129" spans="1:29" ht="14.4" thickBot="1">
      <c r="A129" s="482"/>
      <c r="B129" s="491"/>
      <c r="C129" s="508"/>
      <c r="D129" s="484"/>
      <c r="E129" s="484"/>
      <c r="F129" s="484"/>
      <c r="G129" s="484"/>
      <c r="H129" s="484"/>
      <c r="I129" s="484"/>
      <c r="J129" s="484"/>
      <c r="K129" s="484"/>
      <c r="L129" s="484"/>
      <c r="M129" s="485"/>
      <c r="N129" s="2750"/>
      <c r="O129" s="2750"/>
      <c r="P129" s="2740"/>
      <c r="Q129" s="2735"/>
      <c r="R129" s="2721"/>
      <c r="S129" s="2721"/>
      <c r="T129" s="2721"/>
      <c r="U129" s="2721"/>
      <c r="V129" s="2721"/>
      <c r="W129" s="2721"/>
      <c r="X129" s="2721"/>
      <c r="Y129" s="2721"/>
      <c r="Z129" s="2721"/>
      <c r="AA129" s="2721"/>
      <c r="AB129" s="2721"/>
      <c r="AC129" s="2721"/>
    </row>
    <row r="130" spans="1:29" ht="14.4" thickTop="1">
      <c r="A130" s="547"/>
      <c r="B130" s="494">
        <f>B46</f>
        <v>111</v>
      </c>
      <c r="C130" s="502"/>
      <c r="D130" s="502"/>
      <c r="E130" s="502"/>
      <c r="F130" s="502"/>
      <c r="G130" s="535"/>
      <c r="H130" s="535"/>
      <c r="I130" s="535"/>
      <c r="J130" s="535"/>
      <c r="K130" s="471"/>
      <c r="L130" s="472"/>
      <c r="M130" s="538"/>
      <c r="N130" s="2749"/>
      <c r="O130" s="2749"/>
      <c r="P130" s="2740"/>
      <c r="Q130" s="2735"/>
      <c r="R130" s="2721"/>
      <c r="S130" s="2721"/>
      <c r="T130" s="2721"/>
      <c r="U130" s="2721"/>
      <c r="V130" s="2721"/>
      <c r="W130" s="2721"/>
      <c r="X130" s="2721"/>
      <c r="Y130" s="2721"/>
      <c r="Z130" s="2721"/>
      <c r="AA130" s="2721"/>
      <c r="AB130" s="2721"/>
      <c r="AC130" s="2721"/>
    </row>
    <row r="131" spans="1:29" ht="14.4" thickBot="1">
      <c r="A131" s="1924"/>
      <c r="B131" s="517"/>
      <c r="C131" s="518"/>
      <c r="D131" s="518"/>
      <c r="E131" s="518"/>
      <c r="F131" s="518"/>
      <c r="G131" s="539"/>
      <c r="H131" s="539"/>
      <c r="I131" s="539"/>
      <c r="J131" s="539"/>
      <c r="K131" s="539"/>
      <c r="L131" s="539"/>
      <c r="M131" s="540"/>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6" customWidth="1"/>
    <col min="2" max="2" width="15.77734375" style="356" customWidth="1"/>
    <col min="3" max="3" width="15.66406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902"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1660</v>
      </c>
      <c r="B1" s="1953" t="s">
        <v>1810</v>
      </c>
      <c r="C1" s="1220" t="s">
        <v>1662</v>
      </c>
      <c r="D1" s="1221"/>
      <c r="E1" s="3429"/>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IF(E1="项目模式",IF(C2="——",ROUND(C50*D3/10000,0),ROUND(C50*D3/10000,0)-D2),IF(E1="单套模式",IF(C2="——",ROUND(C50*D3/10000,4),ROUND(C50*D3/10000,4)-D2)))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0</v>
      </c>
      <c r="C3" s="353" t="s">
        <v>1768</v>
      </c>
      <c r="D3" s="352">
        <f>IF(D1="",'数据-汇总表'!E3,SUMIF('数据-汇总表'!$C19:$C33,D1,'数据-汇总表'!$E19:$E33))</f>
        <v>99232.329999999987</v>
      </c>
      <c r="E3" s="1950"/>
      <c r="F3" s="905"/>
      <c r="G3" s="904"/>
      <c r="H3" s="904"/>
      <c r="I3" s="904"/>
      <c r="J3" s="904"/>
      <c r="K3" s="906"/>
      <c r="L3" s="2730"/>
      <c r="M3" s="2731"/>
      <c r="N3" s="2731"/>
      <c r="O3" s="2731"/>
      <c r="P3" s="697"/>
      <c r="Q3" s="697"/>
      <c r="R3" s="697"/>
      <c r="S3" s="697"/>
      <c r="T3" s="697"/>
      <c r="U3" s="697"/>
      <c r="V3" s="697"/>
      <c r="W3" s="697"/>
      <c r="X3" s="697"/>
      <c r="Y3" s="697"/>
      <c r="Z3" s="697"/>
      <c r="AA3" s="697"/>
      <c r="AB3" s="697"/>
      <c r="AC3" s="698"/>
    </row>
    <row r="4" spans="1:29" ht="14.4">
      <c r="A4" s="354" t="s">
        <v>1769</v>
      </c>
      <c r="B4" s="355"/>
      <c r="C4" s="3724" t="s">
        <v>1770</v>
      </c>
      <c r="D4" s="3725"/>
      <c r="E4" s="3726" t="s">
        <v>1771</v>
      </c>
      <c r="F4" s="3727"/>
      <c r="G4" s="3724" t="s">
        <v>1772</v>
      </c>
      <c r="H4" s="3725"/>
      <c r="I4" s="3724" t="s">
        <v>1773</v>
      </c>
      <c r="J4" s="3725"/>
      <c r="K4" s="558" t="s">
        <v>1774</v>
      </c>
      <c r="L4" s="2711"/>
      <c r="M4" s="2712"/>
      <c r="N4" s="2712"/>
      <c r="O4" s="2712"/>
      <c r="P4" s="3758" t="s">
        <v>1775</v>
      </c>
      <c r="Q4" s="3759"/>
      <c r="R4" s="3753" t="s">
        <v>1771</v>
      </c>
      <c r="S4" s="3754"/>
      <c r="T4" s="3753" t="s">
        <v>1772</v>
      </c>
      <c r="U4" s="3754"/>
      <c r="V4" s="3762" t="s">
        <v>1773</v>
      </c>
      <c r="W4" s="3762"/>
      <c r="X4" s="1954"/>
      <c r="Y4" s="3753" t="s">
        <v>1775</v>
      </c>
      <c r="Z4" s="3754"/>
      <c r="AA4" s="3752" t="s">
        <v>1771</v>
      </c>
      <c r="AB4" s="3752" t="s">
        <v>1772</v>
      </c>
      <c r="AC4" s="3755" t="s">
        <v>1773</v>
      </c>
    </row>
    <row r="5" spans="1:29">
      <c r="A5" s="357"/>
      <c r="B5" s="358"/>
      <c r="C5" s="3717" t="s">
        <v>1673</v>
      </c>
      <c r="D5" s="3718"/>
      <c r="E5" s="3715" t="s">
        <v>1674</v>
      </c>
      <c r="F5" s="3716"/>
      <c r="G5" s="3717" t="s">
        <v>1675</v>
      </c>
      <c r="H5" s="3718"/>
      <c r="I5" s="3717" t="s">
        <v>1676</v>
      </c>
      <c r="J5" s="3718"/>
      <c r="K5" s="558"/>
      <c r="L5" s="2711"/>
      <c r="M5" s="2712"/>
      <c r="N5" s="2712"/>
      <c r="O5" s="2712"/>
      <c r="P5" s="3760"/>
      <c r="Q5" s="3731"/>
      <c r="R5" s="3713"/>
      <c r="S5" s="3714"/>
      <c r="T5" s="3713"/>
      <c r="U5" s="3714"/>
      <c r="V5" s="3736"/>
      <c r="W5" s="3736"/>
      <c r="X5" s="1351"/>
      <c r="Y5" s="3713"/>
      <c r="Z5" s="3714"/>
      <c r="AA5" s="3707"/>
      <c r="AB5" s="3707"/>
      <c r="AC5" s="3756"/>
    </row>
    <row r="6" spans="1:29" ht="15" thickBot="1">
      <c r="A6" s="359"/>
      <c r="B6" s="360"/>
      <c r="C6" s="3719" t="s">
        <v>1677</v>
      </c>
      <c r="D6" s="3720"/>
      <c r="E6" s="3721" t="s">
        <v>1677</v>
      </c>
      <c r="F6" s="3722"/>
      <c r="G6" s="3719" t="s">
        <v>1677</v>
      </c>
      <c r="H6" s="3720"/>
      <c r="I6" s="3719" t="s">
        <v>1677</v>
      </c>
      <c r="J6" s="3720"/>
      <c r="K6" s="558" t="s">
        <v>1678</v>
      </c>
      <c r="L6" s="2711"/>
      <c r="M6" s="2712"/>
      <c r="N6" s="2712"/>
      <c r="O6" s="2712"/>
      <c r="P6" s="3761"/>
      <c r="Q6" s="3733"/>
      <c r="R6" s="3713"/>
      <c r="S6" s="3714"/>
      <c r="T6" s="3734"/>
      <c r="U6" s="3735"/>
      <c r="V6" s="3736"/>
      <c r="W6" s="3736"/>
      <c r="X6" s="1351"/>
      <c r="Y6" s="3734"/>
      <c r="Z6" s="3735"/>
      <c r="AA6" s="3708"/>
      <c r="AB6" s="3708"/>
      <c r="AC6" s="3757"/>
    </row>
    <row r="7" spans="1:29" s="108" customFormat="1" ht="15" thickBot="1">
      <c r="A7" s="361" t="s">
        <v>1679</v>
      </c>
      <c r="B7" s="362"/>
      <c r="C7" s="363">
        <f>'数据-取费表'!B2</f>
        <v>44995</v>
      </c>
      <c r="D7" s="364">
        <v>100</v>
      </c>
      <c r="E7" s="365"/>
      <c r="F7" s="366">
        <f>SUMIF(59:59,YEAR(E7)&amp;"-"&amp;MONTH(E7),60:60)</f>
        <v>0</v>
      </c>
      <c r="G7" s="365"/>
      <c r="H7" s="364">
        <f>SUMIF(59:59,YEAR(G7)&amp;"-"&amp;MONTH(G7),60:60)</f>
        <v>0</v>
      </c>
      <c r="I7" s="365"/>
      <c r="J7" s="364">
        <f>SUMIF(59:59,YEAR(I7)&amp;"-"&amp;MONTH(I7),60:60)</f>
        <v>0</v>
      </c>
      <c r="K7" s="559"/>
      <c r="L7" s="2713"/>
      <c r="M7" s="2714"/>
      <c r="N7" s="2714"/>
      <c r="O7" s="2714"/>
      <c r="P7" s="3763" t="s">
        <v>1680</v>
      </c>
      <c r="Q7" s="3737"/>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1955" t="e">
        <f>D7/J7</f>
        <v>#DIV/0!</v>
      </c>
    </row>
    <row r="8" spans="1:29" s="108" customFormat="1" ht="1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3"/>
      <c r="M8" s="2714"/>
      <c r="N8" s="2714"/>
      <c r="O8" s="2714"/>
      <c r="P8" s="3763" t="s">
        <v>1683</v>
      </c>
      <c r="Q8" s="3710"/>
      <c r="R8" s="699" t="s">
        <v>14</v>
      </c>
      <c r="S8" s="700">
        <f t="shared" si="0"/>
        <v>100</v>
      </c>
      <c r="T8" s="699" t="s">
        <v>14</v>
      </c>
      <c r="U8" s="700">
        <f t="shared" si="1"/>
        <v>100</v>
      </c>
      <c r="V8" s="699" t="s">
        <v>14</v>
      </c>
      <c r="W8" s="700">
        <f t="shared" si="2"/>
        <v>100</v>
      </c>
      <c r="X8" s="701"/>
      <c r="Y8" s="3709" t="s">
        <v>1683</v>
      </c>
      <c r="Z8" s="3710"/>
      <c r="AA8" s="702">
        <f t="shared" ref="AA8:AA47" si="3">D8/F8</f>
        <v>1</v>
      </c>
      <c r="AB8" s="702">
        <f t="shared" ref="AB8:AB47" si="4">D8/H8</f>
        <v>1</v>
      </c>
      <c r="AC8" s="1955">
        <f t="shared" ref="AC8:AC47" si="5">D8/J8</f>
        <v>1</v>
      </c>
    </row>
    <row r="9" spans="1:29" s="108" customFormat="1" ht="14.4">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3"/>
      <c r="M9" s="2714"/>
      <c r="N9" s="2714"/>
      <c r="O9" s="2714"/>
      <c r="P9" s="3723"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1955">
        <f t="shared" si="5"/>
        <v>1</v>
      </c>
    </row>
    <row r="10" spans="1:29" s="377" customFormat="1" ht="28.8">
      <c r="A10" s="373"/>
      <c r="B10" s="374" t="s">
        <v>1688</v>
      </c>
      <c r="C10" s="3430"/>
      <c r="D10" s="126">
        <v>100</v>
      </c>
      <c r="E10" s="3430"/>
      <c r="F10" s="126">
        <f>SUMIF(66:66,E10,67:67)-SUMIF(66:66,C10,67:67)+100</f>
        <v>100</v>
      </c>
      <c r="G10" s="3431"/>
      <c r="H10" s="126">
        <f>SUMIF(66:66,G10,67:67)-SUMIF(66:66,C10,67:67)+100</f>
        <v>100</v>
      </c>
      <c r="I10" s="3430"/>
      <c r="J10" s="126">
        <f>SUMIF(66:66,I10,67:67)-SUMIF(66:66,C10,67:67)+100</f>
        <v>100</v>
      </c>
      <c r="K10" s="559"/>
      <c r="L10" s="2715"/>
      <c r="M10" s="2716"/>
      <c r="N10" s="2716"/>
      <c r="O10" s="2716"/>
      <c r="P10" s="3723"/>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1955">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7"/>
      <c r="M11" s="2712"/>
      <c r="N11" s="2712"/>
      <c r="O11" s="2712"/>
      <c r="P11" s="3723"/>
      <c r="Q11" s="1339" t="str">
        <f t="shared" si="6"/>
        <v>容积率</v>
      </c>
      <c r="R11" s="699" t="s">
        <v>14</v>
      </c>
      <c r="S11" s="700">
        <f t="shared" si="0"/>
        <v>100</v>
      </c>
      <c r="T11" s="699" t="s">
        <v>14</v>
      </c>
      <c r="U11" s="700">
        <f t="shared" si="1"/>
        <v>100</v>
      </c>
      <c r="V11" s="699" t="s">
        <v>14</v>
      </c>
      <c r="W11" s="700">
        <f t="shared" si="2"/>
        <v>100</v>
      </c>
      <c r="X11" s="701"/>
      <c r="Y11" s="3634"/>
      <c r="Z11" s="52" t="str">
        <f t="shared" si="7"/>
        <v>容积率</v>
      </c>
      <c r="AA11" s="702">
        <f t="shared" si="3"/>
        <v>1</v>
      </c>
      <c r="AB11" s="702">
        <f t="shared" si="4"/>
        <v>1</v>
      </c>
      <c r="AC11" s="1955">
        <f t="shared" si="5"/>
        <v>1</v>
      </c>
    </row>
    <row r="12" spans="1:29" s="108" customFormat="1" ht="15">
      <c r="A12" s="381"/>
      <c r="B12" s="1889">
        <v>111</v>
      </c>
      <c r="C12" s="382"/>
      <c r="D12" s="383">
        <v>100</v>
      </c>
      <c r="E12" s="382"/>
      <c r="F12" s="126">
        <f>SUMIF(71:71,E12,72:72)-SUMIF(71:71,C12,72:72)+100</f>
        <v>100</v>
      </c>
      <c r="G12" s="1956"/>
      <c r="H12" s="126">
        <f>SUMIF(71:71,G12,72:72)-SUMIF(71:71,C12,72:72)+100</f>
        <v>100</v>
      </c>
      <c r="I12" s="382"/>
      <c r="J12" s="126">
        <f>SUMIF(71:71,I12,72:72)-SUMIF(71:71,C12,72:72)+100</f>
        <v>100</v>
      </c>
      <c r="K12" s="561"/>
      <c r="L12" s="2713"/>
      <c r="M12" s="2714"/>
      <c r="N12" s="2714"/>
      <c r="O12" s="2714"/>
      <c r="P12" s="3723"/>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1955">
        <f>D12/J12</f>
        <v>1</v>
      </c>
    </row>
    <row r="13" spans="1:29" ht="15">
      <c r="A13" s="378"/>
      <c r="B13" s="1889">
        <v>111</v>
      </c>
      <c r="C13" s="384"/>
      <c r="D13" s="385">
        <v>100</v>
      </c>
      <c r="E13" s="382"/>
      <c r="F13" s="126">
        <f>SUMIF(73:73,E13,74:74)-SUMIF(73:73,C13,74:74)+100</f>
        <v>100</v>
      </c>
      <c r="G13" s="1956"/>
      <c r="H13" s="385">
        <f>SUMIF(73:73,G13,74:74)-SUMIF(73:73,C13,74:74)+100</f>
        <v>100</v>
      </c>
      <c r="I13" s="382"/>
      <c r="J13" s="385">
        <f>SUMIF(73:73,I13,74:74)-SUMIF(73:73,C13,74:74)+100</f>
        <v>100</v>
      </c>
      <c r="K13" s="561"/>
      <c r="L13" s="2718"/>
      <c r="M13" s="2712"/>
      <c r="N13" s="2712"/>
      <c r="O13" s="2712"/>
      <c r="P13" s="3723"/>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1955">
        <f t="shared" si="5"/>
        <v>1</v>
      </c>
    </row>
    <row r="14" spans="1:29" ht="15.6" thickBot="1">
      <c r="A14" s="386"/>
      <c r="B14" s="1891">
        <v>111</v>
      </c>
      <c r="C14" s="387"/>
      <c r="D14" s="388">
        <v>100</v>
      </c>
      <c r="E14" s="575"/>
      <c r="F14" s="388">
        <f>SUMIF(75:75,E14,76:76)-SUMIF(75:75,C14,76:76)+100</f>
        <v>100</v>
      </c>
      <c r="G14" s="1956"/>
      <c r="H14" s="388">
        <f>SUMIF(75:75,G14,76:76)-SUMIF(75:75,C14,76:76)+100</f>
        <v>100</v>
      </c>
      <c r="I14" s="382"/>
      <c r="J14" s="388">
        <f>SUMIF(75:75,I14,76:76)-SUMIF(75:75,C14,76:76)+100</f>
        <v>100</v>
      </c>
      <c r="K14" s="561"/>
      <c r="L14" s="2718"/>
      <c r="M14" s="2712"/>
      <c r="N14" s="2712"/>
      <c r="O14" s="2712"/>
      <c r="P14" s="3723"/>
      <c r="Q14" s="1339">
        <f t="shared" si="6"/>
        <v>111</v>
      </c>
      <c r="R14" s="699" t="s">
        <v>14</v>
      </c>
      <c r="S14" s="700">
        <f t="shared" si="0"/>
        <v>100</v>
      </c>
      <c r="T14" s="699" t="s">
        <v>14</v>
      </c>
      <c r="U14" s="700">
        <f t="shared" si="1"/>
        <v>100</v>
      </c>
      <c r="V14" s="699" t="s">
        <v>14</v>
      </c>
      <c r="W14" s="700">
        <f t="shared" si="2"/>
        <v>100</v>
      </c>
      <c r="X14" s="701"/>
      <c r="Y14" s="3634"/>
      <c r="Z14" s="52">
        <f t="shared" si="7"/>
        <v>111</v>
      </c>
      <c r="AA14" s="702">
        <f t="shared" si="3"/>
        <v>1</v>
      </c>
      <c r="AB14" s="702">
        <f t="shared" si="4"/>
        <v>1</v>
      </c>
      <c r="AC14" s="1955">
        <f t="shared" si="5"/>
        <v>1</v>
      </c>
    </row>
    <row r="15" spans="1:29" ht="69">
      <c r="A15" s="390" t="s">
        <v>1690</v>
      </c>
      <c r="B15" s="576" t="s">
        <v>1811</v>
      </c>
      <c r="C15" s="1957"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8"/>
      <c r="M15" s="2712"/>
      <c r="N15" s="2712"/>
      <c r="O15" s="2712"/>
      <c r="P15" s="3750" t="s">
        <v>1691</v>
      </c>
      <c r="Q15" s="1348" t="str">
        <f t="shared" si="6"/>
        <v>办公集聚程度</v>
      </c>
      <c r="R15" s="703" t="s">
        <v>14</v>
      </c>
      <c r="S15" s="704">
        <f t="shared" si="0"/>
        <v>100</v>
      </c>
      <c r="T15" s="703" t="s">
        <v>14</v>
      </c>
      <c r="U15" s="704">
        <f t="shared" si="1"/>
        <v>100</v>
      </c>
      <c r="V15" s="703" t="s">
        <v>14</v>
      </c>
      <c r="W15" s="704">
        <f t="shared" si="2"/>
        <v>100</v>
      </c>
      <c r="X15" s="1351"/>
      <c r="Y15" s="3743" t="s">
        <v>1691</v>
      </c>
      <c r="Z15" s="1352" t="str">
        <f t="shared" si="7"/>
        <v>办公集聚程度</v>
      </c>
      <c r="AA15" s="1349">
        <f t="shared" si="3"/>
        <v>1</v>
      </c>
      <c r="AB15" s="1349">
        <f t="shared" si="4"/>
        <v>1</v>
      </c>
      <c r="AC15" s="1958">
        <f t="shared" si="5"/>
        <v>1</v>
      </c>
    </row>
    <row r="16" spans="1:29" ht="15">
      <c r="A16" s="378"/>
      <c r="B16" s="577"/>
      <c r="C16" s="1900"/>
      <c r="D16" s="398"/>
      <c r="E16" s="397"/>
      <c r="F16" s="398"/>
      <c r="G16" s="1900"/>
      <c r="H16" s="400"/>
      <c r="I16" s="397"/>
      <c r="J16" s="398"/>
      <c r="K16" s="563"/>
      <c r="L16" s="2718"/>
      <c r="M16" s="2712"/>
      <c r="N16" s="2712"/>
      <c r="O16" s="2712"/>
      <c r="P16" s="3751"/>
      <c r="Q16" s="1348"/>
      <c r="R16" s="703"/>
      <c r="S16" s="704"/>
      <c r="T16" s="703"/>
      <c r="U16" s="704"/>
      <c r="V16" s="703"/>
      <c r="W16" s="704"/>
      <c r="X16" s="1351"/>
      <c r="Y16" s="3744"/>
      <c r="Z16" s="1352"/>
      <c r="AA16" s="1349">
        <v>1</v>
      </c>
      <c r="AB16" s="1349">
        <v>1</v>
      </c>
      <c r="AC16" s="1958">
        <v>1</v>
      </c>
    </row>
    <row r="17" spans="1:29" ht="82.8">
      <c r="A17" s="378"/>
      <c r="B17" s="578" t="s">
        <v>1259</v>
      </c>
      <c r="C17" s="1959"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8"/>
      <c r="M17" s="2712"/>
      <c r="N17" s="2712"/>
      <c r="O17" s="2712"/>
      <c r="P17" s="3751"/>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958">
        <f t="shared" si="5"/>
        <v>1</v>
      </c>
    </row>
    <row r="18" spans="1:29" ht="15">
      <c r="A18" s="378"/>
      <c r="B18" s="579"/>
      <c r="C18" s="1960"/>
      <c r="D18" s="400"/>
      <c r="E18" s="1898"/>
      <c r="F18" s="400"/>
      <c r="G18" s="1899"/>
      <c r="H18" s="398"/>
      <c r="I18" s="1899"/>
      <c r="J18" s="398"/>
      <c r="K18" s="563"/>
      <c r="L18" s="2718"/>
      <c r="M18" s="2712"/>
      <c r="N18" s="2712"/>
      <c r="O18" s="2712"/>
      <c r="P18" s="3751"/>
      <c r="Q18" s="1348"/>
      <c r="R18" s="703"/>
      <c r="S18" s="704"/>
      <c r="T18" s="703"/>
      <c r="U18" s="704"/>
      <c r="V18" s="703"/>
      <c r="W18" s="704"/>
      <c r="X18" s="1351"/>
      <c r="Y18" s="3744"/>
      <c r="Z18" s="1352"/>
      <c r="AA18" s="1349">
        <v>1</v>
      </c>
      <c r="AB18" s="1349">
        <v>1</v>
      </c>
      <c r="AC18" s="1958">
        <v>1</v>
      </c>
    </row>
    <row r="19" spans="1:29" ht="41.4">
      <c r="A19" s="378"/>
      <c r="B19" s="578" t="s">
        <v>1812</v>
      </c>
      <c r="C19" s="1959"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18"/>
      <c r="M19" s="2712"/>
      <c r="N19" s="2712"/>
      <c r="O19" s="2712"/>
      <c r="P19" s="3751"/>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958">
        <f t="shared" si="5"/>
        <v>1</v>
      </c>
    </row>
    <row r="20" spans="1:29" ht="15">
      <c r="A20" s="378"/>
      <c r="B20" s="579"/>
      <c r="C20" s="1900"/>
      <c r="D20" s="398"/>
      <c r="E20" s="1893"/>
      <c r="F20" s="398"/>
      <c r="G20" s="1894"/>
      <c r="H20" s="398"/>
      <c r="I20" s="1894"/>
      <c r="J20" s="398"/>
      <c r="K20" s="563"/>
      <c r="L20" s="2718"/>
      <c r="M20" s="2712"/>
      <c r="N20" s="2712"/>
      <c r="O20" s="2712"/>
      <c r="P20" s="3751"/>
      <c r="Q20" s="1348"/>
      <c r="R20" s="703"/>
      <c r="S20" s="704"/>
      <c r="T20" s="703"/>
      <c r="U20" s="704"/>
      <c r="V20" s="703"/>
      <c r="W20" s="704"/>
      <c r="X20" s="1351"/>
      <c r="Y20" s="3744"/>
      <c r="Z20" s="1352"/>
      <c r="AA20" s="1349">
        <v>1</v>
      </c>
      <c r="AB20" s="1349">
        <v>1</v>
      </c>
      <c r="AC20" s="1958">
        <v>1</v>
      </c>
    </row>
    <row r="21" spans="1:29" ht="27.6">
      <c r="A21" s="378"/>
      <c r="B21" s="580" t="s">
        <v>1813</v>
      </c>
      <c r="C21" s="1959"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18"/>
      <c r="M21" s="2712"/>
      <c r="N21" s="2712"/>
      <c r="O21" s="2712"/>
      <c r="P21" s="3751"/>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958">
        <f t="shared" ref="AC21" si="10">D21/J21</f>
        <v>1</v>
      </c>
    </row>
    <row r="22" spans="1:29" ht="15">
      <c r="A22" s="378"/>
      <c r="B22" s="580"/>
      <c r="C22" s="1960"/>
      <c r="D22" s="398"/>
      <c r="E22" s="397"/>
      <c r="F22" s="398"/>
      <c r="G22" s="1900"/>
      <c r="H22" s="398"/>
      <c r="I22" s="1900"/>
      <c r="J22" s="398"/>
      <c r="K22" s="1126"/>
      <c r="L22" s="2718"/>
      <c r="M22" s="2712"/>
      <c r="N22" s="2712"/>
      <c r="O22" s="2712"/>
      <c r="P22" s="3751"/>
      <c r="Q22" s="1348"/>
      <c r="R22" s="703"/>
      <c r="S22" s="704"/>
      <c r="T22" s="703"/>
      <c r="U22" s="704"/>
      <c r="V22" s="703"/>
      <c r="W22" s="704"/>
      <c r="X22" s="1351"/>
      <c r="Y22" s="3744"/>
      <c r="Z22" s="1352"/>
      <c r="AA22" s="1349">
        <v>1</v>
      </c>
      <c r="AB22" s="1349">
        <v>1</v>
      </c>
      <c r="AC22" s="1958">
        <v>1</v>
      </c>
    </row>
    <row r="23" spans="1:29" ht="55.2">
      <c r="A23" s="378"/>
      <c r="B23" s="578" t="s">
        <v>1814</v>
      </c>
      <c r="C23" s="1959"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18"/>
      <c r="M23" s="2712"/>
      <c r="N23" s="2712"/>
      <c r="O23" s="2712"/>
      <c r="P23" s="3751"/>
      <c r="Q23" s="1348" t="str">
        <f>B23</f>
        <v>环境质量</v>
      </c>
      <c r="R23" s="703" t="s">
        <v>14</v>
      </c>
      <c r="S23" s="704">
        <f>F23</f>
        <v>100</v>
      </c>
      <c r="T23" s="703" t="s">
        <v>14</v>
      </c>
      <c r="U23" s="704">
        <f>H23</f>
        <v>100</v>
      </c>
      <c r="V23" s="703" t="s">
        <v>14</v>
      </c>
      <c r="W23" s="704">
        <f>J23</f>
        <v>100</v>
      </c>
      <c r="X23" s="1351"/>
      <c r="Y23" s="3744"/>
      <c r="Z23" s="1352" t="str">
        <f>Q23</f>
        <v>环境质量</v>
      </c>
      <c r="AA23" s="1349">
        <f t="shared" si="3"/>
        <v>1</v>
      </c>
      <c r="AB23" s="1349">
        <f t="shared" si="4"/>
        <v>1</v>
      </c>
      <c r="AC23" s="1958">
        <f t="shared" si="5"/>
        <v>1</v>
      </c>
    </row>
    <row r="24" spans="1:29" ht="15">
      <c r="A24" s="378"/>
      <c r="B24" s="580"/>
      <c r="C24" s="1900"/>
      <c r="D24" s="398"/>
      <c r="E24" s="1893"/>
      <c r="F24" s="398"/>
      <c r="G24" s="1894"/>
      <c r="H24" s="398"/>
      <c r="I24" s="1894"/>
      <c r="J24" s="398"/>
      <c r="K24" s="563"/>
      <c r="L24" s="2718"/>
      <c r="M24" s="2712"/>
      <c r="N24" s="2712"/>
      <c r="O24" s="2712"/>
      <c r="P24" s="3751"/>
      <c r="Q24" s="1348"/>
      <c r="R24" s="703"/>
      <c r="S24" s="704"/>
      <c r="T24" s="703"/>
      <c r="U24" s="704"/>
      <c r="V24" s="703"/>
      <c r="W24" s="704"/>
      <c r="X24" s="1351"/>
      <c r="Y24" s="3744"/>
      <c r="Z24" s="1352"/>
      <c r="AA24" s="1349">
        <v>1</v>
      </c>
      <c r="AB24" s="1349">
        <v>1</v>
      </c>
      <c r="AC24" s="1958">
        <v>1</v>
      </c>
    </row>
    <row r="25" spans="1:29" ht="28.8">
      <c r="A25" s="357"/>
      <c r="B25" s="578" t="s">
        <v>1815</v>
      </c>
      <c r="C25" s="1904"/>
      <c r="D25" s="385">
        <v>100</v>
      </c>
      <c r="E25" s="384"/>
      <c r="F25" s="385">
        <f>SUMIF(87:87,E26,88:88)-SUMIF(87:87,C26,88:88)+100</f>
        <v>100</v>
      </c>
      <c r="G25" s="1904"/>
      <c r="H25" s="385">
        <f>SUMIF(87:87,G26,88:88)-SUMIF(87:87,C26,88:88)+100</f>
        <v>100</v>
      </c>
      <c r="I25" s="384"/>
      <c r="J25" s="385">
        <f>SUMIF(87:87,I26,88:88)-SUMIF(87:87,C26,88:88)+100</f>
        <v>100</v>
      </c>
      <c r="K25" s="562"/>
      <c r="L25" s="2718"/>
      <c r="M25" s="2712"/>
      <c r="N25" s="2712"/>
      <c r="O25" s="2712"/>
      <c r="P25" s="3751"/>
      <c r="Q25" s="1348" t="str">
        <f>B25</f>
        <v>毗邻道路的类型与等级</v>
      </c>
      <c r="R25" s="703" t="s">
        <v>14</v>
      </c>
      <c r="S25" s="704">
        <f>F25</f>
        <v>100</v>
      </c>
      <c r="T25" s="703" t="s">
        <v>14</v>
      </c>
      <c r="U25" s="704">
        <f>H25</f>
        <v>100</v>
      </c>
      <c r="V25" s="703" t="s">
        <v>14</v>
      </c>
      <c r="W25" s="704">
        <f>J25</f>
        <v>100</v>
      </c>
      <c r="X25" s="1351"/>
      <c r="Y25" s="3744"/>
      <c r="Z25" s="1352" t="str">
        <f>Q25</f>
        <v>毗邻道路的类型与等级</v>
      </c>
      <c r="AA25" s="1349">
        <f t="shared" si="3"/>
        <v>1</v>
      </c>
      <c r="AB25" s="1349">
        <f t="shared" si="4"/>
        <v>1</v>
      </c>
      <c r="AC25" s="1958">
        <f t="shared" si="5"/>
        <v>1</v>
      </c>
    </row>
    <row r="26" spans="1:29" ht="15">
      <c r="A26" s="357"/>
      <c r="B26" s="579"/>
      <c r="C26" s="581"/>
      <c r="D26" s="385"/>
      <c r="E26" s="564"/>
      <c r="F26" s="385"/>
      <c r="G26" s="581"/>
      <c r="H26" s="385"/>
      <c r="I26" s="564"/>
      <c r="J26" s="385"/>
      <c r="K26" s="563"/>
      <c r="L26" s="2718"/>
      <c r="M26" s="2712"/>
      <c r="N26" s="2712"/>
      <c r="O26" s="2712"/>
      <c r="P26" s="3751"/>
      <c r="Q26" s="1348"/>
      <c r="R26" s="703"/>
      <c r="S26" s="704"/>
      <c r="T26" s="703"/>
      <c r="U26" s="704"/>
      <c r="V26" s="703"/>
      <c r="W26" s="704"/>
      <c r="X26" s="1351"/>
      <c r="Y26" s="3744"/>
      <c r="Z26" s="1352"/>
      <c r="AA26" s="1349">
        <v>1</v>
      </c>
      <c r="AB26" s="1349">
        <v>1</v>
      </c>
      <c r="AC26" s="1958">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18"/>
      <c r="M27" s="2712"/>
      <c r="N27" s="2712"/>
      <c r="O27" s="2712"/>
      <c r="P27" s="3751"/>
      <c r="Q27" s="1348" t="str">
        <f t="shared" ref="Q27:Q47" si="11">B27</f>
        <v>楼层</v>
      </c>
      <c r="R27" s="703" t="s">
        <v>14</v>
      </c>
      <c r="S27" s="704">
        <f>F27</f>
        <v>100</v>
      </c>
      <c r="T27" s="703" t="s">
        <v>14</v>
      </c>
      <c r="U27" s="704">
        <f>H27</f>
        <v>100</v>
      </c>
      <c r="V27" s="703" t="s">
        <v>14</v>
      </c>
      <c r="W27" s="704">
        <f>J27</f>
        <v>100</v>
      </c>
      <c r="X27" s="1351"/>
      <c r="Y27" s="3744"/>
      <c r="Z27" s="1352" t="str">
        <f>Q27</f>
        <v>楼层</v>
      </c>
      <c r="AA27" s="1349">
        <f t="shared" si="3"/>
        <v>1</v>
      </c>
      <c r="AB27" s="1349">
        <f t="shared" si="4"/>
        <v>1</v>
      </c>
      <c r="AC27" s="1958">
        <f t="shared" si="5"/>
        <v>1</v>
      </c>
    </row>
    <row r="28" spans="1:29" s="108" customFormat="1" ht="15">
      <c r="A28" s="381"/>
      <c r="B28" s="578" t="s">
        <v>1816</v>
      </c>
      <c r="C28" s="1961"/>
      <c r="D28" s="412">
        <v>100</v>
      </c>
      <c r="E28" s="1952"/>
      <c r="F28" s="412">
        <f>SUMIF(91:91,E28,92:92)-SUMIF(91:91,C28,92:92)+100</f>
        <v>100</v>
      </c>
      <c r="G28" s="1961"/>
      <c r="H28" s="412">
        <f>SUMIF(91:91,G28,92:92)-SUMIF(91:91,C28,92:92)+100</f>
        <v>100</v>
      </c>
      <c r="I28" s="1952"/>
      <c r="J28" s="412">
        <f>SUMIF(91:91,I28,92:92)-SUMIF(91:91,C28,92:92)+100</f>
        <v>100</v>
      </c>
      <c r="K28" s="560"/>
      <c r="L28" s="2713"/>
      <c r="M28" s="2714"/>
      <c r="N28" s="2714"/>
      <c r="O28" s="2714"/>
      <c r="P28" s="3751"/>
      <c r="Q28" s="1339" t="str">
        <f t="shared" si="11"/>
        <v>朝向</v>
      </c>
      <c r="R28" s="699" t="s">
        <v>14</v>
      </c>
      <c r="S28" s="700">
        <f>F28</f>
        <v>100</v>
      </c>
      <c r="T28" s="699" t="s">
        <v>14</v>
      </c>
      <c r="U28" s="700">
        <f>H28</f>
        <v>100</v>
      </c>
      <c r="V28" s="699" t="s">
        <v>14</v>
      </c>
      <c r="W28" s="700">
        <f>J28</f>
        <v>100</v>
      </c>
      <c r="X28" s="701"/>
      <c r="Y28" s="3744"/>
      <c r="Z28" s="52" t="str">
        <f>Q28</f>
        <v>朝向</v>
      </c>
      <c r="AA28" s="1349">
        <f>D28/F28</f>
        <v>1</v>
      </c>
      <c r="AB28" s="1349">
        <f>D28/H28</f>
        <v>1</v>
      </c>
      <c r="AC28" s="1958">
        <f>D28/J28</f>
        <v>1</v>
      </c>
    </row>
    <row r="29" spans="1:29" ht="15">
      <c r="A29" s="378"/>
      <c r="B29" s="1962">
        <v>111</v>
      </c>
      <c r="C29" s="1904"/>
      <c r="D29" s="385">
        <v>100</v>
      </c>
      <c r="E29" s="382"/>
      <c r="F29" s="385">
        <f>SUMIF(93:93,E29,94:94)-SUMIF(93:93,C29,94:94)+100</f>
        <v>100</v>
      </c>
      <c r="G29" s="1956"/>
      <c r="H29" s="385">
        <f>SUMIF(93:93,G29,94:94)-SUMIF(93:93,C29,94:94)+100</f>
        <v>100</v>
      </c>
      <c r="I29" s="382"/>
      <c r="J29" s="385">
        <f>SUMIF(93:93,I29,94:94)-SUMIF(93:93,C29,94:94)+100</f>
        <v>100</v>
      </c>
      <c r="K29" s="561"/>
      <c r="L29" s="2718"/>
      <c r="M29" s="2712"/>
      <c r="N29" s="2712"/>
      <c r="O29" s="2712"/>
      <c r="P29" s="3751"/>
      <c r="Q29" s="1348">
        <f t="shared" si="11"/>
        <v>111</v>
      </c>
      <c r="R29" s="703" t="s">
        <v>14</v>
      </c>
      <c r="S29" s="704">
        <f t="shared" ref="S29:S47" si="12">F29</f>
        <v>100</v>
      </c>
      <c r="T29" s="703" t="s">
        <v>14</v>
      </c>
      <c r="U29" s="704">
        <f t="shared" ref="U29:U47" si="13">H29</f>
        <v>100</v>
      </c>
      <c r="V29" s="703" t="s">
        <v>14</v>
      </c>
      <c r="W29" s="704">
        <f t="shared" ref="W29:W47" si="14">J29</f>
        <v>100</v>
      </c>
      <c r="X29" s="1351"/>
      <c r="Y29" s="3744"/>
      <c r="Z29" s="1352">
        <f t="shared" ref="Z29:Z47" si="15">Q29</f>
        <v>111</v>
      </c>
      <c r="AA29" s="1349">
        <f t="shared" si="3"/>
        <v>1</v>
      </c>
      <c r="AB29" s="1349">
        <f t="shared" si="4"/>
        <v>1</v>
      </c>
      <c r="AC29" s="1958">
        <f t="shared" si="5"/>
        <v>1</v>
      </c>
    </row>
    <row r="30" spans="1:29" ht="15">
      <c r="A30" s="378"/>
      <c r="B30" s="1962">
        <v>111</v>
      </c>
      <c r="C30" s="1904"/>
      <c r="D30" s="385">
        <v>100</v>
      </c>
      <c r="E30" s="382"/>
      <c r="F30" s="385">
        <f>SUMIF(95:95,E30,96:96)-SUMIF(95:95,C30,96:96)+100</f>
        <v>100</v>
      </c>
      <c r="G30" s="1956"/>
      <c r="H30" s="385">
        <f>SUMIF(95:95,G30,96:96)-SUMIF(95:95,C30,96:96)+100</f>
        <v>100</v>
      </c>
      <c r="I30" s="382"/>
      <c r="J30" s="385">
        <f>SUMIF(95:95,I30,96:96)-SUMIF(95:95,C30,96:96)+100</f>
        <v>100</v>
      </c>
      <c r="K30" s="561"/>
      <c r="L30" s="2718"/>
      <c r="M30" s="2712"/>
      <c r="N30" s="2712"/>
      <c r="O30" s="2712"/>
      <c r="P30" s="3751"/>
      <c r="Q30" s="1348">
        <f t="shared" si="11"/>
        <v>111</v>
      </c>
      <c r="R30" s="703" t="s">
        <v>14</v>
      </c>
      <c r="S30" s="704">
        <f t="shared" si="12"/>
        <v>100</v>
      </c>
      <c r="T30" s="703" t="s">
        <v>14</v>
      </c>
      <c r="U30" s="704">
        <f t="shared" si="13"/>
        <v>100</v>
      </c>
      <c r="V30" s="703" t="s">
        <v>14</v>
      </c>
      <c r="W30" s="704">
        <f t="shared" si="14"/>
        <v>100</v>
      </c>
      <c r="X30" s="1351"/>
      <c r="Y30" s="3744"/>
      <c r="Z30" s="1352">
        <f t="shared" si="15"/>
        <v>111</v>
      </c>
      <c r="AA30" s="1349">
        <f t="shared" si="3"/>
        <v>1</v>
      </c>
      <c r="AB30" s="1349">
        <f t="shared" si="4"/>
        <v>1</v>
      </c>
      <c r="AC30" s="1958">
        <f t="shared" si="5"/>
        <v>1</v>
      </c>
    </row>
    <row r="31" spans="1:29" ht="15">
      <c r="A31" s="378"/>
      <c r="B31" s="1962">
        <v>111</v>
      </c>
      <c r="C31" s="1904"/>
      <c r="D31" s="385">
        <v>100</v>
      </c>
      <c r="E31" s="382"/>
      <c r="F31" s="385">
        <f>SUMIF(97:97,E31,98:98)-SUMIF(97:97,C31,98:98)+100</f>
        <v>100</v>
      </c>
      <c r="G31" s="1956"/>
      <c r="H31" s="385">
        <f>SUMIF(97:97,G31,98:98)-SUMIF(97:97,C31,98:98)+100</f>
        <v>100</v>
      </c>
      <c r="I31" s="382"/>
      <c r="J31" s="385">
        <f>SUMIF(97:97,I31,98:98)-SUMIF(97:97,C31,98:98)+100</f>
        <v>100</v>
      </c>
      <c r="K31" s="561"/>
      <c r="L31" s="2718"/>
      <c r="M31" s="2712"/>
      <c r="N31" s="2712"/>
      <c r="O31" s="2712"/>
      <c r="P31" s="3751"/>
      <c r="Q31" s="1348">
        <f t="shared" si="11"/>
        <v>111</v>
      </c>
      <c r="R31" s="703" t="s">
        <v>14</v>
      </c>
      <c r="S31" s="704">
        <f t="shared" si="12"/>
        <v>100</v>
      </c>
      <c r="T31" s="703" t="s">
        <v>14</v>
      </c>
      <c r="U31" s="704">
        <f t="shared" si="13"/>
        <v>100</v>
      </c>
      <c r="V31" s="703" t="s">
        <v>14</v>
      </c>
      <c r="W31" s="704">
        <f t="shared" si="14"/>
        <v>100</v>
      </c>
      <c r="X31" s="1351"/>
      <c r="Y31" s="3744"/>
      <c r="Z31" s="1352">
        <f t="shared" si="15"/>
        <v>111</v>
      </c>
      <c r="AA31" s="1349">
        <f t="shared" si="3"/>
        <v>1</v>
      </c>
      <c r="AB31" s="1349">
        <f t="shared" si="4"/>
        <v>1</v>
      </c>
      <c r="AC31" s="1958">
        <f t="shared" si="5"/>
        <v>1</v>
      </c>
    </row>
    <row r="32" spans="1:29" ht="15.6" thickBot="1">
      <c r="A32" s="386"/>
      <c r="B32" s="582">
        <v>111</v>
      </c>
      <c r="C32" s="1905"/>
      <c r="D32" s="388">
        <v>100</v>
      </c>
      <c r="E32" s="575"/>
      <c r="F32" s="388">
        <f>SUMIF(99:99,E32,100:100)-SUMIF(99:99,C32,100:100)+100</f>
        <v>100</v>
      </c>
      <c r="G32" s="1956"/>
      <c r="H32" s="388">
        <f>SUMIF(99:99,G32,100:100)-SUMIF(99:99,C32,100:100)+100</f>
        <v>100</v>
      </c>
      <c r="I32" s="382"/>
      <c r="J32" s="388">
        <f>SUMIF(99:99,I32,100:100)-SUMIF(99:99,C32,100:100)+100</f>
        <v>100</v>
      </c>
      <c r="K32" s="561"/>
      <c r="L32" s="2718"/>
      <c r="M32" s="2712"/>
      <c r="N32" s="2712"/>
      <c r="O32" s="2712"/>
      <c r="P32" s="3751"/>
      <c r="Q32" s="1348">
        <f t="shared" si="11"/>
        <v>111</v>
      </c>
      <c r="R32" s="703" t="s">
        <v>14</v>
      </c>
      <c r="S32" s="704">
        <f t="shared" si="12"/>
        <v>100</v>
      </c>
      <c r="T32" s="703" t="s">
        <v>14</v>
      </c>
      <c r="U32" s="704">
        <f t="shared" si="13"/>
        <v>100</v>
      </c>
      <c r="V32" s="703" t="s">
        <v>14</v>
      </c>
      <c r="W32" s="704">
        <f t="shared" si="14"/>
        <v>100</v>
      </c>
      <c r="X32" s="1351"/>
      <c r="Y32" s="3744"/>
      <c r="Z32" s="1352">
        <f t="shared" si="15"/>
        <v>111</v>
      </c>
      <c r="AA32" s="1349">
        <f t="shared" si="3"/>
        <v>1</v>
      </c>
      <c r="AB32" s="1349">
        <f t="shared" si="4"/>
        <v>1</v>
      </c>
      <c r="AC32" s="1958">
        <f t="shared" si="5"/>
        <v>1</v>
      </c>
    </row>
    <row r="33" spans="1:29" ht="15">
      <c r="A33" s="390" t="s">
        <v>1694</v>
      </c>
      <c r="B33" s="63" t="s">
        <v>1817</v>
      </c>
      <c r="C33" s="1963"/>
      <c r="D33" s="417">
        <v>100</v>
      </c>
      <c r="E33" s="1963"/>
      <c r="F33" s="411">
        <f>SUMIF(101:101,E33,102:102)-SUMIF(101:101,C33,102:102)+100</f>
        <v>100</v>
      </c>
      <c r="G33" s="1963"/>
      <c r="H33" s="385">
        <f>SUMIF(101:101,G33,102:102)-SUMIF(101:101,C33,102:102)+100</f>
        <v>100</v>
      </c>
      <c r="I33" s="1963"/>
      <c r="J33" s="417">
        <f>SUMIF(101:101,I33,102:102)-SUMIF(101:101,C33,102:102)+100</f>
        <v>100</v>
      </c>
      <c r="K33" s="560"/>
      <c r="L33" s="2718"/>
      <c r="M33" s="2712"/>
      <c r="N33" s="2712"/>
      <c r="O33" s="2712"/>
      <c r="P33" s="3745" t="s">
        <v>1696</v>
      </c>
      <c r="Q33" s="1348" t="str">
        <f t="shared" si="11"/>
        <v>建筑类型</v>
      </c>
      <c r="R33" s="703" t="s">
        <v>14</v>
      </c>
      <c r="S33" s="704">
        <f t="shared" si="12"/>
        <v>100</v>
      </c>
      <c r="T33" s="703" t="s">
        <v>14</v>
      </c>
      <c r="U33" s="704">
        <f t="shared" si="13"/>
        <v>100</v>
      </c>
      <c r="V33" s="703" t="s">
        <v>14</v>
      </c>
      <c r="W33" s="704">
        <f t="shared" si="14"/>
        <v>100</v>
      </c>
      <c r="X33" s="1351"/>
      <c r="Y33" s="3748" t="s">
        <v>1696</v>
      </c>
      <c r="Z33" s="1352" t="str">
        <f t="shared" si="15"/>
        <v>建筑类型</v>
      </c>
      <c r="AA33" s="1349">
        <f t="shared" si="3"/>
        <v>1</v>
      </c>
      <c r="AB33" s="1349">
        <f t="shared" si="4"/>
        <v>1</v>
      </c>
      <c r="AC33" s="1958">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7"/>
      <c r="M34" s="2719"/>
      <c r="N34" s="2719"/>
      <c r="O34" s="2719"/>
      <c r="P34" s="3746"/>
      <c r="Q34" s="705" t="str">
        <f t="shared" si="11"/>
        <v>项目建筑规模</v>
      </c>
      <c r="R34" s="706" t="s">
        <v>14</v>
      </c>
      <c r="S34" s="707" t="e">
        <f t="shared" si="12"/>
        <v>#N/A</v>
      </c>
      <c r="T34" s="706" t="s">
        <v>14</v>
      </c>
      <c r="U34" s="707" t="e">
        <f t="shared" si="13"/>
        <v>#N/A</v>
      </c>
      <c r="V34" s="706" t="s">
        <v>14</v>
      </c>
      <c r="W34" s="707" t="e">
        <f t="shared" si="14"/>
        <v>#N/A</v>
      </c>
      <c r="X34" s="708"/>
      <c r="Y34" s="3748"/>
      <c r="Z34" s="709" t="str">
        <f t="shared" si="15"/>
        <v>项目建筑规模</v>
      </c>
      <c r="AA34" s="1349" t="e">
        <f t="shared" si="3"/>
        <v>#N/A</v>
      </c>
      <c r="AB34" s="1349" t="e">
        <f t="shared" si="4"/>
        <v>#N/A</v>
      </c>
      <c r="AC34" s="1958"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8"/>
      <c r="M35" s="2712"/>
      <c r="N35" s="2712"/>
      <c r="O35" s="2712"/>
      <c r="P35" s="3746"/>
      <c r="Q35" s="1348" t="str">
        <f t="shared" si="11"/>
        <v>建筑结构</v>
      </c>
      <c r="R35" s="703" t="s">
        <v>14</v>
      </c>
      <c r="S35" s="704">
        <f t="shared" si="12"/>
        <v>100</v>
      </c>
      <c r="T35" s="703" t="s">
        <v>14</v>
      </c>
      <c r="U35" s="704">
        <f t="shared" si="13"/>
        <v>100</v>
      </c>
      <c r="V35" s="703" t="s">
        <v>14</v>
      </c>
      <c r="W35" s="704">
        <f t="shared" si="14"/>
        <v>100</v>
      </c>
      <c r="X35" s="1351"/>
      <c r="Y35" s="3748"/>
      <c r="Z35" s="1352" t="str">
        <f t="shared" si="15"/>
        <v>建筑结构</v>
      </c>
      <c r="AA35" s="1349">
        <f t="shared" si="3"/>
        <v>1</v>
      </c>
      <c r="AB35" s="1349">
        <f t="shared" si="4"/>
        <v>1</v>
      </c>
      <c r="AC35" s="1958">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8"/>
      <c r="M36" s="2712"/>
      <c r="N36" s="2712"/>
      <c r="O36" s="2712"/>
      <c r="P36" s="3746"/>
      <c r="Q36" s="1348" t="str">
        <f t="shared" si="11"/>
        <v>公共部分装修</v>
      </c>
      <c r="R36" s="703" t="s">
        <v>14</v>
      </c>
      <c r="S36" s="704">
        <f t="shared" si="12"/>
        <v>100</v>
      </c>
      <c r="T36" s="703" t="s">
        <v>14</v>
      </c>
      <c r="U36" s="704">
        <f t="shared" si="13"/>
        <v>100</v>
      </c>
      <c r="V36" s="703" t="s">
        <v>14</v>
      </c>
      <c r="W36" s="704">
        <f t="shared" si="14"/>
        <v>100</v>
      </c>
      <c r="X36" s="1351"/>
      <c r="Y36" s="3748"/>
      <c r="Z36" s="1352" t="str">
        <f t="shared" si="15"/>
        <v>公共部分装修</v>
      </c>
      <c r="AA36" s="1349">
        <f t="shared" si="3"/>
        <v>1</v>
      </c>
      <c r="AB36" s="1349">
        <f t="shared" si="4"/>
        <v>1</v>
      </c>
      <c r="AC36" s="1958">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8"/>
      <c r="M37" s="2712"/>
      <c r="N37" s="2712"/>
      <c r="O37" s="2712"/>
      <c r="P37" s="3746"/>
      <c r="Q37" s="1348" t="str">
        <f t="shared" si="11"/>
        <v>成新度</v>
      </c>
      <c r="R37" s="703" t="s">
        <v>14</v>
      </c>
      <c r="S37" s="704" t="e">
        <f t="shared" si="12"/>
        <v>#N/A</v>
      </c>
      <c r="T37" s="703" t="s">
        <v>14</v>
      </c>
      <c r="U37" s="704" t="e">
        <f t="shared" si="13"/>
        <v>#N/A</v>
      </c>
      <c r="V37" s="703" t="s">
        <v>14</v>
      </c>
      <c r="W37" s="704" t="e">
        <f t="shared" si="14"/>
        <v>#N/A</v>
      </c>
      <c r="X37" s="1351"/>
      <c r="Y37" s="3748"/>
      <c r="Z37" s="1352" t="str">
        <f t="shared" si="15"/>
        <v>成新度</v>
      </c>
      <c r="AA37" s="1349" t="e">
        <f t="shared" si="3"/>
        <v>#N/A</v>
      </c>
      <c r="AB37" s="1349" t="e">
        <f t="shared" si="4"/>
        <v>#N/A</v>
      </c>
      <c r="AC37" s="1958" t="e">
        <f t="shared" si="5"/>
        <v>#N/A</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3"/>
      <c r="M38" s="2714"/>
      <c r="N38" s="2714"/>
      <c r="O38" s="2714"/>
      <c r="P38" s="3746"/>
      <c r="Q38" s="1339" t="str">
        <f t="shared" si="11"/>
        <v>写字楼等级</v>
      </c>
      <c r="R38" s="699" t="s">
        <v>14</v>
      </c>
      <c r="S38" s="700">
        <f t="shared" si="12"/>
        <v>100</v>
      </c>
      <c r="T38" s="699" t="s">
        <v>14</v>
      </c>
      <c r="U38" s="700">
        <f t="shared" si="13"/>
        <v>100</v>
      </c>
      <c r="V38" s="699" t="s">
        <v>14</v>
      </c>
      <c r="W38" s="700">
        <f t="shared" si="14"/>
        <v>100</v>
      </c>
      <c r="X38" s="701"/>
      <c r="Y38" s="3748"/>
      <c r="Z38" s="52" t="str">
        <f t="shared" si="15"/>
        <v>写字楼等级</v>
      </c>
      <c r="AA38" s="702">
        <f t="shared" si="3"/>
        <v>1</v>
      </c>
      <c r="AB38" s="702">
        <f t="shared" si="4"/>
        <v>1</v>
      </c>
      <c r="AC38" s="1955">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8"/>
      <c r="M39" s="2712"/>
      <c r="N39" s="2712"/>
      <c r="O39" s="2712"/>
      <c r="P39" s="3746" t="s">
        <v>1696</v>
      </c>
      <c r="Q39" s="1348" t="str">
        <f t="shared" si="11"/>
        <v>物业管理</v>
      </c>
      <c r="R39" s="703" t="s">
        <v>14</v>
      </c>
      <c r="S39" s="704">
        <f t="shared" si="12"/>
        <v>100</v>
      </c>
      <c r="T39" s="703" t="s">
        <v>14</v>
      </c>
      <c r="U39" s="704">
        <f t="shared" si="13"/>
        <v>100</v>
      </c>
      <c r="V39" s="703" t="s">
        <v>14</v>
      </c>
      <c r="W39" s="704">
        <f t="shared" si="14"/>
        <v>100</v>
      </c>
      <c r="X39" s="1351"/>
      <c r="Y39" s="3748" t="s">
        <v>1696</v>
      </c>
      <c r="Z39" s="1352" t="str">
        <f t="shared" si="15"/>
        <v>物业管理</v>
      </c>
      <c r="AA39" s="1349">
        <f t="shared" si="3"/>
        <v>1</v>
      </c>
      <c r="AB39" s="1349">
        <f t="shared" si="4"/>
        <v>1</v>
      </c>
      <c r="AC39" s="1958">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8"/>
      <c r="M40" s="2712"/>
      <c r="N40" s="2712"/>
      <c r="O40" s="2712"/>
      <c r="P40" s="3746"/>
      <c r="Q40" s="1348" t="str">
        <f t="shared" si="11"/>
        <v>市政基础设施</v>
      </c>
      <c r="R40" s="703" t="s">
        <v>14</v>
      </c>
      <c r="S40" s="704">
        <f t="shared" si="12"/>
        <v>100</v>
      </c>
      <c r="T40" s="703" t="s">
        <v>14</v>
      </c>
      <c r="U40" s="704">
        <f t="shared" si="13"/>
        <v>100</v>
      </c>
      <c r="V40" s="703" t="s">
        <v>14</v>
      </c>
      <c r="W40" s="704">
        <f t="shared" si="14"/>
        <v>100</v>
      </c>
      <c r="X40" s="1351"/>
      <c r="Y40" s="3748"/>
      <c r="Z40" s="1352" t="str">
        <f t="shared" si="15"/>
        <v>市政基础设施</v>
      </c>
      <c r="AA40" s="1349">
        <f t="shared" si="3"/>
        <v>1</v>
      </c>
      <c r="AB40" s="1349">
        <f t="shared" si="4"/>
        <v>1</v>
      </c>
      <c r="AC40" s="1958">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8"/>
      <c r="M41" s="2712"/>
      <c r="N41" s="2712"/>
      <c r="O41" s="2712"/>
      <c r="P41" s="3746"/>
      <c r="Q41" s="1348" t="str">
        <f t="shared" si="11"/>
        <v>层高</v>
      </c>
      <c r="R41" s="703" t="s">
        <v>14</v>
      </c>
      <c r="S41" s="704">
        <f t="shared" si="12"/>
        <v>100</v>
      </c>
      <c r="T41" s="703" t="s">
        <v>14</v>
      </c>
      <c r="U41" s="704">
        <f t="shared" si="13"/>
        <v>100</v>
      </c>
      <c r="V41" s="703" t="s">
        <v>14</v>
      </c>
      <c r="W41" s="704">
        <f t="shared" si="14"/>
        <v>100</v>
      </c>
      <c r="X41" s="1351"/>
      <c r="Y41" s="3748"/>
      <c r="Z41" s="1352" t="str">
        <f t="shared" si="15"/>
        <v>层高</v>
      </c>
      <c r="AA41" s="1349">
        <f t="shared" si="3"/>
        <v>1</v>
      </c>
      <c r="AB41" s="1349">
        <f t="shared" si="4"/>
        <v>1</v>
      </c>
      <c r="AC41" s="1958">
        <f t="shared" si="5"/>
        <v>1</v>
      </c>
    </row>
    <row r="42" spans="1:29" s="421" customFormat="1" ht="15">
      <c r="A42" s="418"/>
      <c r="B42" s="1350"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7"/>
      <c r="M42" s="2719"/>
      <c r="N42" s="2719"/>
      <c r="O42" s="2719"/>
      <c r="P42" s="3746"/>
      <c r="Q42" s="705" t="str">
        <f t="shared" si="11"/>
        <v>单套建筑面积</v>
      </c>
      <c r="R42" s="706" t="s">
        <v>14</v>
      </c>
      <c r="S42" s="707">
        <f t="shared" si="12"/>
        <v>100</v>
      </c>
      <c r="T42" s="706" t="s">
        <v>14</v>
      </c>
      <c r="U42" s="707">
        <f t="shared" si="13"/>
        <v>100</v>
      </c>
      <c r="V42" s="706" t="s">
        <v>14</v>
      </c>
      <c r="W42" s="707">
        <f t="shared" si="14"/>
        <v>100</v>
      </c>
      <c r="X42" s="708"/>
      <c r="Y42" s="3748"/>
      <c r="Z42" s="709" t="str">
        <f t="shared" si="15"/>
        <v>单套建筑面积</v>
      </c>
      <c r="AA42" s="1349">
        <f t="shared" si="3"/>
        <v>1</v>
      </c>
      <c r="AB42" s="1349">
        <f t="shared" si="4"/>
        <v>1</v>
      </c>
      <c r="AC42" s="1958">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8"/>
      <c r="M43" s="2712"/>
      <c r="N43" s="2712"/>
      <c r="O43" s="2712"/>
      <c r="P43" s="3746"/>
      <c r="Q43" s="1348" t="str">
        <f t="shared" si="11"/>
        <v>内部装修</v>
      </c>
      <c r="R43" s="703" t="s">
        <v>14</v>
      </c>
      <c r="S43" s="704">
        <f t="shared" si="12"/>
        <v>100</v>
      </c>
      <c r="T43" s="703" t="s">
        <v>14</v>
      </c>
      <c r="U43" s="704">
        <f t="shared" si="13"/>
        <v>100</v>
      </c>
      <c r="V43" s="703" t="s">
        <v>14</v>
      </c>
      <c r="W43" s="704">
        <f t="shared" si="14"/>
        <v>100</v>
      </c>
      <c r="X43" s="1351"/>
      <c r="Y43" s="3748"/>
      <c r="Z43" s="1352" t="str">
        <f t="shared" si="15"/>
        <v>内部装修</v>
      </c>
      <c r="AA43" s="1349">
        <f t="shared" si="3"/>
        <v>1</v>
      </c>
      <c r="AB43" s="1349">
        <f t="shared" si="4"/>
        <v>1</v>
      </c>
      <c r="AC43" s="1958">
        <f t="shared" si="5"/>
        <v>1</v>
      </c>
    </row>
    <row r="44" spans="1:29" ht="28.8">
      <c r="A44" s="422"/>
      <c r="B44" s="374" t="s">
        <v>1707</v>
      </c>
      <c r="C44" s="410"/>
      <c r="D44" s="385">
        <v>100</v>
      </c>
      <c r="E44" s="1902"/>
      <c r="F44" s="411">
        <f>SUMIF(125:125,E44,126:126)-SUMIF(125:125,C44,126:126)+100</f>
        <v>100</v>
      </c>
      <c r="G44" s="1902"/>
      <c r="H44" s="385">
        <f>SUMIF(125:125,G44,126:126)-SUMIF(125:125,C44,126:126)+100</f>
        <v>100</v>
      </c>
      <c r="I44" s="1902"/>
      <c r="J44" s="385">
        <f>SUMIF(125:125,I44,126:126)-SUMIF(125:125,C44,126:126)+100</f>
        <v>100</v>
      </c>
      <c r="K44" s="560"/>
      <c r="L44" s="2718"/>
      <c r="M44" s="2712"/>
      <c r="N44" s="2712"/>
      <c r="O44" s="2712"/>
      <c r="P44" s="3746"/>
      <c r="Q44" s="1348" t="str">
        <f t="shared" si="11"/>
        <v>内部装修维护情况</v>
      </c>
      <c r="R44" s="703" t="s">
        <v>14</v>
      </c>
      <c r="S44" s="704">
        <f t="shared" si="12"/>
        <v>100</v>
      </c>
      <c r="T44" s="703" t="s">
        <v>14</v>
      </c>
      <c r="U44" s="704">
        <f t="shared" si="13"/>
        <v>100</v>
      </c>
      <c r="V44" s="703" t="s">
        <v>14</v>
      </c>
      <c r="W44" s="704">
        <f t="shared" si="14"/>
        <v>100</v>
      </c>
      <c r="X44" s="1351"/>
      <c r="Y44" s="3748"/>
      <c r="Z44" s="1352" t="str">
        <f t="shared" si="15"/>
        <v>内部装修维护情况</v>
      </c>
      <c r="AA44" s="1349">
        <f t="shared" si="3"/>
        <v>1</v>
      </c>
      <c r="AB44" s="1349">
        <f t="shared" si="4"/>
        <v>1</v>
      </c>
      <c r="AC44" s="1958">
        <f t="shared" si="5"/>
        <v>1</v>
      </c>
    </row>
    <row r="45" spans="1:29" s="108" customFormat="1" ht="15">
      <c r="A45" s="423"/>
      <c r="B45" s="1129">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3"/>
      <c r="M45" s="2714"/>
      <c r="N45" s="2714"/>
      <c r="O45" s="2714"/>
      <c r="P45" s="3746"/>
      <c r="Q45" s="1339">
        <f t="shared" si="11"/>
        <v>111</v>
      </c>
      <c r="R45" s="699" t="s">
        <v>14</v>
      </c>
      <c r="S45" s="700">
        <f t="shared" si="12"/>
        <v>100</v>
      </c>
      <c r="T45" s="699" t="s">
        <v>14</v>
      </c>
      <c r="U45" s="700">
        <f t="shared" si="13"/>
        <v>100</v>
      </c>
      <c r="V45" s="699" t="s">
        <v>14</v>
      </c>
      <c r="W45" s="700">
        <f t="shared" si="14"/>
        <v>100</v>
      </c>
      <c r="X45" s="701"/>
      <c r="Y45" s="3748"/>
      <c r="Z45" s="52">
        <f t="shared" si="15"/>
        <v>111</v>
      </c>
      <c r="AA45" s="702">
        <f t="shared" si="3"/>
        <v>1</v>
      </c>
      <c r="AB45" s="702">
        <f t="shared" si="4"/>
        <v>1</v>
      </c>
      <c r="AC45" s="1955">
        <f t="shared" si="5"/>
        <v>1</v>
      </c>
    </row>
    <row r="46" spans="1:29" ht="15">
      <c r="A46" s="422"/>
      <c r="B46" s="1129">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8"/>
      <c r="M46" s="2712"/>
      <c r="N46" s="2712"/>
      <c r="O46" s="2712"/>
      <c r="P46" s="3746"/>
      <c r="Q46" s="1348">
        <f t="shared" si="11"/>
        <v>111</v>
      </c>
      <c r="R46" s="703" t="s">
        <v>14</v>
      </c>
      <c r="S46" s="704">
        <f t="shared" si="12"/>
        <v>100</v>
      </c>
      <c r="T46" s="703" t="s">
        <v>14</v>
      </c>
      <c r="U46" s="704">
        <f t="shared" si="13"/>
        <v>100</v>
      </c>
      <c r="V46" s="703" t="s">
        <v>14</v>
      </c>
      <c r="W46" s="704">
        <f t="shared" si="14"/>
        <v>100</v>
      </c>
      <c r="X46" s="1351"/>
      <c r="Y46" s="3748"/>
      <c r="Z46" s="1352">
        <f t="shared" si="15"/>
        <v>111</v>
      </c>
      <c r="AA46" s="1349">
        <f t="shared" si="3"/>
        <v>1</v>
      </c>
      <c r="AB46" s="1349">
        <f t="shared" si="4"/>
        <v>1</v>
      </c>
      <c r="AC46" s="1958">
        <f t="shared" si="5"/>
        <v>1</v>
      </c>
    </row>
    <row r="47" spans="1:29" ht="15.6" thickBot="1">
      <c r="A47" s="428"/>
      <c r="B47" s="1891">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8"/>
      <c r="M47" s="2712"/>
      <c r="N47" s="2712"/>
      <c r="O47" s="2712"/>
      <c r="P47" s="3747"/>
      <c r="Q47" s="1348">
        <f t="shared" si="11"/>
        <v>111</v>
      </c>
      <c r="R47" s="703" t="s">
        <v>14</v>
      </c>
      <c r="S47" s="704">
        <f t="shared" si="12"/>
        <v>100</v>
      </c>
      <c r="T47" s="703" t="s">
        <v>14</v>
      </c>
      <c r="U47" s="704">
        <f t="shared" si="13"/>
        <v>100</v>
      </c>
      <c r="V47" s="703" t="s">
        <v>14</v>
      </c>
      <c r="W47" s="704">
        <f t="shared" si="14"/>
        <v>100</v>
      </c>
      <c r="X47" s="1351"/>
      <c r="Y47" s="3749"/>
      <c r="Z47" s="1352">
        <f t="shared" si="15"/>
        <v>111</v>
      </c>
      <c r="AA47" s="1349">
        <f t="shared" si="3"/>
        <v>1</v>
      </c>
      <c r="AB47" s="1349">
        <f t="shared" si="4"/>
        <v>1</v>
      </c>
      <c r="AC47" s="1958">
        <f t="shared" si="5"/>
        <v>1</v>
      </c>
    </row>
    <row r="48" spans="1:29" ht="14.4">
      <c r="A48" s="429" t="s">
        <v>1708</v>
      </c>
      <c r="B48" s="430"/>
      <c r="C48" s="1150" t="s">
        <v>0</v>
      </c>
      <c r="D48" s="1151"/>
      <c r="E48" s="1152"/>
      <c r="F48" s="1153"/>
      <c r="G48" s="1154"/>
      <c r="H48" s="1155"/>
      <c r="I48" s="1152"/>
      <c r="J48" s="435"/>
      <c r="K48" s="712"/>
      <c r="L48" s="2720"/>
      <c r="M48" s="2712"/>
      <c r="N48" s="2712"/>
      <c r="O48" s="2712"/>
      <c r="P48" s="3723" t="str">
        <f>A48</f>
        <v>成交单价（元/平方米）</v>
      </c>
      <c r="Q48" s="3741"/>
      <c r="R48" s="3742">
        <f>E48</f>
        <v>0</v>
      </c>
      <c r="S48" s="3742"/>
      <c r="T48" s="3742">
        <f>G48</f>
        <v>0</v>
      </c>
      <c r="U48" s="3742"/>
      <c r="V48" s="3742">
        <f>I48</f>
        <v>0</v>
      </c>
      <c r="W48" s="3742"/>
      <c r="X48" s="396"/>
      <c r="Y48" s="710"/>
      <c r="Z48" s="396"/>
      <c r="AA48" s="396"/>
      <c r="AB48" s="396"/>
      <c r="AC48" s="577"/>
    </row>
    <row r="49" spans="1:29" ht="15" thickBot="1">
      <c r="A49" s="436" t="s">
        <v>1793</v>
      </c>
      <c r="B49" s="437"/>
      <c r="C49" s="1156" t="e">
        <f>R50</f>
        <v>#DIV/0!</v>
      </c>
      <c r="D49" s="2313" t="s">
        <v>2138</v>
      </c>
      <c r="E49" s="1157" t="e">
        <f>R49</f>
        <v>#DIV/0!</v>
      </c>
      <c r="F49" s="2314"/>
      <c r="G49" s="1156" t="e">
        <f>T49</f>
        <v>#DIV/0!</v>
      </c>
      <c r="H49" s="2314"/>
      <c r="I49" s="1157" t="e">
        <f>V49</f>
        <v>#DIV/0!</v>
      </c>
      <c r="J49" s="2314"/>
      <c r="K49" s="2316">
        <f>F49+H49+J49</f>
        <v>0</v>
      </c>
      <c r="L49" s="2720"/>
      <c r="M49" s="2712"/>
      <c r="N49" s="2712"/>
      <c r="O49" s="2712"/>
      <c r="P49" s="3723" t="str">
        <f>A49</f>
        <v>比较价值（元/平方米）</v>
      </c>
      <c r="Q49" s="3741"/>
      <c r="R49" s="3742" t="e">
        <f>IF(F1="售价",ROUND(PRODUCT(R48,AA7:AA47),0),ROUND(PRODUCT(R48,AA7:AA47),1))</f>
        <v>#DIV/0!</v>
      </c>
      <c r="S49" s="3742"/>
      <c r="T49" s="3742" t="e">
        <f>IF(F1="售价",ROUND(PRODUCT(T48,AB7:AB47),0),ROUND(PRODUCT(T48,AB7:AB47),1))</f>
        <v>#DIV/0!</v>
      </c>
      <c r="U49" s="3742"/>
      <c r="V49" s="3742" t="e">
        <f>IF(F1="售价",ROUND(PRODUCT(V48,AC7:AC47),0),ROUND(PRODUCT(V48,AC7:AC47),1))</f>
        <v>#DIV/0!</v>
      </c>
      <c r="W49" s="3742"/>
      <c r="X49" s="396"/>
      <c r="Y49" s="396"/>
      <c r="Z49" s="396"/>
      <c r="AA49" s="396"/>
      <c r="AB49" s="396"/>
      <c r="AC49" s="577"/>
    </row>
    <row r="50" spans="1:29" ht="15" thickBot="1">
      <c r="A50" s="440" t="s">
        <v>1794</v>
      </c>
      <c r="B50" s="441"/>
      <c r="C50" s="1159" t="e">
        <f>R50</f>
        <v>#DIV/0!</v>
      </c>
      <c r="D50" s="1159"/>
      <c r="E50" s="1159"/>
      <c r="F50" s="1159"/>
      <c r="G50" s="1159"/>
      <c r="H50" s="1159"/>
      <c r="I50" s="1159"/>
      <c r="J50" s="442"/>
      <c r="K50" s="713"/>
      <c r="L50" s="2720"/>
      <c r="M50" s="2712"/>
      <c r="N50" s="2712"/>
      <c r="O50" s="2712"/>
      <c r="P50" s="3764" t="str">
        <f>A50</f>
        <v>估价对象XX用房的比较价值（楼面单价，元/平方米）</v>
      </c>
      <c r="Q50" s="3765"/>
      <c r="R50" s="3766" t="e">
        <f>IF(F1="售价",ROUND(IF(D49="简单平均",AVERAGE(R49:V49),R49*F49+T49*H49+V49*J49),0),ROUND(IF(D49="简单平均",AVERAGE(R49:V49),R49*F49+T49*H49+V49*J49),1))</f>
        <v>#DIV/0!</v>
      </c>
      <c r="S50" s="3766"/>
      <c r="T50" s="3766"/>
      <c r="U50" s="3766"/>
      <c r="V50" s="3766"/>
      <c r="W50" s="3766"/>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0" customFormat="1" ht="13.5" customHeight="1">
      <c r="A55" s="2724"/>
      <c r="B55" s="2724"/>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0"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2.2" thickBot="1">
      <c r="A58" s="692" t="s">
        <v>1798</v>
      </c>
      <c r="B58" s="688"/>
      <c r="C58" s="693"/>
      <c r="D58" s="693"/>
      <c r="E58" s="693"/>
      <c r="F58" s="694"/>
      <c r="G58" s="694"/>
      <c r="H58" s="693"/>
      <c r="I58" s="693"/>
      <c r="J58" s="693"/>
      <c r="K58" s="695"/>
      <c r="L58" s="938"/>
      <c r="M58" s="936"/>
      <c r="N58" s="2765"/>
      <c r="O58" s="2765"/>
      <c r="P58" s="2754"/>
      <c r="Q58" s="2735"/>
      <c r="R58" s="2721"/>
      <c r="S58" s="2721"/>
      <c r="T58" s="2721"/>
      <c r="U58" s="2721"/>
      <c r="V58" s="2721"/>
      <c r="W58" s="2721"/>
      <c r="X58" s="2721"/>
      <c r="Y58" s="2721"/>
      <c r="Z58" s="2721"/>
      <c r="AA58" s="2721"/>
      <c r="AB58" s="2721"/>
      <c r="AC58" s="2721"/>
    </row>
    <row r="59" spans="1:29" s="456" customFormat="1" ht="14.4">
      <c r="A59" s="453" t="s">
        <v>1679</v>
      </c>
      <c r="B59" s="454"/>
      <c r="C59" s="1180" t="str">
        <f>YEAR(C7)&amp;"-"&amp;MONTH(C7)</f>
        <v>2023-3</v>
      </c>
      <c r="D59" s="1181">
        <f>EDATE(C59,-1)</f>
        <v>44958</v>
      </c>
      <c r="E59" s="1181">
        <f>EDATE(D59,-1)</f>
        <v>44927</v>
      </c>
      <c r="F59" s="1181">
        <f t="shared" ref="F59:O59" si="16">EDATE(E59,-1)</f>
        <v>44896</v>
      </c>
      <c r="G59" s="1181">
        <f t="shared" si="16"/>
        <v>44866</v>
      </c>
      <c r="H59" s="1181">
        <f t="shared" si="16"/>
        <v>44835</v>
      </c>
      <c r="I59" s="1181">
        <f t="shared" si="16"/>
        <v>44805</v>
      </c>
      <c r="J59" s="1181">
        <f t="shared" si="16"/>
        <v>44774</v>
      </c>
      <c r="K59" s="1181">
        <f t="shared" si="16"/>
        <v>44743</v>
      </c>
      <c r="L59" s="1181">
        <f t="shared" si="16"/>
        <v>44713</v>
      </c>
      <c r="M59" s="1181">
        <f t="shared" si="16"/>
        <v>44682</v>
      </c>
      <c r="N59" s="1181">
        <f t="shared" si="16"/>
        <v>44652</v>
      </c>
      <c r="O59" s="1181">
        <f t="shared" si="16"/>
        <v>44621</v>
      </c>
      <c r="P59" s="2755"/>
      <c r="Q59" s="2737"/>
      <c r="R59" s="2737"/>
      <c r="S59" s="2737"/>
      <c r="T59" s="2737"/>
      <c r="U59" s="2737"/>
      <c r="V59" s="2737"/>
      <c r="W59" s="2737"/>
      <c r="X59" s="2737"/>
      <c r="Y59" s="2737"/>
      <c r="Z59" s="2737"/>
      <c r="AA59" s="2737"/>
      <c r="AB59" s="2737"/>
      <c r="AC59" s="2737"/>
    </row>
    <row r="60" spans="1:29" s="108" customFormat="1">
      <c r="A60" s="457"/>
      <c r="B60" s="458"/>
      <c r="C60" s="1179">
        <v>100</v>
      </c>
      <c r="D60" s="460"/>
      <c r="E60" s="460"/>
      <c r="F60" s="460"/>
      <c r="G60" s="460"/>
      <c r="H60" s="460"/>
      <c r="I60" s="460"/>
      <c r="J60" s="460"/>
      <c r="K60" s="460"/>
      <c r="L60" s="460"/>
      <c r="M60" s="461"/>
      <c r="N60" s="460"/>
      <c r="O60" s="461"/>
      <c r="P60" s="2756"/>
      <c r="Q60" s="2657"/>
      <c r="R60" s="2657"/>
      <c r="S60" s="2657"/>
      <c r="T60" s="2657"/>
      <c r="U60" s="2657"/>
      <c r="V60" s="2657"/>
      <c r="W60" s="2657"/>
      <c r="X60" s="2657"/>
      <c r="Y60" s="2657"/>
      <c r="Z60" s="2657"/>
      <c r="AA60" s="2657"/>
      <c r="AB60" s="2657"/>
      <c r="AC60" s="2657"/>
    </row>
    <row r="61" spans="1:29" s="108" customFormat="1" ht="15" thickBot="1">
      <c r="A61" s="463" t="s">
        <v>1716</v>
      </c>
      <c r="B61" s="464"/>
      <c r="C61" s="465"/>
      <c r="D61" s="466"/>
      <c r="E61" s="466"/>
      <c r="F61" s="466"/>
      <c r="G61" s="466"/>
      <c r="H61" s="466"/>
      <c r="I61" s="466"/>
      <c r="J61" s="466"/>
      <c r="K61" s="466"/>
      <c r="L61" s="466"/>
      <c r="M61" s="467"/>
      <c r="N61" s="466"/>
      <c r="O61" s="467"/>
      <c r="P61" s="2756"/>
      <c r="Q61" s="2735"/>
      <c r="R61" s="2657"/>
      <c r="S61" s="2657"/>
      <c r="T61" s="2657"/>
      <c r="U61" s="2657"/>
      <c r="V61" s="2657"/>
      <c r="W61" s="2657"/>
      <c r="X61" s="2657"/>
      <c r="Y61" s="2657"/>
      <c r="Z61" s="2657"/>
      <c r="AA61" s="2657"/>
      <c r="AB61" s="2657"/>
      <c r="AC61" s="2657"/>
    </row>
    <row r="62" spans="1:29" s="108" customFormat="1" ht="14.4">
      <c r="A62" s="469" t="s">
        <v>1681</v>
      </c>
      <c r="B62" s="458"/>
      <c r="C62" s="470" t="s">
        <v>1776</v>
      </c>
      <c r="D62" s="471"/>
      <c r="E62" s="471"/>
      <c r="F62" s="471"/>
      <c r="G62" s="471"/>
      <c r="H62" s="471"/>
      <c r="I62" s="471"/>
      <c r="J62" s="471"/>
      <c r="K62" s="471"/>
      <c r="L62" s="472"/>
      <c r="M62" s="473"/>
      <c r="N62" s="2748"/>
      <c r="O62" s="2748"/>
      <c r="P62" s="2757"/>
      <c r="Q62" s="2735"/>
      <c r="R62" s="2657"/>
      <c r="S62" s="2657"/>
      <c r="T62" s="2657"/>
      <c r="U62" s="2657"/>
      <c r="V62" s="2657"/>
      <c r="W62" s="2657"/>
      <c r="X62" s="2657"/>
      <c r="Y62" s="2657"/>
      <c r="Z62" s="2657"/>
      <c r="AA62" s="2657"/>
      <c r="AB62" s="2657"/>
      <c r="AC62" s="2657"/>
    </row>
    <row r="63" spans="1:29" s="108" customFormat="1" ht="14.4" thickBot="1">
      <c r="A63" s="469"/>
      <c r="B63" s="458"/>
      <c r="C63" s="459">
        <v>100</v>
      </c>
      <c r="D63" s="460"/>
      <c r="E63" s="460"/>
      <c r="F63" s="460"/>
      <c r="G63" s="460"/>
      <c r="H63" s="460"/>
      <c r="I63" s="460"/>
      <c r="J63" s="460"/>
      <c r="K63" s="460"/>
      <c r="L63" s="460"/>
      <c r="M63" s="462"/>
      <c r="N63" s="2748"/>
      <c r="O63" s="2748"/>
      <c r="P63" s="2756"/>
      <c r="Q63" s="2735"/>
      <c r="R63" s="2657"/>
      <c r="S63" s="2657"/>
      <c r="T63" s="2657"/>
      <c r="U63" s="2657"/>
      <c r="V63" s="2657"/>
      <c r="W63" s="2657"/>
      <c r="X63" s="2657"/>
      <c r="Y63" s="2657"/>
      <c r="Z63" s="2657"/>
      <c r="AA63" s="2657"/>
      <c r="AB63" s="2657"/>
      <c r="AC63" s="2657"/>
    </row>
    <row r="64" spans="1:29" ht="14.4">
      <c r="A64" s="475" t="s">
        <v>1719</v>
      </c>
      <c r="B64" s="476" t="s">
        <v>1685</v>
      </c>
      <c r="C64" s="477">
        <f>C9</f>
        <v>0</v>
      </c>
      <c r="D64" s="478"/>
      <c r="E64" s="478"/>
      <c r="F64" s="478"/>
      <c r="G64" s="478"/>
      <c r="H64" s="478"/>
      <c r="I64" s="478"/>
      <c r="J64" s="478"/>
      <c r="K64" s="479"/>
      <c r="L64" s="480"/>
      <c r="M64" s="481"/>
      <c r="N64" s="2749"/>
      <c r="O64" s="2749"/>
      <c r="P64" s="2758"/>
      <c r="Q64" s="2735"/>
      <c r="R64" s="2721"/>
      <c r="S64" s="2721"/>
      <c r="T64" s="2721"/>
      <c r="U64" s="2721"/>
      <c r="V64" s="2721"/>
      <c r="W64" s="2721"/>
      <c r="X64" s="2721"/>
      <c r="Y64" s="2721"/>
      <c r="Z64" s="2721"/>
      <c r="AA64" s="2721"/>
      <c r="AB64" s="2721"/>
      <c r="AC64" s="2721"/>
    </row>
    <row r="65" spans="1:29" ht="14.4" thickBot="1">
      <c r="A65" s="482"/>
      <c r="B65" s="483"/>
      <c r="C65" s="484">
        <v>100</v>
      </c>
      <c r="D65" s="484"/>
      <c r="E65" s="484"/>
      <c r="F65" s="484"/>
      <c r="G65" s="484"/>
      <c r="H65" s="484"/>
      <c r="I65" s="484"/>
      <c r="J65" s="484"/>
      <c r="K65" s="484"/>
      <c r="L65" s="484"/>
      <c r="M65" s="485"/>
      <c r="N65" s="2750"/>
      <c r="O65" s="2750"/>
      <c r="P65" s="2758"/>
      <c r="Q65" s="2735"/>
      <c r="R65" s="2721"/>
      <c r="S65" s="2721"/>
      <c r="T65" s="2721"/>
      <c r="U65" s="2721"/>
      <c r="V65" s="2721"/>
      <c r="W65" s="2721"/>
      <c r="X65" s="2721"/>
      <c r="Y65" s="2721"/>
      <c r="Z65" s="2721"/>
      <c r="AA65" s="2721"/>
      <c r="AB65" s="2721"/>
      <c r="AC65" s="2721"/>
    </row>
    <row r="66" spans="1:29" ht="29.4" thickTop="1">
      <c r="A66" s="482"/>
      <c r="B66" s="486" t="s">
        <v>1688</v>
      </c>
      <c r="C66" s="531"/>
      <c r="D66" s="531"/>
      <c r="E66" s="531"/>
      <c r="F66" s="531"/>
      <c r="G66" s="531"/>
      <c r="H66" s="531"/>
      <c r="I66" s="531"/>
      <c r="J66" s="531"/>
      <c r="K66" s="532"/>
      <c r="L66" s="533"/>
      <c r="M66" s="534"/>
      <c r="N66" s="2749"/>
      <c r="O66" s="2749"/>
      <c r="P66" s="2758"/>
      <c r="Q66" s="2735"/>
      <c r="R66" s="2721"/>
      <c r="S66" s="2721"/>
      <c r="T66" s="2721"/>
      <c r="U66" s="2721"/>
      <c r="V66" s="2721"/>
      <c r="W66" s="2721"/>
      <c r="X66" s="2721"/>
      <c r="Y66" s="2721"/>
      <c r="Z66" s="2721"/>
      <c r="AA66" s="2721"/>
      <c r="AB66" s="2721"/>
      <c r="AC66" s="2721"/>
    </row>
    <row r="67" spans="1:29" ht="14.4" thickBot="1">
      <c r="A67" s="482"/>
      <c r="B67" s="491"/>
      <c r="C67" s="484"/>
      <c r="D67" s="484"/>
      <c r="E67" s="484"/>
      <c r="F67" s="484"/>
      <c r="G67" s="484"/>
      <c r="H67" s="484"/>
      <c r="I67" s="484"/>
      <c r="J67" s="484"/>
      <c r="K67" s="484"/>
      <c r="L67" s="484"/>
      <c r="M67" s="485"/>
      <c r="N67" s="2750"/>
      <c r="O67" s="2750"/>
      <c r="P67" s="2758"/>
      <c r="Q67" s="2735"/>
      <c r="R67" s="2721"/>
      <c r="S67" s="2721"/>
      <c r="T67" s="2721"/>
      <c r="U67" s="2721"/>
      <c r="V67" s="2721"/>
      <c r="W67" s="2721"/>
      <c r="X67" s="2721"/>
      <c r="Y67" s="2721"/>
      <c r="Z67" s="2721"/>
      <c r="AA67" s="2721"/>
      <c r="AB67" s="2721"/>
      <c r="AC67" s="2721"/>
    </row>
    <row r="68" spans="1:29" ht="1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0"/>
      <c r="O68" s="2750"/>
      <c r="P68" s="2758"/>
      <c r="Q68" s="2735"/>
      <c r="R68" s="2721"/>
      <c r="S68" s="2721"/>
      <c r="T68" s="2721"/>
      <c r="U68" s="2721"/>
      <c r="V68" s="2721"/>
      <c r="W68" s="2721"/>
      <c r="X68" s="2721"/>
      <c r="Y68" s="2721"/>
      <c r="Z68" s="2721"/>
      <c r="AA68" s="2721"/>
      <c r="AB68" s="2721"/>
      <c r="AC68" s="2721"/>
    </row>
    <row r="69" spans="1:29">
      <c r="A69" s="482"/>
      <c r="B69" s="496"/>
      <c r="C69" s="497">
        <v>0</v>
      </c>
      <c r="D69" s="497">
        <v>3</v>
      </c>
      <c r="E69" s="497"/>
      <c r="F69" s="497"/>
      <c r="G69" s="497"/>
      <c r="H69" s="497"/>
      <c r="I69" s="497"/>
      <c r="J69" s="497"/>
      <c r="K69" s="498"/>
      <c r="L69" s="499"/>
      <c r="M69" s="500"/>
      <c r="N69" s="2749"/>
      <c r="O69" s="2749"/>
      <c r="P69" s="2758"/>
      <c r="Q69" s="2735"/>
      <c r="R69" s="2721"/>
      <c r="S69" s="2721"/>
      <c r="T69" s="2721"/>
      <c r="U69" s="2721"/>
      <c r="V69" s="2721"/>
      <c r="W69" s="2721"/>
      <c r="X69" s="2721"/>
      <c r="Y69" s="2721"/>
      <c r="Z69" s="2721"/>
      <c r="AA69" s="2721"/>
      <c r="AB69" s="2721"/>
      <c r="AC69" s="2721"/>
    </row>
    <row r="70" spans="1:29" ht="14.4"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0"/>
      <c r="O70" s="2750"/>
      <c r="P70" s="2758"/>
      <c r="Q70" s="2735"/>
      <c r="R70" s="2721"/>
      <c r="S70" s="2721"/>
      <c r="T70" s="2721"/>
      <c r="U70" s="2721"/>
      <c r="V70" s="2721"/>
      <c r="W70" s="2721"/>
      <c r="X70" s="2721"/>
      <c r="Y70" s="2721"/>
      <c r="Z70" s="2721"/>
      <c r="AA70" s="2721"/>
      <c r="AB70" s="2721"/>
      <c r="AC70" s="2721"/>
    </row>
    <row r="71" spans="1:29" s="421" customFormat="1" ht="14.4" thickTop="1">
      <c r="A71" s="501"/>
      <c r="B71" s="486">
        <f>B12</f>
        <v>111</v>
      </c>
      <c r="C71" s="502"/>
      <c r="D71" s="502"/>
      <c r="E71" s="502"/>
      <c r="F71" s="502"/>
      <c r="G71" s="502"/>
      <c r="H71" s="503"/>
      <c r="I71" s="503"/>
      <c r="J71" s="503"/>
      <c r="K71" s="503"/>
      <c r="L71" s="504"/>
      <c r="M71" s="505"/>
      <c r="N71" s="2751"/>
      <c r="O71" s="2751"/>
      <c r="P71" s="2759"/>
      <c r="Q71" s="2742"/>
      <c r="R71" s="2743"/>
      <c r="S71" s="2743"/>
      <c r="T71" s="2743"/>
      <c r="U71" s="2743"/>
      <c r="V71" s="2743"/>
      <c r="W71" s="2743"/>
      <c r="X71" s="2743"/>
      <c r="Y71" s="2743"/>
      <c r="Z71" s="2743"/>
      <c r="AA71" s="2743"/>
      <c r="AB71" s="2743"/>
      <c r="AC71" s="2743"/>
    </row>
    <row r="72" spans="1:29" s="421" customFormat="1" ht="14.4" thickBot="1">
      <c r="A72" s="501"/>
      <c r="B72" s="491"/>
      <c r="C72" s="508"/>
      <c r="D72" s="484"/>
      <c r="E72" s="484"/>
      <c r="F72" s="484"/>
      <c r="G72" s="484"/>
      <c r="H72" s="484"/>
      <c r="I72" s="484"/>
      <c r="J72" s="484"/>
      <c r="K72" s="484"/>
      <c r="L72" s="484"/>
      <c r="M72" s="485"/>
      <c r="N72" s="2750"/>
      <c r="O72" s="2750"/>
      <c r="P72" s="2759"/>
      <c r="Q72" s="2742"/>
      <c r="R72" s="2743"/>
      <c r="S72" s="2743"/>
      <c r="T72" s="2743"/>
      <c r="U72" s="2743"/>
      <c r="V72" s="2743"/>
      <c r="W72" s="2743"/>
      <c r="X72" s="2743"/>
      <c r="Y72" s="2743"/>
      <c r="Z72" s="2743"/>
      <c r="AA72" s="2743"/>
      <c r="AB72" s="2743"/>
      <c r="AC72" s="2743"/>
    </row>
    <row r="73" spans="1:29" s="421" customFormat="1" ht="14.4" thickTop="1">
      <c r="A73" s="501"/>
      <c r="B73" s="486">
        <f>B13</f>
        <v>111</v>
      </c>
      <c r="C73" s="502"/>
      <c r="D73" s="502"/>
      <c r="E73" s="502"/>
      <c r="F73" s="502"/>
      <c r="G73" s="502"/>
      <c r="H73" s="503"/>
      <c r="I73" s="503"/>
      <c r="J73" s="503"/>
      <c r="K73" s="503"/>
      <c r="L73" s="504"/>
      <c r="M73" s="505"/>
      <c r="N73" s="2751"/>
      <c r="O73" s="2751"/>
      <c r="P73" s="2760"/>
      <c r="Q73" s="2745"/>
      <c r="R73" s="2743"/>
      <c r="S73" s="2743"/>
      <c r="T73" s="2743"/>
      <c r="U73" s="2743"/>
      <c r="V73" s="2743"/>
      <c r="W73" s="2743"/>
      <c r="X73" s="2743"/>
      <c r="Y73" s="2743"/>
      <c r="Z73" s="2743"/>
      <c r="AA73" s="2743"/>
      <c r="AB73" s="2743"/>
      <c r="AC73" s="2743"/>
    </row>
    <row r="74" spans="1:29" s="421" customFormat="1" ht="14.4" thickBot="1">
      <c r="A74" s="501"/>
      <c r="B74" s="491"/>
      <c r="C74" s="508"/>
      <c r="D74" s="508"/>
      <c r="E74" s="508"/>
      <c r="F74" s="508"/>
      <c r="G74" s="508"/>
      <c r="H74" s="510"/>
      <c r="I74" s="510"/>
      <c r="J74" s="510"/>
      <c r="K74" s="510"/>
      <c r="L74" s="510"/>
      <c r="M74" s="511"/>
      <c r="N74" s="2751"/>
      <c r="O74" s="2751"/>
      <c r="P74" s="2759"/>
      <c r="Q74" s="2742"/>
      <c r="R74" s="2743"/>
      <c r="S74" s="2743"/>
      <c r="T74" s="2743"/>
      <c r="U74" s="2743"/>
      <c r="V74" s="2743"/>
      <c r="W74" s="2743"/>
      <c r="X74" s="2743"/>
      <c r="Y74" s="2743"/>
      <c r="Z74" s="2743"/>
      <c r="AA74" s="2743"/>
      <c r="AB74" s="2743"/>
      <c r="AC74" s="2743"/>
    </row>
    <row r="75" spans="1:29" s="421" customFormat="1" ht="14.4" thickTop="1">
      <c r="A75" s="501"/>
      <c r="B75" s="494">
        <f>B14</f>
        <v>111</v>
      </c>
      <c r="C75" s="471"/>
      <c r="D75" s="471"/>
      <c r="E75" s="471"/>
      <c r="F75" s="471"/>
      <c r="G75" s="471"/>
      <c r="H75" s="512"/>
      <c r="I75" s="512"/>
      <c r="J75" s="512"/>
      <c r="K75" s="512"/>
      <c r="L75" s="513"/>
      <c r="M75" s="514"/>
      <c r="N75" s="2751"/>
      <c r="O75" s="2751"/>
      <c r="P75" s="2761"/>
      <c r="Q75" s="2742"/>
      <c r="R75" s="2743"/>
      <c r="S75" s="2743"/>
      <c r="T75" s="2743"/>
      <c r="U75" s="2743"/>
      <c r="V75" s="2743"/>
      <c r="W75" s="2743"/>
      <c r="X75" s="2743"/>
      <c r="Y75" s="2743"/>
      <c r="Z75" s="2743"/>
      <c r="AA75" s="2743"/>
      <c r="AB75" s="2743"/>
      <c r="AC75" s="2743"/>
    </row>
    <row r="76" spans="1:29" s="421" customFormat="1" ht="14.4" thickBot="1">
      <c r="A76" s="516"/>
      <c r="B76" s="517"/>
      <c r="C76" s="518"/>
      <c r="D76" s="518"/>
      <c r="E76" s="518"/>
      <c r="F76" s="518"/>
      <c r="G76" s="518"/>
      <c r="H76" s="519"/>
      <c r="I76" s="519"/>
      <c r="J76" s="519"/>
      <c r="K76" s="519"/>
      <c r="L76" s="519"/>
      <c r="M76" s="520"/>
      <c r="N76" s="2751"/>
      <c r="O76" s="2751"/>
      <c r="P76" s="2759"/>
      <c r="Q76" s="2742"/>
      <c r="R76" s="2743"/>
      <c r="S76" s="2743"/>
      <c r="T76" s="2743"/>
      <c r="U76" s="2743"/>
      <c r="V76" s="2743"/>
      <c r="W76" s="2743"/>
      <c r="X76" s="2743"/>
      <c r="Y76" s="2743"/>
      <c r="Z76" s="2743"/>
      <c r="AA76" s="2743"/>
      <c r="AB76" s="2743"/>
      <c r="AC76" s="2743"/>
    </row>
    <row r="77" spans="1:29" ht="14.4">
      <c r="A77" s="475" t="s">
        <v>1690</v>
      </c>
      <c r="B77" s="476" t="s">
        <v>1821</v>
      </c>
      <c r="C77" s="521" t="s">
        <v>1721</v>
      </c>
      <c r="D77" s="521" t="s">
        <v>1722</v>
      </c>
      <c r="E77" s="521" t="s">
        <v>1723</v>
      </c>
      <c r="F77" s="521" t="s">
        <v>1724</v>
      </c>
      <c r="G77" s="521" t="s">
        <v>1725</v>
      </c>
      <c r="H77" s="477"/>
      <c r="I77" s="477"/>
      <c r="J77" s="477"/>
      <c r="K77" s="522"/>
      <c r="L77" s="523"/>
      <c r="M77" s="524"/>
      <c r="N77" s="2749"/>
      <c r="O77" s="2749"/>
      <c r="P77" s="2762"/>
      <c r="Q77" s="2735"/>
      <c r="R77" s="2721"/>
      <c r="S77" s="2721"/>
      <c r="T77" s="2721"/>
      <c r="U77" s="2721"/>
      <c r="V77" s="2721"/>
      <c r="W77" s="2721"/>
      <c r="X77" s="2721"/>
      <c r="Y77" s="2721"/>
      <c r="Z77" s="2721"/>
      <c r="AA77" s="2721"/>
      <c r="AB77" s="2721"/>
      <c r="AC77" s="2721"/>
    </row>
    <row r="78" spans="1:29" ht="14.4" thickBot="1">
      <c r="A78" s="482"/>
      <c r="B78" s="491"/>
      <c r="C78" s="492">
        <v>100</v>
      </c>
      <c r="D78" s="492">
        <f>C78-$K15</f>
        <v>100</v>
      </c>
      <c r="E78" s="492">
        <f>D78-$K15</f>
        <v>100</v>
      </c>
      <c r="F78" s="492">
        <f>E78-$K15</f>
        <v>100</v>
      </c>
      <c r="G78" s="492">
        <f>F78-$K15</f>
        <v>100</v>
      </c>
      <c r="H78" s="492"/>
      <c r="I78" s="492"/>
      <c r="J78" s="492"/>
      <c r="K78" s="492"/>
      <c r="L78" s="492"/>
      <c r="M78" s="493"/>
      <c r="N78" s="2750"/>
      <c r="O78" s="2750"/>
      <c r="P78" s="2758"/>
      <c r="Q78" s="2735"/>
      <c r="R78" s="2721"/>
      <c r="S78" s="2721"/>
      <c r="T78" s="2721"/>
      <c r="U78" s="2721"/>
      <c r="V78" s="2721"/>
      <c r="W78" s="2721"/>
      <c r="X78" s="2721"/>
      <c r="Y78" s="2721"/>
      <c r="Z78" s="2721"/>
      <c r="AA78" s="2721"/>
      <c r="AB78" s="2721"/>
      <c r="AC78" s="2721"/>
    </row>
    <row r="79" spans="1:29" ht="15" thickTop="1">
      <c r="A79" s="482"/>
      <c r="B79" s="486" t="s">
        <v>1726</v>
      </c>
      <c r="C79" s="526" t="s">
        <v>1721</v>
      </c>
      <c r="D79" s="526" t="s">
        <v>1722</v>
      </c>
      <c r="E79" s="526" t="s">
        <v>1723</v>
      </c>
      <c r="F79" s="526" t="s">
        <v>1724</v>
      </c>
      <c r="G79" s="526" t="s">
        <v>1725</v>
      </c>
      <c r="H79" s="487"/>
      <c r="I79" s="487"/>
      <c r="J79" s="487"/>
      <c r="K79" s="488"/>
      <c r="L79" s="489"/>
      <c r="M79" s="490"/>
      <c r="N79" s="2749"/>
      <c r="O79" s="2749"/>
      <c r="P79" s="2758"/>
      <c r="Q79" s="2735"/>
      <c r="R79" s="2721"/>
      <c r="S79" s="2721"/>
      <c r="T79" s="2721"/>
      <c r="U79" s="2721"/>
      <c r="V79" s="2721"/>
      <c r="W79" s="2721"/>
      <c r="X79" s="2721"/>
      <c r="Y79" s="2721"/>
      <c r="Z79" s="2721"/>
      <c r="AA79" s="2721"/>
      <c r="AB79" s="2721"/>
      <c r="AC79" s="2721"/>
    </row>
    <row r="80" spans="1:29" ht="14.4" thickBot="1">
      <c r="A80" s="482"/>
      <c r="B80" s="491"/>
      <c r="C80" s="492">
        <v>100</v>
      </c>
      <c r="D80" s="492">
        <f>C80-$K17</f>
        <v>100</v>
      </c>
      <c r="E80" s="492">
        <f>D80-$K17</f>
        <v>100</v>
      </c>
      <c r="F80" s="492">
        <f>E80-$K17</f>
        <v>100</v>
      </c>
      <c r="G80" s="492">
        <f>F80-$K17</f>
        <v>100</v>
      </c>
      <c r="H80" s="492"/>
      <c r="I80" s="492"/>
      <c r="J80" s="492"/>
      <c r="K80" s="492"/>
      <c r="L80" s="492"/>
      <c r="M80" s="493"/>
      <c r="N80" s="2750"/>
      <c r="O80" s="2750"/>
      <c r="P80" s="2758"/>
      <c r="Q80" s="2735"/>
      <c r="R80" s="2721"/>
      <c r="S80" s="2721"/>
      <c r="T80" s="2721"/>
      <c r="U80" s="2721"/>
      <c r="V80" s="2721"/>
      <c r="W80" s="2721"/>
      <c r="X80" s="2721"/>
      <c r="Y80" s="2721"/>
      <c r="Z80" s="2721"/>
      <c r="AA80" s="2721"/>
      <c r="AB80" s="2721"/>
      <c r="AC80" s="2721"/>
    </row>
    <row r="81" spans="1:29" ht="15" thickTop="1">
      <c r="A81" s="482"/>
      <c r="B81" s="486" t="s">
        <v>1727</v>
      </c>
      <c r="C81" s="526" t="s">
        <v>1721</v>
      </c>
      <c r="D81" s="526" t="s">
        <v>1722</v>
      </c>
      <c r="E81" s="526" t="s">
        <v>1723</v>
      </c>
      <c r="F81" s="526" t="s">
        <v>1724</v>
      </c>
      <c r="G81" s="526" t="s">
        <v>1725</v>
      </c>
      <c r="H81" s="487"/>
      <c r="I81" s="487"/>
      <c r="J81" s="487"/>
      <c r="K81" s="488"/>
      <c r="L81" s="489"/>
      <c r="M81" s="490"/>
      <c r="N81" s="2749"/>
      <c r="O81" s="2749"/>
      <c r="P81" s="2758"/>
      <c r="Q81" s="2735"/>
      <c r="R81" s="2721"/>
      <c r="S81" s="2721"/>
      <c r="T81" s="2721"/>
      <c r="U81" s="2721"/>
      <c r="V81" s="2721"/>
      <c r="W81" s="2721"/>
      <c r="X81" s="2721"/>
      <c r="Y81" s="2721"/>
      <c r="Z81" s="2721"/>
      <c r="AA81" s="2721"/>
      <c r="AB81" s="2721"/>
      <c r="AC81" s="2721"/>
    </row>
    <row r="82" spans="1:29" ht="14.4" thickBot="1">
      <c r="A82" s="482"/>
      <c r="B82" s="491"/>
      <c r="C82" s="492">
        <v>100</v>
      </c>
      <c r="D82" s="492">
        <f>C82-$K19</f>
        <v>100</v>
      </c>
      <c r="E82" s="492">
        <f>D82-$K19</f>
        <v>100</v>
      </c>
      <c r="F82" s="492">
        <f>E82-$K19</f>
        <v>100</v>
      </c>
      <c r="G82" s="492">
        <f>F82-$K19</f>
        <v>100</v>
      </c>
      <c r="H82" s="492"/>
      <c r="I82" s="492"/>
      <c r="J82" s="492"/>
      <c r="K82" s="492"/>
      <c r="L82" s="492"/>
      <c r="M82" s="493"/>
      <c r="N82" s="2750"/>
      <c r="O82" s="2750"/>
      <c r="P82" s="2758"/>
      <c r="Q82" s="2735"/>
      <c r="R82" s="2721"/>
      <c r="S82" s="2721"/>
      <c r="T82" s="2721"/>
      <c r="U82" s="2721"/>
      <c r="V82" s="2721"/>
      <c r="W82" s="2721"/>
      <c r="X82" s="2721"/>
      <c r="Y82" s="2721"/>
      <c r="Z82" s="2721"/>
      <c r="AA82" s="2721"/>
      <c r="AB82" s="2721"/>
      <c r="AC82" s="2721"/>
    </row>
    <row r="83" spans="1:29" ht="15" thickTop="1">
      <c r="A83" s="482"/>
      <c r="B83" s="494" t="s">
        <v>1813</v>
      </c>
      <c r="C83" s="607" t="s">
        <v>1799</v>
      </c>
      <c r="D83" s="607" t="s">
        <v>1800</v>
      </c>
      <c r="E83" s="607" t="s">
        <v>1801</v>
      </c>
      <c r="F83" s="607" t="s">
        <v>1802</v>
      </c>
      <c r="G83" s="607" t="s">
        <v>1803</v>
      </c>
      <c r="H83" s="487"/>
      <c r="I83" s="487"/>
      <c r="J83" s="487"/>
      <c r="K83" s="487"/>
      <c r="L83" s="487"/>
      <c r="M83" s="1125"/>
      <c r="N83" s="2750"/>
      <c r="O83" s="2750"/>
      <c r="P83" s="2758"/>
      <c r="Q83" s="2735"/>
      <c r="R83" s="2721"/>
      <c r="S83" s="2721"/>
      <c r="T83" s="2721"/>
      <c r="U83" s="2721"/>
      <c r="V83" s="2721"/>
      <c r="W83" s="2721"/>
      <c r="X83" s="2721"/>
      <c r="Y83" s="2721"/>
      <c r="Z83" s="2721"/>
      <c r="AA83" s="2721"/>
      <c r="AB83" s="2721"/>
      <c r="AC83" s="2721"/>
    </row>
    <row r="84" spans="1:29" ht="14.4" thickBot="1">
      <c r="A84" s="482"/>
      <c r="B84" s="494"/>
      <c r="C84" s="492">
        <v>100</v>
      </c>
      <c r="D84" s="492">
        <f>C84-$K21</f>
        <v>100</v>
      </c>
      <c r="E84" s="492">
        <f>D84-$K21</f>
        <v>100</v>
      </c>
      <c r="F84" s="492">
        <f>E84-$K21</f>
        <v>100</v>
      </c>
      <c r="G84" s="492">
        <f>F84-$K21</f>
        <v>100</v>
      </c>
      <c r="H84" s="607"/>
      <c r="I84" s="607"/>
      <c r="J84" s="607"/>
      <c r="K84" s="607"/>
      <c r="L84" s="607"/>
      <c r="M84" s="400"/>
      <c r="N84" s="2750"/>
      <c r="O84" s="2750"/>
      <c r="P84" s="2758"/>
      <c r="Q84" s="2735"/>
      <c r="R84" s="2721"/>
      <c r="S84" s="2721"/>
      <c r="T84" s="2721"/>
      <c r="U84" s="2721"/>
      <c r="V84" s="2721"/>
      <c r="W84" s="2721"/>
      <c r="X84" s="2721"/>
      <c r="Y84" s="2721"/>
      <c r="Z84" s="2721"/>
      <c r="AA84" s="2721"/>
      <c r="AB84" s="2721"/>
      <c r="AC84" s="2721"/>
    </row>
    <row r="85" spans="1:29" ht="15" thickTop="1">
      <c r="A85" s="482"/>
      <c r="B85" s="486" t="s">
        <v>1822</v>
      </c>
      <c r="C85" s="526" t="s">
        <v>1721</v>
      </c>
      <c r="D85" s="526" t="s">
        <v>1722</v>
      </c>
      <c r="E85" s="526" t="s">
        <v>1723</v>
      </c>
      <c r="F85" s="526" t="s">
        <v>1724</v>
      </c>
      <c r="G85" s="526" t="s">
        <v>1725</v>
      </c>
      <c r="H85" s="487"/>
      <c r="I85" s="487"/>
      <c r="J85" s="487"/>
      <c r="K85" s="488"/>
      <c r="L85" s="489"/>
      <c r="M85" s="490"/>
      <c r="N85" s="2749"/>
      <c r="O85" s="2749"/>
      <c r="P85" s="2758"/>
      <c r="Q85" s="2735"/>
      <c r="R85" s="2721"/>
      <c r="S85" s="2721"/>
      <c r="T85" s="2721"/>
      <c r="U85" s="2721"/>
      <c r="V85" s="2721"/>
      <c r="W85" s="2721"/>
      <c r="X85" s="2721"/>
      <c r="Y85" s="2721"/>
      <c r="Z85" s="2721"/>
      <c r="AA85" s="2721"/>
      <c r="AB85" s="2721"/>
      <c r="AC85" s="2721"/>
    </row>
    <row r="86" spans="1:29" ht="14.4" thickBot="1">
      <c r="A86" s="482"/>
      <c r="B86" s="491"/>
      <c r="C86" s="492">
        <v>100</v>
      </c>
      <c r="D86" s="492">
        <f>C86-$K23</f>
        <v>100</v>
      </c>
      <c r="E86" s="492">
        <f>D86-$K23</f>
        <v>100</v>
      </c>
      <c r="F86" s="492">
        <f>E86-$K23</f>
        <v>100</v>
      </c>
      <c r="G86" s="492">
        <f>F86-$K23</f>
        <v>100</v>
      </c>
      <c r="H86" s="492"/>
      <c r="I86" s="492"/>
      <c r="J86" s="492"/>
      <c r="K86" s="492"/>
      <c r="L86" s="492"/>
      <c r="M86" s="493"/>
      <c r="N86" s="2750"/>
      <c r="O86" s="2750"/>
      <c r="P86" s="2758"/>
      <c r="Q86" s="2735"/>
      <c r="R86" s="2721"/>
      <c r="S86" s="2721"/>
      <c r="T86" s="2721"/>
      <c r="U86" s="2721"/>
      <c r="V86" s="2721"/>
      <c r="W86" s="2721"/>
      <c r="X86" s="2721"/>
      <c r="Y86" s="2721"/>
      <c r="Z86" s="2721"/>
      <c r="AA86" s="2721"/>
      <c r="AB86" s="2721"/>
      <c r="AC86" s="2721"/>
    </row>
    <row r="87" spans="1:29" s="108" customFormat="1" ht="29.4" thickTop="1">
      <c r="A87" s="527"/>
      <c r="B87" s="486" t="s">
        <v>1823</v>
      </c>
      <c r="C87" s="502"/>
      <c r="D87" s="502"/>
      <c r="E87" s="502"/>
      <c r="F87" s="502"/>
      <c r="G87" s="502"/>
      <c r="H87" s="502"/>
      <c r="I87" s="502"/>
      <c r="J87" s="502"/>
      <c r="K87" s="502"/>
      <c r="L87" s="528"/>
      <c r="M87" s="529"/>
      <c r="N87" s="2748"/>
      <c r="O87" s="2748"/>
      <c r="P87" s="2758"/>
      <c r="Q87" s="2735"/>
      <c r="R87" s="2657"/>
      <c r="S87" s="2657"/>
      <c r="T87" s="2657"/>
      <c r="U87" s="2657"/>
      <c r="V87" s="2657"/>
      <c r="W87" s="2657"/>
      <c r="X87" s="2657"/>
      <c r="Y87" s="2657"/>
      <c r="Z87" s="2657"/>
      <c r="AA87" s="2657"/>
      <c r="AB87" s="2657"/>
      <c r="AC87" s="2657"/>
    </row>
    <row r="88" spans="1:29" s="108" customFormat="1" ht="14.4"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0"/>
      <c r="O88" s="2750"/>
      <c r="P88" s="2758"/>
      <c r="Q88" s="2735"/>
      <c r="R88" s="2657"/>
      <c r="S88" s="2657"/>
      <c r="T88" s="2657"/>
      <c r="U88" s="2657"/>
      <c r="V88" s="2657"/>
      <c r="W88" s="2657"/>
      <c r="X88" s="2657"/>
      <c r="Y88" s="2657"/>
      <c r="Z88" s="2657"/>
      <c r="AA88" s="2657"/>
      <c r="AB88" s="2657"/>
      <c r="AC88" s="2657"/>
    </row>
    <row r="89" spans="1:29" s="108" customFormat="1" ht="14.4" thickTop="1">
      <c r="A89" s="527"/>
      <c r="B89" s="486" t="str">
        <f>B27</f>
        <v>楼层</v>
      </c>
      <c r="C89" s="502"/>
      <c r="D89" s="502"/>
      <c r="E89" s="502"/>
      <c r="F89" s="1923"/>
      <c r="G89" s="502"/>
      <c r="H89" s="502"/>
      <c r="I89" s="502"/>
      <c r="J89" s="502"/>
      <c r="K89" s="502"/>
      <c r="L89" s="502"/>
      <c r="M89" s="529"/>
      <c r="N89" s="2748"/>
      <c r="O89" s="2748"/>
      <c r="P89" s="2758"/>
      <c r="Q89" s="2735"/>
      <c r="R89" s="2657"/>
      <c r="S89" s="2657"/>
      <c r="T89" s="2657"/>
      <c r="U89" s="2657"/>
      <c r="V89" s="2657"/>
      <c r="W89" s="2657"/>
      <c r="X89" s="2657"/>
      <c r="Y89" s="2657"/>
      <c r="Z89" s="2657"/>
      <c r="AA89" s="2657"/>
      <c r="AB89" s="2657"/>
      <c r="AC89" s="2657"/>
    </row>
    <row r="90" spans="1:29" s="108" customFormat="1" ht="14.4"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0"/>
      <c r="O90" s="2750"/>
      <c r="P90" s="2758"/>
      <c r="Q90" s="2735"/>
      <c r="R90" s="2657"/>
      <c r="S90" s="2657"/>
      <c r="T90" s="2657"/>
      <c r="U90" s="2657"/>
      <c r="V90" s="2657"/>
      <c r="W90" s="2657"/>
      <c r="X90" s="2657"/>
      <c r="Y90" s="2657"/>
      <c r="Z90" s="2657"/>
      <c r="AA90" s="2657"/>
      <c r="AB90" s="2657"/>
      <c r="AC90" s="2657"/>
    </row>
    <row r="91" spans="1:29" s="421" customFormat="1" ht="14.4" thickTop="1">
      <c r="A91" s="501"/>
      <c r="B91" s="486" t="str">
        <f>B28</f>
        <v>朝向</v>
      </c>
      <c r="C91" s="502"/>
      <c r="D91" s="502"/>
      <c r="E91" s="502"/>
      <c r="F91" s="502"/>
      <c r="G91" s="502"/>
      <c r="H91" s="503"/>
      <c r="I91" s="503"/>
      <c r="J91" s="503"/>
      <c r="K91" s="503"/>
      <c r="L91" s="504"/>
      <c r="M91" s="505"/>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1"/>
      <c r="O92" s="2751"/>
      <c r="P92" s="2759"/>
      <c r="Q92" s="2742"/>
      <c r="R92" s="2743"/>
      <c r="S92" s="2743"/>
      <c r="T92" s="2743"/>
      <c r="U92" s="2743"/>
      <c r="V92" s="2743"/>
      <c r="W92" s="2743"/>
      <c r="X92" s="2743"/>
      <c r="Y92" s="2743"/>
      <c r="Z92" s="2743"/>
      <c r="AA92" s="2743"/>
      <c r="AB92" s="2743"/>
      <c r="AC92" s="2743"/>
    </row>
    <row r="93" spans="1:29" ht="14.4" thickTop="1">
      <c r="A93" s="482"/>
      <c r="B93" s="486">
        <f>B29</f>
        <v>111</v>
      </c>
      <c r="C93" s="502"/>
      <c r="D93" s="502"/>
      <c r="E93" s="502"/>
      <c r="F93" s="502"/>
      <c r="G93" s="502"/>
      <c r="H93" s="502"/>
      <c r="I93" s="502"/>
      <c r="J93" s="502"/>
      <c r="K93" s="502"/>
      <c r="L93" s="528"/>
      <c r="M93" s="529"/>
      <c r="N93" s="2749"/>
      <c r="O93" s="2749"/>
      <c r="P93" s="2758"/>
      <c r="Q93" s="2735"/>
      <c r="R93" s="2721"/>
      <c r="S93" s="2721"/>
      <c r="T93" s="2721"/>
      <c r="U93" s="2721"/>
      <c r="V93" s="2721"/>
      <c r="W93" s="2721"/>
      <c r="X93" s="2721"/>
      <c r="Y93" s="2721"/>
      <c r="Z93" s="2721"/>
      <c r="AA93" s="2721"/>
      <c r="AB93" s="2721"/>
      <c r="AC93" s="2721"/>
    </row>
    <row r="94" spans="1:29" ht="14.4" thickBot="1">
      <c r="A94" s="482"/>
      <c r="B94" s="491"/>
      <c r="C94" s="508"/>
      <c r="D94" s="484"/>
      <c r="E94" s="484"/>
      <c r="F94" s="484"/>
      <c r="G94" s="484"/>
      <c r="H94" s="484"/>
      <c r="I94" s="484"/>
      <c r="J94" s="484"/>
      <c r="K94" s="484"/>
      <c r="L94" s="484"/>
      <c r="M94" s="485"/>
      <c r="N94" s="2750"/>
      <c r="O94" s="2750"/>
      <c r="P94" s="2758"/>
      <c r="Q94" s="2735"/>
      <c r="R94" s="2721"/>
      <c r="S94" s="2721"/>
      <c r="T94" s="2721"/>
      <c r="U94" s="2721"/>
      <c r="V94" s="2721"/>
      <c r="W94" s="2721"/>
      <c r="X94" s="2721"/>
      <c r="Y94" s="2721"/>
      <c r="Z94" s="2721"/>
      <c r="AA94" s="2721"/>
      <c r="AB94" s="2721"/>
      <c r="AC94" s="2721"/>
    </row>
    <row r="95" spans="1:29" ht="14.4" thickTop="1">
      <c r="A95" s="482"/>
      <c r="B95" s="486">
        <f>B30</f>
        <v>111</v>
      </c>
      <c r="C95" s="502"/>
      <c r="D95" s="502"/>
      <c r="E95" s="502"/>
      <c r="F95" s="502"/>
      <c r="G95" s="531"/>
      <c r="H95" s="531"/>
      <c r="I95" s="531"/>
      <c r="J95" s="531"/>
      <c r="K95" s="532"/>
      <c r="L95" s="533"/>
      <c r="M95" s="534"/>
      <c r="N95" s="2749"/>
      <c r="O95" s="2749"/>
      <c r="P95" s="2758"/>
      <c r="Q95" s="2735"/>
      <c r="R95" s="2721"/>
      <c r="S95" s="2721"/>
      <c r="T95" s="2721"/>
      <c r="U95" s="2721"/>
      <c r="V95" s="2721"/>
      <c r="W95" s="2721"/>
      <c r="X95" s="2721"/>
      <c r="Y95" s="2721"/>
      <c r="Z95" s="2721"/>
      <c r="AA95" s="2721"/>
      <c r="AB95" s="2721"/>
      <c r="AC95" s="2721"/>
    </row>
    <row r="96" spans="1:29" ht="14.4" thickBot="1">
      <c r="A96" s="482"/>
      <c r="B96" s="491"/>
      <c r="C96" s="508"/>
      <c r="D96" s="508"/>
      <c r="E96" s="508"/>
      <c r="F96" s="508"/>
      <c r="G96" s="484"/>
      <c r="H96" s="484"/>
      <c r="I96" s="484"/>
      <c r="J96" s="484"/>
      <c r="K96" s="484"/>
      <c r="L96" s="484"/>
      <c r="M96" s="485"/>
      <c r="N96" s="2750"/>
      <c r="O96" s="2750"/>
      <c r="P96" s="2758"/>
      <c r="Q96" s="2735"/>
      <c r="R96" s="2721"/>
      <c r="S96" s="2721"/>
      <c r="T96" s="2721"/>
      <c r="U96" s="2721"/>
      <c r="V96" s="2721"/>
      <c r="W96" s="2721"/>
      <c r="X96" s="2721"/>
      <c r="Y96" s="2721"/>
      <c r="Z96" s="2721"/>
      <c r="AA96" s="2721"/>
      <c r="AB96" s="2721"/>
      <c r="AC96" s="2721"/>
    </row>
    <row r="97" spans="1:29" ht="14.4" thickTop="1">
      <c r="A97" s="482"/>
      <c r="B97" s="486">
        <f>B31</f>
        <v>111</v>
      </c>
      <c r="C97" s="502"/>
      <c r="D97" s="502"/>
      <c r="E97" s="502"/>
      <c r="F97" s="502"/>
      <c r="G97" s="531"/>
      <c r="H97" s="531"/>
      <c r="I97" s="531"/>
      <c r="J97" s="531"/>
      <c r="K97" s="532"/>
      <c r="L97" s="533"/>
      <c r="M97" s="534"/>
      <c r="N97" s="2749"/>
      <c r="O97" s="2749"/>
      <c r="P97" s="2758"/>
      <c r="Q97" s="2735"/>
      <c r="R97" s="2721"/>
      <c r="S97" s="2721"/>
      <c r="T97" s="2721"/>
      <c r="U97" s="2721"/>
      <c r="V97" s="2721"/>
      <c r="W97" s="2721"/>
      <c r="X97" s="2721"/>
      <c r="Y97" s="2721"/>
      <c r="Z97" s="2721"/>
      <c r="AA97" s="2721"/>
      <c r="AB97" s="2721"/>
      <c r="AC97" s="2721"/>
    </row>
    <row r="98" spans="1:29" ht="14.4" thickBot="1">
      <c r="A98" s="482"/>
      <c r="B98" s="491"/>
      <c r="C98" s="508"/>
      <c r="D98" s="484"/>
      <c r="E98" s="484"/>
      <c r="F98" s="484"/>
      <c r="G98" s="484"/>
      <c r="H98" s="484"/>
      <c r="I98" s="484"/>
      <c r="J98" s="484"/>
      <c r="K98" s="484"/>
      <c r="L98" s="484"/>
      <c r="M98" s="485"/>
      <c r="N98" s="2750"/>
      <c r="O98" s="2750"/>
      <c r="P98" s="2758"/>
      <c r="Q98" s="2735"/>
      <c r="R98" s="2721"/>
      <c r="S98" s="2721"/>
      <c r="T98" s="2721"/>
      <c r="U98" s="2721"/>
      <c r="V98" s="2721"/>
      <c r="W98" s="2721"/>
      <c r="X98" s="2721"/>
      <c r="Y98" s="2721"/>
      <c r="Z98" s="2721"/>
      <c r="AA98" s="2721"/>
      <c r="AB98" s="2721"/>
      <c r="AC98" s="2721"/>
    </row>
    <row r="99" spans="1:29" ht="14.4" thickTop="1">
      <c r="A99" s="482"/>
      <c r="B99" s="494">
        <f>B32</f>
        <v>111</v>
      </c>
      <c r="C99" s="471"/>
      <c r="D99" s="471"/>
      <c r="E99" s="471"/>
      <c r="F99" s="471"/>
      <c r="G99" s="535"/>
      <c r="H99" s="535"/>
      <c r="I99" s="535"/>
      <c r="J99" s="535"/>
      <c r="K99" s="536"/>
      <c r="L99" s="537"/>
      <c r="M99" s="538"/>
      <c r="N99" s="2749"/>
      <c r="O99" s="2749"/>
      <c r="P99" s="2758"/>
      <c r="Q99" s="2735"/>
      <c r="R99" s="2721"/>
      <c r="S99" s="2721"/>
      <c r="T99" s="2721"/>
      <c r="U99" s="2721"/>
      <c r="V99" s="2721"/>
      <c r="W99" s="2721"/>
      <c r="X99" s="2721"/>
      <c r="Y99" s="2721"/>
      <c r="Z99" s="2721"/>
      <c r="AA99" s="2721"/>
      <c r="AB99" s="2721"/>
      <c r="AC99" s="2721"/>
    </row>
    <row r="100" spans="1:29" ht="14.4" thickBot="1">
      <c r="A100" s="1924"/>
      <c r="B100" s="517"/>
      <c r="C100" s="518"/>
      <c r="D100" s="518"/>
      <c r="E100" s="518"/>
      <c r="F100" s="518"/>
      <c r="G100" s="539"/>
      <c r="H100" s="539"/>
      <c r="I100" s="539"/>
      <c r="J100" s="539"/>
      <c r="K100" s="539"/>
      <c r="L100" s="539"/>
      <c r="M100" s="540"/>
      <c r="N100" s="2750"/>
      <c r="O100" s="2750"/>
      <c r="P100" s="2758"/>
      <c r="Q100" s="2735"/>
      <c r="R100" s="2721"/>
      <c r="S100" s="2721"/>
      <c r="T100" s="2721"/>
      <c r="U100" s="2721"/>
      <c r="V100" s="2721"/>
      <c r="W100" s="2721"/>
      <c r="X100" s="2721"/>
      <c r="Y100" s="2721"/>
      <c r="Z100" s="2721"/>
      <c r="AA100" s="2721"/>
      <c r="AB100" s="2721"/>
      <c r="AC100" s="2721"/>
    </row>
    <row r="101" spans="1:29" ht="14.4">
      <c r="A101" s="475" t="s">
        <v>1694</v>
      </c>
      <c r="B101" s="476" t="s">
        <v>1736</v>
      </c>
      <c r="C101" s="478"/>
      <c r="D101" s="478"/>
      <c r="E101" s="478"/>
      <c r="F101" s="478"/>
      <c r="G101" s="478"/>
      <c r="H101" s="478"/>
      <c r="I101" s="478"/>
      <c r="J101" s="478"/>
      <c r="K101" s="479"/>
      <c r="L101" s="480"/>
      <c r="M101" s="481"/>
      <c r="N101" s="2749"/>
      <c r="O101" s="2749"/>
      <c r="P101" s="2758"/>
      <c r="Q101" s="2735"/>
      <c r="R101" s="2721"/>
      <c r="S101" s="2721"/>
      <c r="T101" s="2721"/>
      <c r="U101" s="2721"/>
      <c r="V101" s="2721"/>
      <c r="W101" s="2721"/>
      <c r="X101" s="2721"/>
      <c r="Y101" s="2721"/>
      <c r="Z101" s="2721"/>
      <c r="AA101" s="2721"/>
      <c r="AB101" s="2721"/>
      <c r="AC101" s="2721"/>
    </row>
    <row r="102" spans="1:29" ht="14.4"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0"/>
      <c r="O102" s="2750"/>
      <c r="P102" s="2758"/>
      <c r="Q102" s="2735"/>
      <c r="R102" s="2721"/>
      <c r="S102" s="2721"/>
      <c r="T102" s="2721"/>
      <c r="U102" s="2721"/>
      <c r="V102" s="2721"/>
      <c r="W102" s="2721"/>
      <c r="X102" s="2721"/>
      <c r="Y102" s="2721"/>
      <c r="Z102" s="2721"/>
      <c r="AA102" s="2721"/>
      <c r="AB102" s="2721"/>
      <c r="AC102" s="2721"/>
    </row>
    <row r="103" spans="1:29" ht="1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1" customFormat="1">
      <c r="A104" s="541"/>
      <c r="B104" s="542"/>
      <c r="C104" s="543"/>
      <c r="D104" s="543"/>
      <c r="E104" s="543"/>
      <c r="F104" s="543"/>
      <c r="G104" s="543"/>
      <c r="H104" s="543"/>
      <c r="I104" s="543"/>
      <c r="J104" s="544"/>
      <c r="K104" s="544"/>
      <c r="L104" s="545"/>
      <c r="M104" s="546"/>
      <c r="N104" s="2751"/>
      <c r="O104" s="2751"/>
      <c r="P104" s="2759"/>
      <c r="Q104" s="2742"/>
      <c r="R104" s="2743"/>
      <c r="S104" s="2743"/>
      <c r="T104" s="2743"/>
      <c r="U104" s="2743"/>
      <c r="V104" s="2743"/>
      <c r="W104" s="2743"/>
      <c r="X104" s="2743"/>
      <c r="Y104" s="2743"/>
      <c r="Z104" s="2743"/>
      <c r="AA104" s="2743"/>
      <c r="AB104" s="2743"/>
      <c r="AC104" s="2743"/>
    </row>
    <row r="105" spans="1:29" s="421" customFormat="1" ht="14.4" thickBot="1">
      <c r="A105" s="501"/>
      <c r="B105" s="491"/>
      <c r="C105" s="508"/>
      <c r="D105" s="484"/>
      <c r="E105" s="484"/>
      <c r="F105" s="484"/>
      <c r="G105" s="484"/>
      <c r="H105" s="484"/>
      <c r="I105" s="484"/>
      <c r="J105" s="484"/>
      <c r="K105" s="484"/>
      <c r="L105" s="484"/>
      <c r="M105" s="485"/>
      <c r="N105" s="2750"/>
      <c r="O105" s="2750"/>
      <c r="P105" s="2759"/>
      <c r="Q105" s="2742"/>
      <c r="R105" s="2743"/>
      <c r="S105" s="2743"/>
      <c r="T105" s="2743"/>
      <c r="U105" s="2743"/>
      <c r="V105" s="2743"/>
      <c r="W105" s="2743"/>
      <c r="X105" s="2743"/>
      <c r="Y105" s="2743"/>
      <c r="Z105" s="2743"/>
      <c r="AA105" s="2743"/>
      <c r="AB105" s="2743"/>
      <c r="AC105" s="2743"/>
    </row>
    <row r="106" spans="1:29" ht="15" thickTop="1">
      <c r="A106" s="547"/>
      <c r="B106" s="486" t="s">
        <v>1738</v>
      </c>
      <c r="C106" s="502"/>
      <c r="D106" s="502"/>
      <c r="E106" s="531"/>
      <c r="F106" s="531"/>
      <c r="G106" s="531"/>
      <c r="H106" s="531"/>
      <c r="I106" s="531"/>
      <c r="J106" s="531"/>
      <c r="K106" s="532"/>
      <c r="L106" s="533"/>
      <c r="M106" s="534"/>
      <c r="N106" s="2749"/>
      <c r="O106" s="2749"/>
      <c r="P106" s="2758"/>
      <c r="Q106" s="2735"/>
      <c r="R106" s="2721"/>
      <c r="S106" s="2721"/>
      <c r="T106" s="2721"/>
      <c r="U106" s="2721"/>
      <c r="V106" s="2721"/>
      <c r="W106" s="2721"/>
      <c r="X106" s="2721"/>
      <c r="Y106" s="2721"/>
      <c r="Z106" s="2721"/>
      <c r="AA106" s="2721"/>
      <c r="AB106" s="2721"/>
      <c r="AC106" s="2721"/>
    </row>
    <row r="107" spans="1:29" ht="14.4"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7"/>
      <c r="B108" s="486" t="s">
        <v>1740</v>
      </c>
      <c r="C108" s="502"/>
      <c r="D108" s="502"/>
      <c r="E108" s="502"/>
      <c r="F108" s="531"/>
      <c r="G108" s="531"/>
      <c r="H108" s="531"/>
      <c r="I108" s="531"/>
      <c r="J108" s="531"/>
      <c r="K108" s="532"/>
      <c r="L108" s="533"/>
      <c r="M108" s="534"/>
      <c r="N108" s="2749"/>
      <c r="O108" s="2749"/>
      <c r="P108" s="2758"/>
      <c r="Q108" s="2735"/>
      <c r="R108" s="2721"/>
      <c r="S108" s="2721"/>
      <c r="T108" s="2721"/>
      <c r="U108" s="2721"/>
      <c r="V108" s="2721"/>
      <c r="W108" s="2721"/>
      <c r="X108" s="2721"/>
      <c r="Y108" s="2721"/>
      <c r="Z108" s="2721"/>
      <c r="AA108" s="2721"/>
      <c r="AB108" s="2721"/>
      <c r="AC108" s="2721"/>
    </row>
    <row r="109" spans="1:29" ht="14.4"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9"/>
      <c r="O110" s="2749"/>
      <c r="P110" s="2758"/>
      <c r="Q110" s="2735"/>
      <c r="R110" s="2721"/>
      <c r="S110" s="2721"/>
      <c r="T110" s="2721"/>
      <c r="U110" s="2721"/>
      <c r="V110" s="2721"/>
      <c r="W110" s="2721"/>
      <c r="X110" s="2721"/>
      <c r="Y110" s="2721"/>
      <c r="Z110" s="2721"/>
      <c r="AA110" s="2721"/>
      <c r="AB110" s="2721"/>
      <c r="AC110" s="2721"/>
    </row>
    <row r="111" spans="1:29">
      <c r="A111" s="547"/>
      <c r="B111" s="494"/>
      <c r="C111" s="551">
        <v>0.5</v>
      </c>
      <c r="D111" s="551">
        <v>0.6</v>
      </c>
      <c r="E111" s="551">
        <v>0.7</v>
      </c>
      <c r="F111" s="551">
        <v>0.8</v>
      </c>
      <c r="G111" s="551">
        <v>0.9</v>
      </c>
      <c r="H111" s="551">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4.4"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0"/>
      <c r="O112" s="2750"/>
      <c r="P112" s="2758"/>
      <c r="Q112" s="2735"/>
      <c r="R112" s="2721"/>
      <c r="S112" s="2721"/>
      <c r="T112" s="2721"/>
      <c r="U112" s="2721"/>
      <c r="V112" s="2721"/>
      <c r="W112" s="2721"/>
      <c r="X112" s="2721"/>
      <c r="Y112" s="2721"/>
      <c r="Z112" s="2721"/>
      <c r="AA112" s="2721"/>
      <c r="AB112" s="2721"/>
      <c r="AC112" s="2721"/>
    </row>
    <row r="113" spans="1:29" s="421" customFormat="1" ht="15" thickTop="1">
      <c r="A113" s="541"/>
      <c r="B113" s="486" t="s">
        <v>1824</v>
      </c>
      <c r="C113" s="502"/>
      <c r="D113" s="502"/>
      <c r="E113" s="502"/>
      <c r="F113" s="502"/>
      <c r="G113" s="502"/>
      <c r="H113" s="531"/>
      <c r="I113" s="531"/>
      <c r="J113" s="531"/>
      <c r="K113" s="532"/>
      <c r="L113" s="533"/>
      <c r="M113" s="534"/>
      <c r="N113" s="2751"/>
      <c r="O113" s="2751"/>
      <c r="P113" s="2759"/>
      <c r="Q113" s="2742"/>
      <c r="R113" s="2743"/>
      <c r="S113" s="2743"/>
      <c r="T113" s="2743"/>
      <c r="U113" s="2743"/>
      <c r="V113" s="2743"/>
      <c r="W113" s="2743"/>
      <c r="X113" s="2743"/>
      <c r="Y113" s="2743"/>
      <c r="Z113" s="2743"/>
      <c r="AA113" s="2743"/>
      <c r="AB113" s="2743"/>
      <c r="AC113" s="2743"/>
    </row>
    <row r="114" spans="1:29" s="421" customFormat="1" ht="14.4"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7"/>
      <c r="B115" s="486" t="s">
        <v>1741</v>
      </c>
      <c r="C115" s="502"/>
      <c r="D115" s="502"/>
      <c r="E115" s="531"/>
      <c r="F115" s="531"/>
      <c r="G115" s="531"/>
      <c r="H115" s="531"/>
      <c r="I115" s="531"/>
      <c r="J115" s="531"/>
      <c r="K115" s="532"/>
      <c r="L115" s="533"/>
      <c r="M115" s="534"/>
      <c r="N115" s="2749"/>
      <c r="O115" s="2749"/>
      <c r="P115" s="2758"/>
      <c r="Q115" s="2735"/>
      <c r="R115" s="2721"/>
      <c r="S115" s="2721"/>
      <c r="T115" s="2721"/>
      <c r="U115" s="2721"/>
      <c r="V115" s="2721"/>
      <c r="W115" s="2721"/>
      <c r="X115" s="2721"/>
      <c r="Y115" s="2721"/>
      <c r="Z115" s="2721"/>
      <c r="AA115" s="2721"/>
      <c r="AB115" s="2721"/>
      <c r="AC115" s="2721"/>
    </row>
    <row r="116" spans="1:29" ht="14.4"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7"/>
      <c r="B117" s="486" t="s">
        <v>1742</v>
      </c>
      <c r="C117" s="502"/>
      <c r="D117" s="502"/>
      <c r="E117" s="502"/>
      <c r="F117" s="502"/>
      <c r="G117" s="502"/>
      <c r="H117" s="531"/>
      <c r="I117" s="531"/>
      <c r="J117" s="531"/>
      <c r="K117" s="532"/>
      <c r="L117" s="533"/>
      <c r="M117" s="534"/>
      <c r="N117" s="2749"/>
      <c r="O117" s="2749"/>
      <c r="P117" s="2758"/>
      <c r="Q117" s="2735"/>
      <c r="R117" s="2721"/>
      <c r="S117" s="2721"/>
      <c r="T117" s="2721"/>
      <c r="U117" s="2721"/>
      <c r="V117" s="2721"/>
      <c r="W117" s="2721"/>
      <c r="X117" s="2721"/>
      <c r="Y117" s="2721"/>
      <c r="Z117" s="2721"/>
      <c r="AA117" s="2721"/>
      <c r="AB117" s="2721"/>
      <c r="AC117" s="2721"/>
    </row>
    <row r="118" spans="1:29" ht="14.4" thickBot="1">
      <c r="A118" s="482"/>
      <c r="B118" s="491"/>
      <c r="C118" s="492">
        <v>100</v>
      </c>
      <c r="D118" s="492">
        <f>C118-$K40</f>
        <v>100</v>
      </c>
      <c r="E118" s="492">
        <f>D118-$K40</f>
        <v>100</v>
      </c>
      <c r="F118" s="492">
        <f>E118-$K40</f>
        <v>100</v>
      </c>
      <c r="G118" s="492">
        <f>F118-$K40</f>
        <v>100</v>
      </c>
      <c r="H118" s="492"/>
      <c r="I118" s="492"/>
      <c r="J118" s="492"/>
      <c r="K118" s="492"/>
      <c r="L118" s="492"/>
      <c r="M118" s="493"/>
      <c r="N118" s="2750"/>
      <c r="O118" s="2750"/>
      <c r="P118" s="2758"/>
      <c r="Q118" s="2735"/>
      <c r="R118" s="2721"/>
      <c r="S118" s="2721"/>
      <c r="T118" s="2721"/>
      <c r="U118" s="2721"/>
      <c r="V118" s="2721"/>
      <c r="W118" s="2721"/>
      <c r="X118" s="2721"/>
      <c r="Y118" s="2721"/>
      <c r="Z118" s="2721"/>
      <c r="AA118" s="2721"/>
      <c r="AB118" s="2721"/>
      <c r="AC118" s="2721"/>
    </row>
    <row r="119" spans="1:29" ht="15" thickTop="1">
      <c r="A119" s="547"/>
      <c r="B119" s="583" t="s">
        <v>1825</v>
      </c>
      <c r="C119" s="531"/>
      <c r="D119" s="531"/>
      <c r="E119" s="531"/>
      <c r="F119" s="531"/>
      <c r="G119" s="531"/>
      <c r="H119" s="531"/>
      <c r="I119" s="531"/>
      <c r="J119" s="531"/>
      <c r="K119" s="531"/>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4.4"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0"/>
      <c r="O120" s="2750"/>
      <c r="P120" s="2758"/>
      <c r="Q120" s="2735"/>
      <c r="R120" s="2721"/>
      <c r="S120" s="2721"/>
      <c r="T120" s="2721"/>
      <c r="U120" s="2721"/>
      <c r="V120" s="2721"/>
      <c r="W120" s="2721"/>
      <c r="X120" s="2721"/>
      <c r="Y120" s="2721"/>
      <c r="Z120" s="2721"/>
      <c r="AA120" s="2721"/>
      <c r="AB120" s="2721"/>
      <c r="AC120" s="2721"/>
    </row>
    <row r="121" spans="1:29" s="421" customFormat="1" ht="15" thickTop="1">
      <c r="A121" s="541"/>
      <c r="B121" s="486" t="s">
        <v>1808</v>
      </c>
      <c r="C121" s="502"/>
      <c r="D121" s="502"/>
      <c r="E121" s="502"/>
      <c r="F121" s="531"/>
      <c r="G121" s="503"/>
      <c r="H121" s="503"/>
      <c r="I121" s="503"/>
      <c r="J121" s="503"/>
      <c r="K121" s="503"/>
      <c r="L121" s="504"/>
      <c r="M121" s="505"/>
      <c r="N121" s="2751"/>
      <c r="O121" s="2751"/>
      <c r="P121" s="2759"/>
      <c r="Q121" s="2742"/>
      <c r="R121" s="2743"/>
      <c r="S121" s="2743"/>
      <c r="T121" s="2743"/>
      <c r="U121" s="2743"/>
      <c r="V121" s="2743"/>
      <c r="W121" s="2743"/>
      <c r="X121" s="2743"/>
      <c r="Y121" s="2743"/>
      <c r="Z121" s="2743"/>
      <c r="AA121" s="2743"/>
      <c r="AB121" s="2743"/>
      <c r="AC121" s="2743"/>
    </row>
    <row r="122" spans="1:29" s="421" customFormat="1" ht="14.4" thickBot="1">
      <c r="A122" s="501"/>
      <c r="B122" s="483"/>
      <c r="C122" s="508"/>
      <c r="D122" s="508"/>
      <c r="E122" s="508"/>
      <c r="F122" s="508"/>
      <c r="G122" s="508"/>
      <c r="H122" s="508"/>
      <c r="I122" s="508"/>
      <c r="J122" s="508"/>
      <c r="K122" s="508"/>
      <c r="L122" s="508"/>
      <c r="M122" s="508"/>
      <c r="N122" s="2751"/>
      <c r="O122" s="2751"/>
      <c r="P122" s="2759"/>
      <c r="Q122" s="2742"/>
      <c r="R122" s="2743"/>
      <c r="S122" s="2743"/>
      <c r="T122" s="2743"/>
      <c r="U122" s="2743"/>
      <c r="V122" s="2743"/>
      <c r="W122" s="2743"/>
      <c r="X122" s="2743"/>
      <c r="Y122" s="2743"/>
      <c r="Z122" s="2743"/>
      <c r="AA122" s="2743"/>
      <c r="AB122" s="2743"/>
      <c r="AC122" s="2743"/>
    </row>
    <row r="123" spans="1:29" ht="15" thickTop="1">
      <c r="A123" s="547"/>
      <c r="B123" s="486" t="s">
        <v>1744</v>
      </c>
      <c r="C123" s="502"/>
      <c r="D123" s="502"/>
      <c r="E123" s="502"/>
      <c r="F123" s="531"/>
      <c r="G123" s="531"/>
      <c r="H123" s="531"/>
      <c r="I123" s="531"/>
      <c r="J123" s="531"/>
      <c r="K123" s="532"/>
      <c r="L123" s="533"/>
      <c r="M123" s="534"/>
      <c r="N123" s="2749"/>
      <c r="O123" s="2749"/>
      <c r="P123" s="2758"/>
      <c r="Q123" s="2735"/>
      <c r="R123" s="2721"/>
      <c r="S123" s="2721"/>
      <c r="T123" s="2721"/>
      <c r="U123" s="2721"/>
      <c r="V123" s="2721"/>
      <c r="W123" s="2721"/>
      <c r="X123" s="2721"/>
      <c r="Y123" s="2721"/>
      <c r="Z123" s="2721"/>
      <c r="AA123" s="2721"/>
      <c r="AB123" s="2721"/>
      <c r="AC123" s="2721"/>
    </row>
    <row r="124" spans="1:29" ht="14.4"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0"/>
      <c r="O124" s="2750"/>
      <c r="P124" s="2758"/>
      <c r="Q124" s="2735"/>
      <c r="R124" s="2721"/>
      <c r="S124" s="2721"/>
      <c r="T124" s="2721"/>
      <c r="U124" s="2721"/>
      <c r="V124" s="2721"/>
      <c r="W124" s="2721"/>
      <c r="X124" s="2721"/>
      <c r="Y124" s="2721"/>
      <c r="Z124" s="2721"/>
      <c r="AA124" s="2721"/>
      <c r="AB124" s="2721"/>
      <c r="AC124" s="2721"/>
    </row>
    <row r="125" spans="1:29" ht="29.4" thickTop="1">
      <c r="A125" s="547"/>
      <c r="B125" s="486" t="s">
        <v>1745</v>
      </c>
      <c r="C125" s="526" t="s">
        <v>1721</v>
      </c>
      <c r="D125" s="526" t="s">
        <v>1722</v>
      </c>
      <c r="E125" s="526" t="s">
        <v>1723</v>
      </c>
      <c r="F125" s="526" t="s">
        <v>1724</v>
      </c>
      <c r="G125" s="526" t="s">
        <v>1725</v>
      </c>
      <c r="H125" s="487"/>
      <c r="I125" s="487"/>
      <c r="J125" s="487"/>
      <c r="K125" s="488"/>
      <c r="L125" s="489"/>
      <c r="M125" s="490"/>
      <c r="N125" s="2749"/>
      <c r="O125" s="2749"/>
      <c r="P125" s="2759"/>
      <c r="Q125" s="2735"/>
      <c r="R125" s="2721"/>
      <c r="S125" s="2721"/>
      <c r="T125" s="2721"/>
      <c r="U125" s="2721"/>
      <c r="V125" s="2721"/>
      <c r="W125" s="2721"/>
      <c r="X125" s="2721"/>
      <c r="Y125" s="2721"/>
      <c r="Z125" s="2721"/>
      <c r="AA125" s="2721"/>
      <c r="AB125" s="2721"/>
      <c r="AC125" s="2721"/>
    </row>
    <row r="126" spans="1:29" ht="14.4" thickBot="1">
      <c r="A126" s="482"/>
      <c r="B126" s="491"/>
      <c r="C126" s="492">
        <v>100</v>
      </c>
      <c r="D126" s="492">
        <f>C126-$K44</f>
        <v>100</v>
      </c>
      <c r="E126" s="492">
        <f>D126-$K44</f>
        <v>100</v>
      </c>
      <c r="F126" s="492">
        <f>E126-$K44</f>
        <v>100</v>
      </c>
      <c r="G126" s="492">
        <f>F126-$K44</f>
        <v>100</v>
      </c>
      <c r="H126" s="492"/>
      <c r="I126" s="492"/>
      <c r="J126" s="492"/>
      <c r="K126" s="492"/>
      <c r="L126" s="492"/>
      <c r="M126" s="493"/>
      <c r="N126" s="2750"/>
      <c r="O126" s="2750"/>
      <c r="P126" s="2758"/>
      <c r="Q126" s="2735"/>
      <c r="R126" s="2721"/>
      <c r="S126" s="2721"/>
      <c r="T126" s="2721"/>
      <c r="U126" s="2721"/>
      <c r="V126" s="2721"/>
      <c r="W126" s="2721"/>
      <c r="X126" s="2721"/>
      <c r="Y126" s="2721"/>
      <c r="Z126" s="2721"/>
      <c r="AA126" s="2721"/>
      <c r="AB126" s="2721"/>
      <c r="AC126" s="2721"/>
    </row>
    <row r="127" spans="1:29" s="421" customFormat="1" ht="14.4" thickTop="1">
      <c r="A127" s="541"/>
      <c r="B127" s="486">
        <f>B45</f>
        <v>111</v>
      </c>
      <c r="C127" s="502"/>
      <c r="D127" s="502"/>
      <c r="E127" s="502"/>
      <c r="F127" s="502"/>
      <c r="G127" s="502"/>
      <c r="H127" s="503"/>
      <c r="I127" s="503"/>
      <c r="J127" s="503"/>
      <c r="K127" s="503"/>
      <c r="L127" s="504"/>
      <c r="M127" s="505"/>
      <c r="N127" s="2751"/>
      <c r="O127" s="2751"/>
      <c r="P127" s="2759"/>
      <c r="Q127" s="2742"/>
      <c r="R127" s="2743"/>
      <c r="S127" s="2743"/>
      <c r="T127" s="2743"/>
      <c r="U127" s="2743"/>
      <c r="V127" s="2743"/>
      <c r="W127" s="2743"/>
      <c r="X127" s="2743"/>
      <c r="Y127" s="2743"/>
      <c r="Z127" s="2743"/>
      <c r="AA127" s="2743"/>
      <c r="AB127" s="2743"/>
      <c r="AC127" s="2743"/>
    </row>
    <row r="128" spans="1:29" s="421" customFormat="1" ht="14.4" thickBot="1">
      <c r="A128" s="501"/>
      <c r="B128" s="491"/>
      <c r="C128" s="508"/>
      <c r="D128" s="484"/>
      <c r="E128" s="484"/>
      <c r="F128" s="484"/>
      <c r="G128" s="508"/>
      <c r="H128" s="510"/>
      <c r="I128" s="510"/>
      <c r="J128" s="510"/>
      <c r="K128" s="510"/>
      <c r="L128" s="510"/>
      <c r="M128" s="511"/>
      <c r="N128" s="2751"/>
      <c r="O128" s="2751"/>
      <c r="P128" s="2759"/>
      <c r="Q128" s="2742"/>
      <c r="R128" s="2743"/>
      <c r="S128" s="2743"/>
      <c r="T128" s="2743"/>
      <c r="U128" s="2743"/>
      <c r="V128" s="2743"/>
      <c r="W128" s="2743"/>
      <c r="X128" s="2743"/>
      <c r="Y128" s="2743"/>
      <c r="Z128" s="2743"/>
      <c r="AA128" s="2743"/>
      <c r="AB128" s="2743"/>
      <c r="AC128" s="2743"/>
    </row>
    <row r="129" spans="1:29" ht="14.4" thickTop="1">
      <c r="A129" s="547"/>
      <c r="B129" s="486">
        <f>B46</f>
        <v>111</v>
      </c>
      <c r="C129" s="502"/>
      <c r="D129" s="502"/>
      <c r="E129" s="502"/>
      <c r="F129" s="502"/>
      <c r="G129" s="531"/>
      <c r="H129" s="531"/>
      <c r="I129" s="531"/>
      <c r="J129" s="531"/>
      <c r="K129" s="532"/>
      <c r="L129" s="533"/>
      <c r="M129" s="534"/>
      <c r="N129" s="2749"/>
      <c r="O129" s="2749"/>
      <c r="P129" s="2758"/>
      <c r="Q129" s="2735"/>
      <c r="R129" s="2721"/>
      <c r="S129" s="2721"/>
      <c r="T129" s="2721"/>
      <c r="U129" s="2721"/>
      <c r="V129" s="2721"/>
      <c r="W129" s="2721"/>
      <c r="X129" s="2721"/>
      <c r="Y129" s="2721"/>
      <c r="Z129" s="2721"/>
      <c r="AA129" s="2721"/>
      <c r="AB129" s="2721"/>
      <c r="AC129" s="2721"/>
    </row>
    <row r="130" spans="1:29" ht="14.4" thickBot="1">
      <c r="A130" s="482"/>
      <c r="B130" s="491"/>
      <c r="C130" s="508"/>
      <c r="D130" s="508"/>
      <c r="E130" s="508"/>
      <c r="F130" s="508"/>
      <c r="G130" s="484"/>
      <c r="H130" s="484"/>
      <c r="I130" s="484"/>
      <c r="J130" s="484"/>
      <c r="K130" s="484"/>
      <c r="L130" s="484"/>
      <c r="M130" s="485"/>
      <c r="N130" s="2750"/>
      <c r="O130" s="2750"/>
      <c r="P130" s="2758"/>
      <c r="Q130" s="2735"/>
      <c r="R130" s="2721"/>
      <c r="S130" s="2721"/>
      <c r="T130" s="2721"/>
      <c r="U130" s="2721"/>
      <c r="V130" s="2721"/>
      <c r="W130" s="2721"/>
      <c r="X130" s="2721"/>
      <c r="Y130" s="2721"/>
      <c r="Z130" s="2721"/>
      <c r="AA130" s="2721"/>
      <c r="AB130" s="2721"/>
      <c r="AC130" s="2721"/>
    </row>
    <row r="131" spans="1:29" ht="14.4" thickTop="1">
      <c r="A131" s="547"/>
      <c r="B131" s="494">
        <f>B47</f>
        <v>111</v>
      </c>
      <c r="C131" s="471"/>
      <c r="D131" s="471"/>
      <c r="E131" s="471"/>
      <c r="F131" s="471"/>
      <c r="G131" s="535"/>
      <c r="H131" s="535"/>
      <c r="I131" s="535"/>
      <c r="J131" s="535"/>
      <c r="K131" s="471"/>
      <c r="L131" s="472"/>
      <c r="M131" s="538"/>
      <c r="N131" s="2749"/>
      <c r="O131" s="2749"/>
      <c r="P131" s="2758"/>
      <c r="Q131" s="2735"/>
      <c r="R131" s="2721"/>
      <c r="S131" s="2721"/>
      <c r="T131" s="2721"/>
      <c r="U131" s="2721"/>
      <c r="V131" s="2721"/>
      <c r="W131" s="2721"/>
      <c r="X131" s="2721"/>
      <c r="Y131" s="2721"/>
      <c r="Z131" s="2721"/>
      <c r="AA131" s="2721"/>
      <c r="AB131" s="2721"/>
      <c r="AC131" s="2721"/>
    </row>
    <row r="132" spans="1:29" ht="14.4" thickBot="1">
      <c r="A132" s="1924"/>
      <c r="B132" s="517"/>
      <c r="C132" s="518"/>
      <c r="D132" s="518"/>
      <c r="E132" s="518"/>
      <c r="F132" s="518"/>
      <c r="G132" s="539"/>
      <c r="H132" s="539"/>
      <c r="I132" s="539"/>
      <c r="J132" s="539"/>
      <c r="K132" s="539"/>
      <c r="L132" s="539"/>
      <c r="M132" s="540"/>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1660</v>
      </c>
      <c r="B1" s="1953" t="s">
        <v>1826</v>
      </c>
      <c r="C1" s="1220" t="s">
        <v>1662</v>
      </c>
      <c r="D1" s="1221"/>
      <c r="E1" s="3429"/>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99232.329999999987</v>
      </c>
      <c r="E3" s="904"/>
      <c r="F3" s="905"/>
      <c r="G3" s="904"/>
      <c r="H3" s="904"/>
      <c r="I3" s="904"/>
      <c r="J3" s="904"/>
      <c r="K3" s="906"/>
      <c r="L3" s="907"/>
      <c r="M3" s="908"/>
      <c r="N3" s="908"/>
      <c r="O3" s="908"/>
      <c r="P3" s="697"/>
      <c r="Q3" s="697"/>
      <c r="R3" s="697"/>
      <c r="S3" s="697"/>
      <c r="T3" s="697"/>
      <c r="U3" s="697"/>
      <c r="V3" s="697"/>
      <c r="W3" s="697"/>
      <c r="X3" s="697"/>
      <c r="Y3" s="697"/>
      <c r="Z3" s="697"/>
      <c r="AA3" s="697"/>
      <c r="AB3" s="714"/>
      <c r="AC3" s="711"/>
    </row>
    <row r="4" spans="1:29" ht="14.4">
      <c r="A4" s="354" t="s">
        <v>1769</v>
      </c>
      <c r="B4" s="355"/>
      <c r="C4" s="3724" t="s">
        <v>1770</v>
      </c>
      <c r="D4" s="3725"/>
      <c r="E4" s="3726" t="s">
        <v>1771</v>
      </c>
      <c r="F4" s="3727"/>
      <c r="G4" s="3724" t="s">
        <v>1772</v>
      </c>
      <c r="H4" s="3725"/>
      <c r="I4" s="3724" t="s">
        <v>1773</v>
      </c>
      <c r="J4" s="3725"/>
      <c r="K4" s="558" t="s">
        <v>1774</v>
      </c>
      <c r="L4" s="909"/>
      <c r="M4" s="910"/>
      <c r="N4" s="910"/>
      <c r="O4" s="910"/>
      <c r="P4" s="3728" t="s">
        <v>1775</v>
      </c>
      <c r="Q4" s="3729"/>
      <c r="R4" s="3711" t="s">
        <v>1771</v>
      </c>
      <c r="S4" s="3712"/>
      <c r="T4" s="3711" t="s">
        <v>1772</v>
      </c>
      <c r="U4" s="3712"/>
      <c r="V4" s="3736" t="s">
        <v>1773</v>
      </c>
      <c r="W4" s="3736"/>
      <c r="X4" s="1351"/>
      <c r="Y4" s="3711" t="s">
        <v>1775</v>
      </c>
      <c r="Z4" s="3712"/>
      <c r="AA4" s="3706" t="s">
        <v>1771</v>
      </c>
      <c r="AB4" s="3707" t="s">
        <v>1772</v>
      </c>
      <c r="AC4" s="3706" t="s">
        <v>1773</v>
      </c>
    </row>
    <row r="5" spans="1:29">
      <c r="A5" s="357"/>
      <c r="B5" s="358"/>
      <c r="C5" s="3717" t="s">
        <v>1673</v>
      </c>
      <c r="D5" s="3718"/>
      <c r="E5" s="3715" t="s">
        <v>1674</v>
      </c>
      <c r="F5" s="3716"/>
      <c r="G5" s="3717" t="s">
        <v>1675</v>
      </c>
      <c r="H5" s="3718"/>
      <c r="I5" s="3717" t="s">
        <v>1676</v>
      </c>
      <c r="J5" s="3718"/>
      <c r="K5" s="558"/>
      <c r="L5" s="909"/>
      <c r="M5" s="910"/>
      <c r="N5" s="910"/>
      <c r="O5" s="910"/>
      <c r="P5" s="3730"/>
      <c r="Q5" s="3731"/>
      <c r="R5" s="3713"/>
      <c r="S5" s="3714"/>
      <c r="T5" s="3713"/>
      <c r="U5" s="3714"/>
      <c r="V5" s="3736"/>
      <c r="W5" s="3736"/>
      <c r="X5" s="1351"/>
      <c r="Y5" s="3713"/>
      <c r="Z5" s="3714"/>
      <c r="AA5" s="3707"/>
      <c r="AB5" s="3707"/>
      <c r="AC5" s="3707"/>
    </row>
    <row r="6" spans="1:29" ht="15" thickBot="1">
      <c r="A6" s="359"/>
      <c r="B6" s="360"/>
      <c r="C6" s="3719" t="s">
        <v>1677</v>
      </c>
      <c r="D6" s="3720"/>
      <c r="E6" s="3721" t="s">
        <v>1677</v>
      </c>
      <c r="F6" s="3722"/>
      <c r="G6" s="3719" t="s">
        <v>1677</v>
      </c>
      <c r="H6" s="3720"/>
      <c r="I6" s="3719" t="s">
        <v>1677</v>
      </c>
      <c r="J6" s="3720"/>
      <c r="K6" s="558" t="s">
        <v>1678</v>
      </c>
      <c r="L6" s="909"/>
      <c r="M6" s="910"/>
      <c r="N6" s="910"/>
      <c r="O6" s="910"/>
      <c r="P6" s="3732"/>
      <c r="Q6" s="3733"/>
      <c r="R6" s="3713"/>
      <c r="S6" s="3714"/>
      <c r="T6" s="3734"/>
      <c r="U6" s="3735"/>
      <c r="V6" s="3736"/>
      <c r="W6" s="3736"/>
      <c r="X6" s="1351"/>
      <c r="Y6" s="3734"/>
      <c r="Z6" s="3735"/>
      <c r="AA6" s="3708"/>
      <c r="AB6" s="3708"/>
      <c r="AC6" s="3708"/>
    </row>
    <row r="7" spans="1:29" s="108" customFormat="1" ht="15" thickBot="1">
      <c r="A7" s="361" t="s">
        <v>1679</v>
      </c>
      <c r="B7" s="362"/>
      <c r="C7" s="363">
        <f>'数据-取费表'!B2</f>
        <v>44995</v>
      </c>
      <c r="D7" s="364">
        <v>100</v>
      </c>
      <c r="E7" s="365"/>
      <c r="F7" s="366">
        <f>SUMIF(52:52,YEAR(E7)&amp;"-"&amp;MONTH(E7),53:53)</f>
        <v>0</v>
      </c>
      <c r="G7" s="365"/>
      <c r="H7" s="364">
        <f>SUMIF(52:52,YEAR(G7)&amp;"-"&amp;MONTH(G7),53:53)</f>
        <v>0</v>
      </c>
      <c r="I7" s="365"/>
      <c r="J7" s="364">
        <f>SUMIF(52:52,YEAR(I7)&amp;"-"&amp;MONTH(I7),53:53)</f>
        <v>0</v>
      </c>
      <c r="K7" s="559"/>
      <c r="L7" s="911"/>
      <c r="M7" s="912"/>
      <c r="N7" s="912"/>
      <c r="O7" s="912"/>
      <c r="P7" s="3709" t="s">
        <v>1680</v>
      </c>
      <c r="Q7" s="3737"/>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1"/>
      <c r="M8" s="912"/>
      <c r="N8" s="912"/>
      <c r="O8" s="912"/>
      <c r="P8" s="3709" t="s">
        <v>1683</v>
      </c>
      <c r="Q8" s="3710"/>
      <c r="R8" s="699" t="s">
        <v>14</v>
      </c>
      <c r="S8" s="700">
        <f t="shared" si="0"/>
        <v>100</v>
      </c>
      <c r="T8" s="699" t="s">
        <v>14</v>
      </c>
      <c r="U8" s="700">
        <f t="shared" si="1"/>
        <v>100</v>
      </c>
      <c r="V8" s="699" t="s">
        <v>14</v>
      </c>
      <c r="W8" s="700">
        <f t="shared" si="2"/>
        <v>100</v>
      </c>
      <c r="X8" s="701"/>
      <c r="Y8" s="3709" t="s">
        <v>1683</v>
      </c>
      <c r="Z8" s="3710"/>
      <c r="AA8" s="702">
        <f t="shared" ref="AA8:AA40" si="3">D8/F8</f>
        <v>1</v>
      </c>
      <c r="AB8" s="702">
        <f t="shared" ref="AB8:AB40" si="4">D8/H8</f>
        <v>1</v>
      </c>
      <c r="AC8" s="702">
        <f t="shared" ref="AC8:AC40" si="5">D8/J8</f>
        <v>1</v>
      </c>
    </row>
    <row r="9" spans="1:29" s="108" customFormat="1" ht="14.4">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1"/>
      <c r="M9" s="912"/>
      <c r="N9" s="912"/>
      <c r="O9" s="913"/>
      <c r="P9" s="3741"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702">
        <f t="shared" si="5"/>
        <v>1</v>
      </c>
    </row>
    <row r="10" spans="1:29" s="377" customFormat="1" ht="28.8">
      <c r="A10" s="373"/>
      <c r="B10" s="374" t="s">
        <v>1688</v>
      </c>
      <c r="C10" s="3430"/>
      <c r="D10" s="126">
        <v>100</v>
      </c>
      <c r="E10" s="3430"/>
      <c r="F10" s="126">
        <f>SUMIF(59:59,E10,60:60)-SUMIF(59:59,C10,60:60)+100</f>
        <v>100</v>
      </c>
      <c r="G10" s="3431"/>
      <c r="H10" s="126">
        <f>SUMIF(59:59,G10,60:60)-SUMIF(59:59,C10,60:60)+100</f>
        <v>100</v>
      </c>
      <c r="I10" s="3430"/>
      <c r="J10" s="126">
        <f>SUMIF(59:59,I10,60:60)-SUMIF(59:59,C10,60:60)+100</f>
        <v>100</v>
      </c>
      <c r="K10" s="559"/>
      <c r="L10" s="914"/>
      <c r="M10" s="915"/>
      <c r="N10" s="915"/>
      <c r="O10" s="916"/>
      <c r="P10" s="3741"/>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7"/>
      <c r="M11" s="910"/>
      <c r="N11" s="910"/>
      <c r="O11" s="918"/>
      <c r="P11" s="3741"/>
      <c r="Q11" s="1339" t="str">
        <f t="shared" si="6"/>
        <v>容积率</v>
      </c>
      <c r="R11" s="699" t="s">
        <v>14</v>
      </c>
      <c r="S11" s="700">
        <f t="shared" si="0"/>
        <v>100</v>
      </c>
      <c r="T11" s="699" t="s">
        <v>14</v>
      </c>
      <c r="U11" s="700">
        <f t="shared" si="1"/>
        <v>100</v>
      </c>
      <c r="V11" s="699" t="s">
        <v>14</v>
      </c>
      <c r="W11" s="700">
        <f t="shared" si="2"/>
        <v>100</v>
      </c>
      <c r="X11" s="701"/>
      <c r="Y11" s="3634"/>
      <c r="Z11" s="52" t="str">
        <f t="shared" si="7"/>
        <v>容积率</v>
      </c>
      <c r="AA11" s="702">
        <f t="shared" si="3"/>
        <v>1</v>
      </c>
      <c r="AB11" s="702">
        <f t="shared" si="4"/>
        <v>1</v>
      </c>
      <c r="AC11" s="702">
        <f t="shared" si="5"/>
        <v>1</v>
      </c>
    </row>
    <row r="12" spans="1:29" s="108" customFormat="1" ht="15">
      <c r="A12" s="381"/>
      <c r="B12" s="1889">
        <v>111</v>
      </c>
      <c r="C12" s="382"/>
      <c r="D12" s="383">
        <v>100</v>
      </c>
      <c r="E12" s="384"/>
      <c r="F12" s="126">
        <f>SUMIF(64:64,E12,65:65)-SUMIF(64:64,C12,65:65)+100</f>
        <v>100</v>
      </c>
      <c r="G12" s="1966"/>
      <c r="H12" s="126">
        <f>SUMIF(64:64,G12,65:65)-SUMIF(64:64,C12,65:65)+100</f>
        <v>100</v>
      </c>
      <c r="I12" s="419"/>
      <c r="J12" s="126">
        <f>SUMIF(64:64,I12,65:65)-SUMIF(64:64,C12,65:65)+100</f>
        <v>100</v>
      </c>
      <c r="K12" s="561"/>
      <c r="L12" s="911"/>
      <c r="M12" s="912"/>
      <c r="N12" s="912"/>
      <c r="O12" s="913"/>
      <c r="P12" s="3741"/>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702">
        <f>D12/J12</f>
        <v>1</v>
      </c>
    </row>
    <row r="13" spans="1:29" ht="15">
      <c r="A13" s="378"/>
      <c r="B13" s="1889">
        <v>111</v>
      </c>
      <c r="C13" s="384"/>
      <c r="D13" s="385">
        <v>100</v>
      </c>
      <c r="E13" s="384"/>
      <c r="F13" s="126">
        <f>SUMIF(66:66,E13,67:67)-SUMIF(66:66,C13,67:67)+100</f>
        <v>100</v>
      </c>
      <c r="G13" s="1966"/>
      <c r="H13" s="385">
        <f>SUMIF(66:66,G13,67:67)-SUMIF(66:66,C13,67:67)+100</f>
        <v>100</v>
      </c>
      <c r="I13" s="419"/>
      <c r="J13" s="385">
        <f>SUMIF(66:66,I13,67:67)-SUMIF(66:66,C13,67:67)+100</f>
        <v>100</v>
      </c>
      <c r="K13" s="561"/>
      <c r="L13" s="919"/>
      <c r="M13" s="910"/>
      <c r="N13" s="910"/>
      <c r="O13" s="918"/>
      <c r="P13" s="3741"/>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702">
        <f t="shared" si="5"/>
        <v>1</v>
      </c>
    </row>
    <row r="14" spans="1:29" ht="15.6" thickBot="1">
      <c r="A14" s="386"/>
      <c r="B14" s="1891">
        <v>111</v>
      </c>
      <c r="C14" s="387"/>
      <c r="D14" s="388">
        <v>100</v>
      </c>
      <c r="E14" s="387"/>
      <c r="F14" s="388">
        <f>SUMIF(68:68,E14,69:69)-SUMIF(68:68,C14,69:69)+100</f>
        <v>100</v>
      </c>
      <c r="G14" s="1966"/>
      <c r="H14" s="388">
        <f>SUMIF(68:68,G14,69:69)-SUMIF(68:68,C14,69:69)+100</f>
        <v>100</v>
      </c>
      <c r="I14" s="419"/>
      <c r="J14" s="388">
        <f>SUMIF(68:68,I14,69:69)-SUMIF(68:68,C14,69:69)+100</f>
        <v>100</v>
      </c>
      <c r="K14" s="561"/>
      <c r="L14" s="919"/>
      <c r="M14" s="910"/>
      <c r="N14" s="910"/>
      <c r="O14" s="918"/>
      <c r="P14" s="3741"/>
      <c r="Q14" s="1339">
        <f t="shared" si="6"/>
        <v>111</v>
      </c>
      <c r="R14" s="699" t="s">
        <v>14</v>
      </c>
      <c r="S14" s="700">
        <f t="shared" si="0"/>
        <v>100</v>
      </c>
      <c r="T14" s="699" t="s">
        <v>14</v>
      </c>
      <c r="U14" s="700">
        <f t="shared" si="1"/>
        <v>100</v>
      </c>
      <c r="V14" s="699" t="s">
        <v>14</v>
      </c>
      <c r="W14" s="700">
        <f t="shared" si="2"/>
        <v>100</v>
      </c>
      <c r="X14" s="701"/>
      <c r="Y14" s="3634"/>
      <c r="Z14" s="52">
        <f t="shared" si="7"/>
        <v>111</v>
      </c>
      <c r="AA14" s="702">
        <f t="shared" si="3"/>
        <v>1</v>
      </c>
      <c r="AB14" s="702">
        <f t="shared" si="4"/>
        <v>1</v>
      </c>
      <c r="AC14" s="702">
        <f t="shared" si="5"/>
        <v>1</v>
      </c>
    </row>
    <row r="15" spans="1:29" ht="69">
      <c r="A15" s="390" t="s">
        <v>1690</v>
      </c>
      <c r="B15" s="61" t="s">
        <v>1827</v>
      </c>
      <c r="C15" s="1967"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19"/>
      <c r="M15" s="910"/>
      <c r="N15" s="910"/>
      <c r="O15" s="918"/>
      <c r="P15" s="3743" t="s">
        <v>1691</v>
      </c>
      <c r="Q15" s="1348" t="str">
        <f t="shared" si="6"/>
        <v>产业集聚程度</v>
      </c>
      <c r="R15" s="703" t="s">
        <v>14</v>
      </c>
      <c r="S15" s="704">
        <f t="shared" si="0"/>
        <v>100</v>
      </c>
      <c r="T15" s="703" t="s">
        <v>14</v>
      </c>
      <c r="U15" s="704">
        <f t="shared" si="1"/>
        <v>100</v>
      </c>
      <c r="V15" s="703" t="s">
        <v>14</v>
      </c>
      <c r="W15" s="704">
        <f t="shared" si="2"/>
        <v>100</v>
      </c>
      <c r="X15" s="1351"/>
      <c r="Y15" s="3743" t="s">
        <v>1691</v>
      </c>
      <c r="Z15" s="1352" t="str">
        <f t="shared" si="7"/>
        <v>产业集聚程度</v>
      </c>
      <c r="AA15" s="1349">
        <f t="shared" si="3"/>
        <v>1</v>
      </c>
      <c r="AB15" s="1349">
        <f t="shared" si="4"/>
        <v>1</v>
      </c>
      <c r="AC15" s="1349">
        <f t="shared" si="5"/>
        <v>1</v>
      </c>
    </row>
    <row r="16" spans="1:29" ht="15">
      <c r="A16" s="378"/>
      <c r="B16" s="396"/>
      <c r="C16" s="397"/>
      <c r="D16" s="398"/>
      <c r="E16" s="397"/>
      <c r="F16" s="399"/>
      <c r="G16" s="397"/>
      <c r="H16" s="400"/>
      <c r="I16" s="397"/>
      <c r="J16" s="398"/>
      <c r="K16" s="563"/>
      <c r="L16" s="919"/>
      <c r="M16" s="910"/>
      <c r="N16" s="910"/>
      <c r="O16" s="918"/>
      <c r="P16" s="3744"/>
      <c r="Q16" s="1348"/>
      <c r="R16" s="703"/>
      <c r="S16" s="704"/>
      <c r="T16" s="703"/>
      <c r="U16" s="704"/>
      <c r="V16" s="703"/>
      <c r="W16" s="704"/>
      <c r="X16" s="1351"/>
      <c r="Y16" s="3744"/>
      <c r="Z16" s="1352"/>
      <c r="AA16" s="1349">
        <v>1</v>
      </c>
      <c r="AB16" s="1349">
        <v>1</v>
      </c>
      <c r="AC16" s="1349">
        <v>1</v>
      </c>
    </row>
    <row r="17" spans="1:29" ht="96.6">
      <c r="A17" s="378"/>
      <c r="B17" s="401" t="s">
        <v>1259</v>
      </c>
      <c r="C17" s="1896"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19"/>
      <c r="M17" s="910"/>
      <c r="N17" s="910"/>
      <c r="O17" s="918"/>
      <c r="P17" s="3744"/>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8"/>
      <c r="B18" s="406"/>
      <c r="C18" s="1897"/>
      <c r="D18" s="400"/>
      <c r="E18" s="1899"/>
      <c r="F18" s="403"/>
      <c r="G18" s="1898"/>
      <c r="H18" s="398"/>
      <c r="I18" s="1899"/>
      <c r="J18" s="398"/>
      <c r="K18" s="563"/>
      <c r="L18" s="919"/>
      <c r="M18" s="910"/>
      <c r="N18" s="910"/>
      <c r="O18" s="918"/>
      <c r="P18" s="3744"/>
      <c r="Q18" s="1348"/>
      <c r="R18" s="703"/>
      <c r="S18" s="704"/>
      <c r="T18" s="703"/>
      <c r="U18" s="704"/>
      <c r="V18" s="703"/>
      <c r="W18" s="704"/>
      <c r="X18" s="1351"/>
      <c r="Y18" s="3744"/>
      <c r="Z18" s="1352"/>
      <c r="AA18" s="1349">
        <v>1</v>
      </c>
      <c r="AB18" s="1349">
        <v>1</v>
      </c>
      <c r="AC18" s="1349">
        <v>1</v>
      </c>
    </row>
    <row r="19" spans="1:29" ht="41.4">
      <c r="A19" s="378"/>
      <c r="B19" s="401" t="s">
        <v>1812</v>
      </c>
      <c r="C19" s="1896"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19"/>
      <c r="M19" s="910"/>
      <c r="N19" s="910"/>
      <c r="O19" s="918"/>
      <c r="P19" s="3744"/>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349">
        <f t="shared" si="5"/>
        <v>1</v>
      </c>
    </row>
    <row r="20" spans="1:29" ht="15">
      <c r="A20" s="378"/>
      <c r="B20" s="406"/>
      <c r="C20" s="397"/>
      <c r="D20" s="398"/>
      <c r="E20" s="1894"/>
      <c r="F20" s="399"/>
      <c r="G20" s="1893"/>
      <c r="H20" s="398"/>
      <c r="I20" s="1894"/>
      <c r="J20" s="398"/>
      <c r="K20" s="563"/>
      <c r="L20" s="919"/>
      <c r="M20" s="910"/>
      <c r="N20" s="910"/>
      <c r="O20" s="918"/>
      <c r="P20" s="3744"/>
      <c r="Q20" s="1348"/>
      <c r="R20" s="703"/>
      <c r="S20" s="704"/>
      <c r="T20" s="703"/>
      <c r="U20" s="704"/>
      <c r="V20" s="703"/>
      <c r="W20" s="704"/>
      <c r="X20" s="1351"/>
      <c r="Y20" s="3744"/>
      <c r="Z20" s="1352"/>
      <c r="AA20" s="1349">
        <v>1</v>
      </c>
      <c r="AB20" s="1349">
        <v>1</v>
      </c>
      <c r="AC20" s="1349">
        <v>1</v>
      </c>
    </row>
    <row r="21" spans="1:29" ht="41.4">
      <c r="A21" s="378"/>
      <c r="B21" s="1127" t="s">
        <v>1813</v>
      </c>
      <c r="C21" s="1896"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19"/>
      <c r="M21" s="910"/>
      <c r="N21" s="910"/>
      <c r="O21" s="918"/>
      <c r="P21" s="3744"/>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8"/>
      <c r="B22" s="1127"/>
      <c r="C22" s="1897"/>
      <c r="D22" s="398"/>
      <c r="E22" s="397"/>
      <c r="F22" s="399"/>
      <c r="G22" s="397"/>
      <c r="H22" s="398"/>
      <c r="I22" s="397"/>
      <c r="J22" s="398"/>
      <c r="K22" s="1126"/>
      <c r="L22" s="919"/>
      <c r="M22" s="910"/>
      <c r="N22" s="910"/>
      <c r="O22" s="918"/>
      <c r="P22" s="3744"/>
      <c r="Q22" s="1348"/>
      <c r="R22" s="703"/>
      <c r="S22" s="704"/>
      <c r="T22" s="703"/>
      <c r="U22" s="704"/>
      <c r="V22" s="703"/>
      <c r="W22" s="704"/>
      <c r="X22" s="1351"/>
      <c r="Y22" s="3744"/>
      <c r="Z22" s="1352"/>
      <c r="AA22" s="1349">
        <v>1</v>
      </c>
      <c r="AB22" s="1349">
        <v>1</v>
      </c>
      <c r="AC22" s="1349">
        <v>1</v>
      </c>
    </row>
    <row r="23" spans="1:29" ht="82.8">
      <c r="A23" s="378"/>
      <c r="B23" s="401" t="s">
        <v>1814</v>
      </c>
      <c r="C23" s="1896"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19"/>
      <c r="M23" s="910"/>
      <c r="N23" s="910"/>
      <c r="O23" s="918"/>
      <c r="P23" s="3744"/>
      <c r="Q23" s="1348" t="str">
        <f>B23</f>
        <v>环境质量</v>
      </c>
      <c r="R23" s="703" t="s">
        <v>14</v>
      </c>
      <c r="S23" s="704">
        <f>F23</f>
        <v>100</v>
      </c>
      <c r="T23" s="703" t="s">
        <v>14</v>
      </c>
      <c r="U23" s="704">
        <f>H23</f>
        <v>100</v>
      </c>
      <c r="V23" s="703" t="s">
        <v>14</v>
      </c>
      <c r="W23" s="704">
        <f>J23</f>
        <v>100</v>
      </c>
      <c r="X23" s="1351"/>
      <c r="Y23" s="3744"/>
      <c r="Z23" s="1352" t="str">
        <f>Q23</f>
        <v>环境质量</v>
      </c>
      <c r="AA23" s="1349">
        <f t="shared" si="3"/>
        <v>1</v>
      </c>
      <c r="AB23" s="1349">
        <f t="shared" si="4"/>
        <v>1</v>
      </c>
      <c r="AC23" s="1349">
        <f t="shared" si="5"/>
        <v>1</v>
      </c>
    </row>
    <row r="24" spans="1:29" ht="15">
      <c r="A24" s="378"/>
      <c r="B24" s="1127"/>
      <c r="C24" s="397"/>
      <c r="D24" s="398"/>
      <c r="E24" s="1894"/>
      <c r="F24" s="399"/>
      <c r="G24" s="1893"/>
      <c r="H24" s="398"/>
      <c r="I24" s="1894"/>
      <c r="J24" s="398"/>
      <c r="K24" s="563"/>
      <c r="L24" s="919"/>
      <c r="M24" s="910"/>
      <c r="N24" s="910"/>
      <c r="O24" s="918"/>
      <c r="P24" s="3744"/>
      <c r="Q24" s="1348"/>
      <c r="R24" s="703"/>
      <c r="S24" s="704"/>
      <c r="T24" s="703"/>
      <c r="U24" s="704"/>
      <c r="V24" s="703"/>
      <c r="W24" s="704"/>
      <c r="X24" s="1351"/>
      <c r="Y24" s="3744"/>
      <c r="Z24" s="1352"/>
      <c r="AA24" s="1349">
        <v>1</v>
      </c>
      <c r="AB24" s="1349">
        <v>1</v>
      </c>
      <c r="AC24" s="1349">
        <v>1</v>
      </c>
    </row>
    <row r="25" spans="1:29" ht="15">
      <c r="A25" s="357"/>
      <c r="B25" s="1129">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19"/>
      <c r="M25" s="910"/>
      <c r="N25" s="910"/>
      <c r="O25" s="918"/>
      <c r="P25" s="3744"/>
      <c r="Q25" s="1348">
        <f>B25</f>
        <v>111</v>
      </c>
      <c r="R25" s="703" t="s">
        <v>14</v>
      </c>
      <c r="S25" s="704">
        <f>F25</f>
        <v>100</v>
      </c>
      <c r="T25" s="703" t="s">
        <v>14</v>
      </c>
      <c r="U25" s="704">
        <f>H25</f>
        <v>100</v>
      </c>
      <c r="V25" s="703" t="s">
        <v>14</v>
      </c>
      <c r="W25" s="704">
        <f>J25</f>
        <v>100</v>
      </c>
      <c r="X25" s="1351"/>
      <c r="Y25" s="3744"/>
      <c r="Z25" s="1352">
        <f>Q25</f>
        <v>111</v>
      </c>
      <c r="AA25" s="1349">
        <f t="shared" si="3"/>
        <v>1</v>
      </c>
      <c r="AB25" s="1349">
        <f t="shared" si="4"/>
        <v>1</v>
      </c>
      <c r="AC25" s="1349">
        <f t="shared" si="5"/>
        <v>1</v>
      </c>
    </row>
    <row r="26" spans="1:29" ht="15">
      <c r="A26" s="378"/>
      <c r="B26" s="1129">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19"/>
      <c r="M26" s="910"/>
      <c r="N26" s="910"/>
      <c r="O26" s="918"/>
      <c r="P26" s="3744"/>
      <c r="Q26" s="1348">
        <f t="shared" ref="Q26:Q40" si="11">B26</f>
        <v>111</v>
      </c>
      <c r="R26" s="703" t="s">
        <v>14</v>
      </c>
      <c r="S26" s="704">
        <f>F26</f>
        <v>100</v>
      </c>
      <c r="T26" s="703" t="s">
        <v>14</v>
      </c>
      <c r="U26" s="704">
        <f>H26</f>
        <v>100</v>
      </c>
      <c r="V26" s="703" t="s">
        <v>14</v>
      </c>
      <c r="W26" s="704">
        <f>J26</f>
        <v>100</v>
      </c>
      <c r="X26" s="1351"/>
      <c r="Y26" s="3744"/>
      <c r="Z26" s="1352">
        <f>Q26</f>
        <v>111</v>
      </c>
      <c r="AA26" s="1349">
        <f t="shared" si="3"/>
        <v>1</v>
      </c>
      <c r="AB26" s="1349">
        <f t="shared" si="4"/>
        <v>1</v>
      </c>
      <c r="AC26" s="1349">
        <f t="shared" si="5"/>
        <v>1</v>
      </c>
    </row>
    <row r="27" spans="1:29" s="108" customFormat="1" ht="15">
      <c r="A27" s="381"/>
      <c r="B27" s="1129">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1"/>
      <c r="M27" s="912"/>
      <c r="N27" s="912"/>
      <c r="O27" s="913"/>
      <c r="P27" s="3744"/>
      <c r="Q27" s="1339">
        <f t="shared" si="11"/>
        <v>111</v>
      </c>
      <c r="R27" s="699" t="s">
        <v>14</v>
      </c>
      <c r="S27" s="700">
        <f>F27</f>
        <v>100</v>
      </c>
      <c r="T27" s="699" t="s">
        <v>14</v>
      </c>
      <c r="U27" s="700">
        <f>H27</f>
        <v>100</v>
      </c>
      <c r="V27" s="699" t="s">
        <v>14</v>
      </c>
      <c r="W27" s="700">
        <f>J27</f>
        <v>100</v>
      </c>
      <c r="X27" s="701"/>
      <c r="Y27" s="3744"/>
      <c r="Z27" s="52">
        <f>Q27</f>
        <v>111</v>
      </c>
      <c r="AA27" s="1349">
        <f>D27/F27</f>
        <v>1</v>
      </c>
      <c r="AB27" s="1349">
        <f>D27/H27</f>
        <v>1</v>
      </c>
      <c r="AC27" s="1349">
        <f>D27/J27</f>
        <v>1</v>
      </c>
    </row>
    <row r="28" spans="1:29" ht="15.6" thickBot="1">
      <c r="A28" s="386"/>
      <c r="B28" s="1129">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19"/>
      <c r="M28" s="910"/>
      <c r="N28" s="910"/>
      <c r="O28" s="918"/>
      <c r="P28" s="3744"/>
      <c r="Q28" s="1348">
        <f t="shared" si="11"/>
        <v>111</v>
      </c>
      <c r="R28" s="703" t="s">
        <v>14</v>
      </c>
      <c r="S28" s="704">
        <f t="shared" ref="S28:S40" si="12">F28</f>
        <v>100</v>
      </c>
      <c r="T28" s="703" t="s">
        <v>14</v>
      </c>
      <c r="U28" s="704">
        <f t="shared" ref="U28:U40" si="13">H28</f>
        <v>100</v>
      </c>
      <c r="V28" s="703" t="s">
        <v>14</v>
      </c>
      <c r="W28" s="704">
        <f t="shared" ref="W28:W40" si="14">J28</f>
        <v>100</v>
      </c>
      <c r="X28" s="1351"/>
      <c r="Y28" s="3744"/>
      <c r="Z28" s="1352">
        <f t="shared" ref="Z28:Z40" si="15">Q28</f>
        <v>111</v>
      </c>
      <c r="AA28" s="1349">
        <f t="shared" si="3"/>
        <v>1</v>
      </c>
      <c r="AB28" s="1349">
        <f t="shared" si="4"/>
        <v>1</v>
      </c>
      <c r="AC28" s="1349">
        <f t="shared" si="5"/>
        <v>1</v>
      </c>
    </row>
    <row r="29" spans="1:29" ht="30">
      <c r="A29" s="416" t="s">
        <v>1694</v>
      </c>
      <c r="B29" s="63" t="s">
        <v>1817</v>
      </c>
      <c r="C29" s="1963"/>
      <c r="D29" s="417">
        <v>100</v>
      </c>
      <c r="E29" s="1963"/>
      <c r="F29" s="411">
        <f>SUMIF(88:88,E29,89:89)-SUMIF(88:88,C29,89:89)+100</f>
        <v>100</v>
      </c>
      <c r="G29" s="1963"/>
      <c r="H29" s="385">
        <f>SUMIF(88:88,G29,89:89)-SUMIF(88:88,C29,89:89)+100</f>
        <v>100</v>
      </c>
      <c r="I29" s="1963"/>
      <c r="J29" s="417">
        <f>SUMIF(88:88,I29,89:89)-SUMIF(88:88,C29,89:89)+100</f>
        <v>100</v>
      </c>
      <c r="K29" s="560"/>
      <c r="L29" s="919"/>
      <c r="M29" s="910"/>
      <c r="N29" s="910"/>
      <c r="O29" s="918"/>
      <c r="P29" s="3767" t="s">
        <v>1696</v>
      </c>
      <c r="Q29" s="1348" t="str">
        <f t="shared" si="11"/>
        <v>建筑类型</v>
      </c>
      <c r="R29" s="703" t="s">
        <v>14</v>
      </c>
      <c r="S29" s="704">
        <f t="shared" si="12"/>
        <v>100</v>
      </c>
      <c r="T29" s="703" t="s">
        <v>14</v>
      </c>
      <c r="U29" s="704">
        <f t="shared" si="13"/>
        <v>100</v>
      </c>
      <c r="V29" s="703" t="s">
        <v>14</v>
      </c>
      <c r="W29" s="704">
        <f t="shared" si="14"/>
        <v>100</v>
      </c>
      <c r="X29" s="1351"/>
      <c r="Y29" s="3748" t="s">
        <v>1696</v>
      </c>
      <c r="Z29" s="1352" t="str">
        <f t="shared" si="15"/>
        <v>建筑类型</v>
      </c>
      <c r="AA29" s="1349">
        <f t="shared" si="3"/>
        <v>1</v>
      </c>
      <c r="AB29" s="1349">
        <f t="shared" si="4"/>
        <v>1</v>
      </c>
      <c r="AC29" s="1349">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7"/>
      <c r="M30" s="920"/>
      <c r="N30" s="920"/>
      <c r="O30" s="921"/>
      <c r="P30" s="3748"/>
      <c r="Q30" s="705" t="str">
        <f t="shared" si="11"/>
        <v>项目建筑规模</v>
      </c>
      <c r="R30" s="706" t="s">
        <v>14</v>
      </c>
      <c r="S30" s="707" t="e">
        <f t="shared" si="12"/>
        <v>#N/A</v>
      </c>
      <c r="T30" s="706" t="s">
        <v>14</v>
      </c>
      <c r="U30" s="707" t="e">
        <f t="shared" si="13"/>
        <v>#N/A</v>
      </c>
      <c r="V30" s="706" t="s">
        <v>14</v>
      </c>
      <c r="W30" s="707" t="e">
        <f t="shared" si="14"/>
        <v>#N/A</v>
      </c>
      <c r="X30" s="708"/>
      <c r="Y30" s="3748"/>
      <c r="Z30" s="709" t="str">
        <f t="shared" si="15"/>
        <v>项目建筑规模</v>
      </c>
      <c r="AA30" s="1349" t="e">
        <f t="shared" si="3"/>
        <v>#N/A</v>
      </c>
      <c r="AB30" s="1349" t="e">
        <f t="shared" si="4"/>
        <v>#N/A</v>
      </c>
      <c r="AC30" s="1349"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19"/>
      <c r="M31" s="910"/>
      <c r="N31" s="910"/>
      <c r="O31" s="918"/>
      <c r="P31" s="3748"/>
      <c r="Q31" s="1348" t="str">
        <f t="shared" si="11"/>
        <v>建筑结构</v>
      </c>
      <c r="R31" s="703" t="s">
        <v>14</v>
      </c>
      <c r="S31" s="704">
        <f t="shared" si="12"/>
        <v>100</v>
      </c>
      <c r="T31" s="703" t="s">
        <v>14</v>
      </c>
      <c r="U31" s="704">
        <f t="shared" si="13"/>
        <v>100</v>
      </c>
      <c r="V31" s="703" t="s">
        <v>14</v>
      </c>
      <c r="W31" s="704">
        <f t="shared" si="14"/>
        <v>100</v>
      </c>
      <c r="X31" s="1351"/>
      <c r="Y31" s="3748"/>
      <c r="Z31" s="1352" t="str">
        <f t="shared" si="15"/>
        <v>建筑结构</v>
      </c>
      <c r="AA31" s="1349">
        <f t="shared" si="3"/>
        <v>1</v>
      </c>
      <c r="AB31" s="1349">
        <f t="shared" si="4"/>
        <v>1</v>
      </c>
      <c r="AC31" s="1349">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19"/>
      <c r="M32" s="910"/>
      <c r="N32" s="910"/>
      <c r="O32" s="918"/>
      <c r="P32" s="3748"/>
      <c r="Q32" s="1348" t="str">
        <f t="shared" si="11"/>
        <v>公共部分装修</v>
      </c>
      <c r="R32" s="703" t="s">
        <v>14</v>
      </c>
      <c r="S32" s="704">
        <f t="shared" si="12"/>
        <v>100</v>
      </c>
      <c r="T32" s="703" t="s">
        <v>14</v>
      </c>
      <c r="U32" s="704">
        <f t="shared" si="13"/>
        <v>100</v>
      </c>
      <c r="V32" s="703" t="s">
        <v>14</v>
      </c>
      <c r="W32" s="704">
        <f t="shared" si="14"/>
        <v>100</v>
      </c>
      <c r="X32" s="1351"/>
      <c r="Y32" s="3748"/>
      <c r="Z32" s="1352" t="str">
        <f t="shared" si="15"/>
        <v>公共部分装修</v>
      </c>
      <c r="AA32" s="1349">
        <f t="shared" si="3"/>
        <v>1</v>
      </c>
      <c r="AB32" s="1349">
        <f t="shared" si="4"/>
        <v>1</v>
      </c>
      <c r="AC32" s="1349">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19"/>
      <c r="M33" s="910"/>
      <c r="N33" s="910"/>
      <c r="O33" s="918"/>
      <c r="P33" s="3748"/>
      <c r="Q33" s="1348" t="str">
        <f t="shared" si="11"/>
        <v>成新度</v>
      </c>
      <c r="R33" s="703" t="s">
        <v>14</v>
      </c>
      <c r="S33" s="704" t="e">
        <f t="shared" si="12"/>
        <v>#N/A</v>
      </c>
      <c r="T33" s="703" t="s">
        <v>14</v>
      </c>
      <c r="U33" s="704" t="e">
        <f t="shared" si="13"/>
        <v>#N/A</v>
      </c>
      <c r="V33" s="703" t="s">
        <v>14</v>
      </c>
      <c r="W33" s="704" t="e">
        <f t="shared" si="14"/>
        <v>#N/A</v>
      </c>
      <c r="X33" s="1351"/>
      <c r="Y33" s="3748"/>
      <c r="Z33" s="1352" t="str">
        <f t="shared" si="15"/>
        <v>成新度</v>
      </c>
      <c r="AA33" s="1349" t="e">
        <f t="shared" si="3"/>
        <v>#N/A</v>
      </c>
      <c r="AB33" s="1349" t="e">
        <f t="shared" si="4"/>
        <v>#N/A</v>
      </c>
      <c r="AC33" s="1349" t="e">
        <f t="shared" si="5"/>
        <v>#N/A</v>
      </c>
    </row>
    <row r="34" spans="1:29" s="108"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1"/>
      <c r="M34" s="912"/>
      <c r="N34" s="912"/>
      <c r="O34" s="913"/>
      <c r="P34" s="3748"/>
      <c r="Q34" s="1339" t="str">
        <f t="shared" si="11"/>
        <v>物业管理</v>
      </c>
      <c r="R34" s="699" t="s">
        <v>14</v>
      </c>
      <c r="S34" s="700">
        <f t="shared" si="12"/>
        <v>100</v>
      </c>
      <c r="T34" s="699" t="s">
        <v>14</v>
      </c>
      <c r="U34" s="700">
        <f t="shared" si="13"/>
        <v>100</v>
      </c>
      <c r="V34" s="699" t="s">
        <v>14</v>
      </c>
      <c r="W34" s="700">
        <f t="shared" si="14"/>
        <v>100</v>
      </c>
      <c r="X34" s="701"/>
      <c r="Y34" s="3748"/>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19"/>
      <c r="M35" s="910"/>
      <c r="N35" s="910"/>
      <c r="O35" s="918"/>
      <c r="P35" s="3748" t="s">
        <v>1696</v>
      </c>
      <c r="Q35" s="1348" t="str">
        <f t="shared" si="11"/>
        <v>市政基础设施</v>
      </c>
      <c r="R35" s="703" t="s">
        <v>14</v>
      </c>
      <c r="S35" s="704">
        <f t="shared" si="12"/>
        <v>100</v>
      </c>
      <c r="T35" s="703" t="s">
        <v>14</v>
      </c>
      <c r="U35" s="704">
        <f t="shared" si="13"/>
        <v>100</v>
      </c>
      <c r="V35" s="703" t="s">
        <v>14</v>
      </c>
      <c r="W35" s="704">
        <f t="shared" si="14"/>
        <v>100</v>
      </c>
      <c r="X35" s="1351"/>
      <c r="Y35" s="3748" t="s">
        <v>1696</v>
      </c>
      <c r="Z35" s="1352" t="str">
        <f t="shared" si="15"/>
        <v>市政基础设施</v>
      </c>
      <c r="AA35" s="1349">
        <f t="shared" si="3"/>
        <v>1</v>
      </c>
      <c r="AB35" s="1349">
        <f t="shared" si="4"/>
        <v>1</v>
      </c>
      <c r="AC35" s="1349">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19"/>
      <c r="M36" s="910"/>
      <c r="N36" s="910"/>
      <c r="O36" s="918"/>
      <c r="P36" s="3748"/>
      <c r="Q36" s="1348" t="str">
        <f t="shared" si="11"/>
        <v>内部装修</v>
      </c>
      <c r="R36" s="703" t="s">
        <v>14</v>
      </c>
      <c r="S36" s="704">
        <f t="shared" si="12"/>
        <v>100</v>
      </c>
      <c r="T36" s="703" t="s">
        <v>14</v>
      </c>
      <c r="U36" s="704">
        <f t="shared" si="13"/>
        <v>100</v>
      </c>
      <c r="V36" s="703" t="s">
        <v>14</v>
      </c>
      <c r="W36" s="704">
        <f t="shared" si="14"/>
        <v>100</v>
      </c>
      <c r="X36" s="1351"/>
      <c r="Y36" s="3748"/>
      <c r="Z36" s="1352" t="str">
        <f t="shared" si="15"/>
        <v>内部装修</v>
      </c>
      <c r="AA36" s="1349">
        <f t="shared" si="3"/>
        <v>1</v>
      </c>
      <c r="AB36" s="1349">
        <f t="shared" si="4"/>
        <v>1</v>
      </c>
      <c r="AC36" s="1349">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19"/>
      <c r="M37" s="910"/>
      <c r="N37" s="910"/>
      <c r="O37" s="918"/>
      <c r="P37" s="3748"/>
      <c r="Q37" s="1348" t="str">
        <f t="shared" si="11"/>
        <v>内部装修状况</v>
      </c>
      <c r="R37" s="703" t="s">
        <v>14</v>
      </c>
      <c r="S37" s="704">
        <f t="shared" si="12"/>
        <v>100</v>
      </c>
      <c r="T37" s="703" t="s">
        <v>14</v>
      </c>
      <c r="U37" s="704">
        <f t="shared" si="13"/>
        <v>100</v>
      </c>
      <c r="V37" s="703" t="s">
        <v>14</v>
      </c>
      <c r="W37" s="704">
        <f t="shared" si="14"/>
        <v>100</v>
      </c>
      <c r="X37" s="1351"/>
      <c r="Y37" s="3748"/>
      <c r="Z37" s="1352" t="str">
        <f t="shared" si="15"/>
        <v>内部装修状况</v>
      </c>
      <c r="AA37" s="1349">
        <f t="shared" si="3"/>
        <v>1</v>
      </c>
      <c r="AB37" s="1349">
        <f t="shared" si="4"/>
        <v>1</v>
      </c>
      <c r="AC37" s="1349">
        <f t="shared" si="5"/>
        <v>1</v>
      </c>
    </row>
    <row r="38" spans="1:29" s="421" customFormat="1" ht="15">
      <c r="A38" s="418"/>
      <c r="B38" s="1129">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7"/>
      <c r="M38" s="920"/>
      <c r="N38" s="920"/>
      <c r="O38" s="921"/>
      <c r="P38" s="3748"/>
      <c r="Q38" s="705">
        <f t="shared" si="11"/>
        <v>111</v>
      </c>
      <c r="R38" s="706" t="s">
        <v>14</v>
      </c>
      <c r="S38" s="707">
        <f t="shared" si="12"/>
        <v>100</v>
      </c>
      <c r="T38" s="706" t="s">
        <v>14</v>
      </c>
      <c r="U38" s="707">
        <f t="shared" si="13"/>
        <v>100</v>
      </c>
      <c r="V38" s="706" t="s">
        <v>14</v>
      </c>
      <c r="W38" s="707">
        <f t="shared" si="14"/>
        <v>100</v>
      </c>
      <c r="X38" s="708"/>
      <c r="Y38" s="3748"/>
      <c r="Z38" s="709">
        <f t="shared" si="15"/>
        <v>111</v>
      </c>
      <c r="AA38" s="1349">
        <f t="shared" si="3"/>
        <v>1</v>
      </c>
      <c r="AB38" s="1349">
        <f t="shared" si="4"/>
        <v>1</v>
      </c>
      <c r="AC38" s="1349">
        <f t="shared" si="5"/>
        <v>1</v>
      </c>
    </row>
    <row r="39" spans="1:29" ht="15">
      <c r="A39" s="422"/>
      <c r="B39" s="1129">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19"/>
      <c r="M39" s="910"/>
      <c r="N39" s="910"/>
      <c r="O39" s="918"/>
      <c r="P39" s="3748"/>
      <c r="Q39" s="1348">
        <f t="shared" si="11"/>
        <v>111</v>
      </c>
      <c r="R39" s="703" t="s">
        <v>14</v>
      </c>
      <c r="S39" s="704">
        <f t="shared" si="12"/>
        <v>100</v>
      </c>
      <c r="T39" s="703" t="s">
        <v>14</v>
      </c>
      <c r="U39" s="704">
        <f t="shared" si="13"/>
        <v>100</v>
      </c>
      <c r="V39" s="703" t="s">
        <v>14</v>
      </c>
      <c r="W39" s="704">
        <f t="shared" si="14"/>
        <v>100</v>
      </c>
      <c r="X39" s="1351"/>
      <c r="Y39" s="3748"/>
      <c r="Z39" s="1352">
        <f t="shared" si="15"/>
        <v>111</v>
      </c>
      <c r="AA39" s="1349">
        <f t="shared" si="3"/>
        <v>1</v>
      </c>
      <c r="AB39" s="1349">
        <f t="shared" si="4"/>
        <v>1</v>
      </c>
      <c r="AC39" s="1349">
        <f t="shared" si="5"/>
        <v>1</v>
      </c>
    </row>
    <row r="40" spans="1:29" ht="15.6" thickBot="1">
      <c r="A40" s="428"/>
      <c r="B40" s="1891">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19"/>
      <c r="M40" s="910"/>
      <c r="N40" s="910"/>
      <c r="O40" s="918"/>
      <c r="P40" s="3749"/>
      <c r="Q40" s="1348">
        <f t="shared" si="11"/>
        <v>111</v>
      </c>
      <c r="R40" s="703" t="s">
        <v>14</v>
      </c>
      <c r="S40" s="704">
        <f t="shared" si="12"/>
        <v>100</v>
      </c>
      <c r="T40" s="703" t="s">
        <v>14</v>
      </c>
      <c r="U40" s="704">
        <f t="shared" si="13"/>
        <v>100</v>
      </c>
      <c r="V40" s="703" t="s">
        <v>14</v>
      </c>
      <c r="W40" s="704">
        <f t="shared" si="14"/>
        <v>100</v>
      </c>
      <c r="X40" s="1351"/>
      <c r="Y40" s="3749"/>
      <c r="Z40" s="1352">
        <f t="shared" si="15"/>
        <v>111</v>
      </c>
      <c r="AA40" s="1349">
        <f t="shared" si="3"/>
        <v>1</v>
      </c>
      <c r="AB40" s="1349">
        <f t="shared" si="4"/>
        <v>1</v>
      </c>
      <c r="AC40" s="1349">
        <f t="shared" si="5"/>
        <v>1</v>
      </c>
    </row>
    <row r="41" spans="1:29" ht="14.4">
      <c r="A41" s="429" t="s">
        <v>1708</v>
      </c>
      <c r="B41" s="430"/>
      <c r="C41" s="1150" t="s">
        <v>0</v>
      </c>
      <c r="D41" s="1151"/>
      <c r="E41" s="1152"/>
      <c r="F41" s="1153"/>
      <c r="G41" s="1154"/>
      <c r="H41" s="1155"/>
      <c r="I41" s="1152"/>
      <c r="J41" s="1155"/>
      <c r="K41" s="712"/>
      <c r="L41" s="922"/>
      <c r="M41" s="923"/>
      <c r="N41" s="910"/>
      <c r="O41" s="923"/>
      <c r="P41" s="3741" t="str">
        <f>A41</f>
        <v>成交单价（元/平方米）</v>
      </c>
      <c r="Q41" s="3741"/>
      <c r="R41" s="3742">
        <f>E41</f>
        <v>0</v>
      </c>
      <c r="S41" s="3742"/>
      <c r="T41" s="3742">
        <f>G41</f>
        <v>0</v>
      </c>
      <c r="U41" s="3742"/>
      <c r="V41" s="3742">
        <f>I41</f>
        <v>0</v>
      </c>
      <c r="W41" s="3742"/>
      <c r="X41" s="688"/>
      <c r="Y41" s="710"/>
      <c r="Z41" s="688"/>
      <c r="AA41" s="688"/>
      <c r="AB41" s="688"/>
      <c r="AC41" s="688"/>
    </row>
    <row r="42" spans="1:29" ht="15" thickBot="1">
      <c r="A42" s="436" t="s">
        <v>1793</v>
      </c>
      <c r="B42" s="437"/>
      <c r="C42" s="1156" t="e">
        <f>R43</f>
        <v>#DIV/0!</v>
      </c>
      <c r="D42" s="2313" t="s">
        <v>2138</v>
      </c>
      <c r="E42" s="1157" t="e">
        <f>R42</f>
        <v>#DIV/0!</v>
      </c>
      <c r="F42" s="2314"/>
      <c r="G42" s="1156" t="e">
        <f>T42</f>
        <v>#DIV/0!</v>
      </c>
      <c r="H42" s="2314"/>
      <c r="I42" s="1157" t="e">
        <f>V42</f>
        <v>#DIV/0!</v>
      </c>
      <c r="J42" s="2314"/>
      <c r="K42" s="2316">
        <f>F42+H42+J42</f>
        <v>0</v>
      </c>
      <c r="L42" s="922"/>
      <c r="M42" s="923"/>
      <c r="N42" s="910"/>
      <c r="O42" s="923"/>
      <c r="P42" s="3741" t="str">
        <f>A42</f>
        <v>比较价值（元/平方米）</v>
      </c>
      <c r="Q42" s="3741"/>
      <c r="R42" s="3742" t="e">
        <f>IF(F1="售价",ROUND(PRODUCT(R41,AA7:AA40),0),ROUND(PRODUCT(R41,AA7:AA40),1))</f>
        <v>#DIV/0!</v>
      </c>
      <c r="S42" s="3742"/>
      <c r="T42" s="3742" t="e">
        <f>IF(F1="售价",ROUND(PRODUCT(T41,AB7:AB40),0),ROUND(PRODUCT(T41,AB7:AB40),1))</f>
        <v>#DIV/0!</v>
      </c>
      <c r="U42" s="3742"/>
      <c r="V42" s="3742" t="e">
        <f>IF(F1="售价",ROUND(PRODUCT(V41,AC7:AC40),0),ROUND(PRODUCT(V41,AC7:AC40),1))</f>
        <v>#DIV/0!</v>
      </c>
      <c r="W42" s="3742"/>
      <c r="X42" s="688"/>
      <c r="Y42" s="688"/>
      <c r="Z42" s="688"/>
      <c r="AA42" s="688"/>
      <c r="AB42" s="688"/>
      <c r="AC42" s="688"/>
    </row>
    <row r="43" spans="1:29" ht="15" thickBot="1">
      <c r="A43" s="440" t="s">
        <v>1794</v>
      </c>
      <c r="B43" s="441"/>
      <c r="C43" s="1159" t="e">
        <f>R43</f>
        <v>#DIV/0!</v>
      </c>
      <c r="D43" s="1159"/>
      <c r="E43" s="1159"/>
      <c r="F43" s="1159"/>
      <c r="G43" s="1159"/>
      <c r="H43" s="1159"/>
      <c r="I43" s="1159"/>
      <c r="J43" s="1159"/>
      <c r="K43" s="713"/>
      <c r="L43" s="922"/>
      <c r="M43" s="923"/>
      <c r="N43" s="923"/>
      <c r="O43" s="923"/>
      <c r="P43" s="3738" t="str">
        <f>A43</f>
        <v>估价对象XX用房的比较价值（楼面单价，元/平方米）</v>
      </c>
      <c r="Q43" s="3739"/>
      <c r="R43" s="3740" t="e">
        <f>IF(F1="售价",ROUND(IF(D42="简单平均",AVERAGE(R42:V42),R42*F42+T42*H42+V42*J42),0),ROUND(IF(D42="简单平均",AVERAGE(R42:V42),R42*F42+T42*H42+V42*J42),1))</f>
        <v>#DIV/0!</v>
      </c>
      <c r="S43" s="3740"/>
      <c r="T43" s="3740"/>
      <c r="U43" s="3740"/>
      <c r="V43" s="3740"/>
      <c r="W43" s="3740"/>
      <c r="X43" s="688"/>
      <c r="Y43" s="688"/>
      <c r="Z43" s="688"/>
      <c r="AA43" s="688"/>
      <c r="AB43" s="688"/>
      <c r="AC43" s="688"/>
    </row>
    <row r="44" spans="1:29">
      <c r="A44" s="2721"/>
      <c r="B44" s="2721"/>
      <c r="C44" s="2721"/>
      <c r="D44" s="2721"/>
      <c r="E44" s="2721"/>
      <c r="F44" s="2721"/>
      <c r="G44" s="2725"/>
      <c r="H44" s="2721"/>
      <c r="I44" s="2721"/>
      <c r="J44" s="2721"/>
      <c r="K44" s="2726"/>
      <c r="L44" s="885"/>
      <c r="M44" s="923"/>
      <c r="N44" s="923"/>
      <c r="O44" s="923"/>
    </row>
    <row r="45" spans="1:29">
      <c r="A45" s="2721"/>
      <c r="B45" s="2721"/>
      <c r="C45" s="2721"/>
      <c r="D45" s="2721"/>
      <c r="E45" s="2721"/>
      <c r="F45" s="2721"/>
      <c r="G45" s="2721"/>
      <c r="H45" s="2721"/>
      <c r="I45" s="2721"/>
      <c r="J45" s="2721"/>
      <c r="K45" s="2726"/>
      <c r="L45" s="885"/>
      <c r="M45" s="923"/>
      <c r="N45" s="923"/>
      <c r="O45" s="923"/>
    </row>
    <row r="46" spans="1:29" ht="13.5" customHeight="1">
      <c r="A46" s="2721"/>
      <c r="B46" s="2721"/>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885"/>
      <c r="M46" s="923"/>
      <c r="N46" s="923"/>
      <c r="O46" s="923"/>
    </row>
    <row r="47" spans="1:29" ht="13.5" customHeight="1">
      <c r="A47" s="2721"/>
      <c r="B47" s="2721"/>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885"/>
      <c r="M47" s="923"/>
      <c r="N47" s="923"/>
      <c r="O47" s="923"/>
    </row>
    <row r="48" spans="1:29" s="450" customFormat="1" ht="13.5" customHeight="1">
      <c r="A48" s="2724"/>
      <c r="B48" s="2724"/>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926"/>
      <c r="M48" s="924"/>
      <c r="N48" s="924"/>
      <c r="O48" s="924"/>
    </row>
    <row r="49" spans="1:17" s="450" customFormat="1">
      <c r="A49" s="2724"/>
      <c r="B49" s="2727"/>
      <c r="C49" s="2728"/>
      <c r="D49" s="2724"/>
      <c r="E49" s="2724"/>
      <c r="F49" s="2724"/>
      <c r="G49" s="2724"/>
      <c r="H49" s="2724"/>
      <c r="I49" s="2724"/>
      <c r="J49" s="2724"/>
      <c r="K49" s="2729"/>
      <c r="L49" s="926"/>
      <c r="M49" s="924"/>
      <c r="N49" s="924"/>
      <c r="O49" s="924"/>
    </row>
    <row r="50" spans="1:17">
      <c r="A50" s="2721"/>
      <c r="B50" s="2727"/>
      <c r="C50" s="2728"/>
      <c r="D50" s="2721"/>
      <c r="E50" s="2721"/>
      <c r="F50" s="2721"/>
      <c r="G50" s="2721"/>
      <c r="H50" s="2721"/>
      <c r="I50" s="2721"/>
      <c r="J50" s="2721"/>
      <c r="K50" s="2726"/>
      <c r="L50" s="885"/>
      <c r="M50" s="923"/>
      <c r="N50" s="923"/>
      <c r="O50" s="923"/>
    </row>
    <row r="51" spans="1:17" ht="22.2" thickBot="1">
      <c r="A51" s="692" t="s">
        <v>1798</v>
      </c>
      <c r="B51" s="688"/>
      <c r="C51" s="693"/>
      <c r="D51" s="693"/>
      <c r="E51" s="693"/>
      <c r="F51" s="694"/>
      <c r="G51" s="694"/>
      <c r="H51" s="693"/>
      <c r="I51" s="693"/>
      <c r="J51" s="693"/>
      <c r="K51" s="937"/>
      <c r="L51" s="938"/>
      <c r="M51" s="936"/>
      <c r="N51" s="936"/>
      <c r="O51" s="936"/>
      <c r="P51" s="451"/>
      <c r="Q51" s="452"/>
    </row>
    <row r="52" spans="1:17" s="456" customFormat="1" ht="14.4">
      <c r="A52" s="453" t="s">
        <v>1679</v>
      </c>
      <c r="B52" s="454"/>
      <c r="C52" s="1180" t="str">
        <f>YEAR(C7)&amp;"-"&amp;MONTH(C7)</f>
        <v>2023-3</v>
      </c>
      <c r="D52" s="1181">
        <f>EDATE(C52,-1)</f>
        <v>44958</v>
      </c>
      <c r="E52" s="1181">
        <f t="shared" ref="E52:O52" si="16">EDATE(D52,-1)</f>
        <v>44927</v>
      </c>
      <c r="F52" s="1181">
        <f t="shared" si="16"/>
        <v>44896</v>
      </c>
      <c r="G52" s="1181">
        <f t="shared" si="16"/>
        <v>44866</v>
      </c>
      <c r="H52" s="1181">
        <f t="shared" si="16"/>
        <v>44835</v>
      </c>
      <c r="I52" s="1181">
        <f t="shared" si="16"/>
        <v>44805</v>
      </c>
      <c r="J52" s="1181">
        <f t="shared" si="16"/>
        <v>44774</v>
      </c>
      <c r="K52" s="1181">
        <f t="shared" si="16"/>
        <v>44743</v>
      </c>
      <c r="L52" s="1181">
        <f t="shared" si="16"/>
        <v>44713</v>
      </c>
      <c r="M52" s="1181">
        <f t="shared" si="16"/>
        <v>44682</v>
      </c>
      <c r="N52" s="1181">
        <f t="shared" si="16"/>
        <v>44652</v>
      </c>
      <c r="O52" s="1181">
        <f t="shared" si="16"/>
        <v>44621</v>
      </c>
      <c r="P52" s="455"/>
    </row>
    <row r="53" spans="1:17" s="108" customFormat="1">
      <c r="A53" s="457"/>
      <c r="B53" s="458"/>
      <c r="C53" s="1179">
        <v>100</v>
      </c>
      <c r="D53" s="460"/>
      <c r="E53" s="460"/>
      <c r="F53" s="460"/>
      <c r="G53" s="460"/>
      <c r="H53" s="460"/>
      <c r="I53" s="460"/>
      <c r="J53" s="460"/>
      <c r="K53" s="460"/>
      <c r="L53" s="460"/>
      <c r="M53" s="461"/>
      <c r="N53" s="460"/>
      <c r="O53" s="462"/>
      <c r="P53" s="452"/>
    </row>
    <row r="54" spans="1:17" s="108" customFormat="1" ht="15" thickBot="1">
      <c r="A54" s="463" t="s">
        <v>1716</v>
      </c>
      <c r="B54" s="464"/>
      <c r="C54" s="465"/>
      <c r="D54" s="466"/>
      <c r="E54" s="466"/>
      <c r="F54" s="466"/>
      <c r="G54" s="466"/>
      <c r="H54" s="466"/>
      <c r="I54" s="466"/>
      <c r="J54" s="466"/>
      <c r="K54" s="466"/>
      <c r="L54" s="466"/>
      <c r="M54" s="467"/>
      <c r="N54" s="2766"/>
      <c r="O54" s="2767"/>
      <c r="P54" s="452"/>
      <c r="Q54" s="452"/>
    </row>
    <row r="55" spans="1:17" s="108" customFormat="1" ht="14.4">
      <c r="A55" s="469" t="s">
        <v>1681</v>
      </c>
      <c r="B55" s="458"/>
      <c r="C55" s="470" t="s">
        <v>1776</v>
      </c>
      <c r="D55" s="471"/>
      <c r="E55" s="471"/>
      <c r="F55" s="471"/>
      <c r="G55" s="471"/>
      <c r="H55" s="471"/>
      <c r="I55" s="471"/>
      <c r="J55" s="471"/>
      <c r="K55" s="471"/>
      <c r="L55" s="472"/>
      <c r="M55" s="473"/>
      <c r="N55" s="928"/>
      <c r="O55" s="928"/>
      <c r="P55" s="474"/>
      <c r="Q55" s="452"/>
    </row>
    <row r="56" spans="1:17" s="108" customFormat="1" ht="14.4" thickBot="1">
      <c r="A56" s="469"/>
      <c r="B56" s="458"/>
      <c r="C56" s="586">
        <v>100</v>
      </c>
      <c r="D56" s="460"/>
      <c r="E56" s="460"/>
      <c r="F56" s="460"/>
      <c r="G56" s="460"/>
      <c r="H56" s="460"/>
      <c r="I56" s="460"/>
      <c r="J56" s="460"/>
      <c r="K56" s="460"/>
      <c r="L56" s="460"/>
      <c r="M56" s="462"/>
      <c r="N56" s="928"/>
      <c r="O56" s="928"/>
      <c r="P56" s="452"/>
      <c r="Q56" s="452"/>
    </row>
    <row r="57" spans="1:17" ht="14.4">
      <c r="A57" s="475" t="s">
        <v>1719</v>
      </c>
      <c r="B57" s="476" t="s">
        <v>1685</v>
      </c>
      <c r="C57" s="477">
        <f>C9</f>
        <v>0</v>
      </c>
      <c r="D57" s="478"/>
      <c r="E57" s="478"/>
      <c r="F57" s="478"/>
      <c r="G57" s="478"/>
      <c r="H57" s="478"/>
      <c r="I57" s="478"/>
      <c r="J57" s="478"/>
      <c r="K57" s="479"/>
      <c r="L57" s="480"/>
      <c r="M57" s="481"/>
      <c r="N57" s="929"/>
      <c r="O57" s="929"/>
      <c r="P57" s="42"/>
      <c r="Q57" s="452"/>
    </row>
    <row r="58" spans="1:17" ht="14.4" thickBot="1">
      <c r="A58" s="482"/>
      <c r="B58" s="483"/>
      <c r="C58" s="484">
        <v>100</v>
      </c>
      <c r="D58" s="484"/>
      <c r="E58" s="484"/>
      <c r="F58" s="484"/>
      <c r="G58" s="484"/>
      <c r="H58" s="484"/>
      <c r="I58" s="484"/>
      <c r="J58" s="484"/>
      <c r="K58" s="484"/>
      <c r="L58" s="484"/>
      <c r="M58" s="485"/>
      <c r="N58" s="930"/>
      <c r="O58" s="930"/>
      <c r="P58" s="42"/>
      <c r="Q58" s="452"/>
    </row>
    <row r="59" spans="1:17" ht="29.4" thickTop="1">
      <c r="A59" s="482"/>
      <c r="B59" s="486" t="s">
        <v>1688</v>
      </c>
      <c r="C59" s="531"/>
      <c r="D59" s="531"/>
      <c r="E59" s="531"/>
      <c r="F59" s="531"/>
      <c r="G59" s="531"/>
      <c r="H59" s="531"/>
      <c r="I59" s="531"/>
      <c r="J59" s="531"/>
      <c r="K59" s="532"/>
      <c r="L59" s="533"/>
      <c r="M59" s="534"/>
      <c r="N59" s="929"/>
      <c r="O59" s="929"/>
      <c r="P59" s="42"/>
      <c r="Q59" s="452"/>
    </row>
    <row r="60" spans="1:17" ht="14.4" thickBot="1">
      <c r="A60" s="482"/>
      <c r="B60" s="491"/>
      <c r="C60" s="484"/>
      <c r="D60" s="484"/>
      <c r="E60" s="484"/>
      <c r="F60" s="484"/>
      <c r="G60" s="484"/>
      <c r="H60" s="484"/>
      <c r="I60" s="484"/>
      <c r="J60" s="484"/>
      <c r="K60" s="484"/>
      <c r="L60" s="484"/>
      <c r="M60" s="485"/>
      <c r="N60" s="930"/>
      <c r="O60" s="930"/>
      <c r="P60" s="42"/>
      <c r="Q60" s="452"/>
    </row>
    <row r="61" spans="1:17" ht="1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0"/>
      <c r="O61" s="930"/>
      <c r="P61" s="42"/>
      <c r="Q61" s="452"/>
    </row>
    <row r="62" spans="1:17">
      <c r="A62" s="482"/>
      <c r="B62" s="496"/>
      <c r="C62" s="497">
        <v>0</v>
      </c>
      <c r="D62" s="497">
        <v>2</v>
      </c>
      <c r="E62" s="497"/>
      <c r="F62" s="497"/>
      <c r="G62" s="497"/>
      <c r="H62" s="497"/>
      <c r="I62" s="497"/>
      <c r="J62" s="497"/>
      <c r="K62" s="498"/>
      <c r="L62" s="499"/>
      <c r="M62" s="500"/>
      <c r="N62" s="929"/>
      <c r="O62" s="929"/>
      <c r="P62" s="42"/>
      <c r="Q62" s="452"/>
    </row>
    <row r="63" spans="1:17" ht="14.4"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0"/>
      <c r="O63" s="930"/>
      <c r="P63" s="42"/>
      <c r="Q63" s="452"/>
    </row>
    <row r="64" spans="1:17" s="421" customFormat="1" ht="14.4" thickTop="1">
      <c r="A64" s="501"/>
      <c r="B64" s="486">
        <f>B12</f>
        <v>111</v>
      </c>
      <c r="C64" s="502"/>
      <c r="D64" s="502"/>
      <c r="E64" s="502"/>
      <c r="F64" s="502"/>
      <c r="G64" s="502"/>
      <c r="H64" s="503"/>
      <c r="I64" s="503"/>
      <c r="J64" s="503"/>
      <c r="K64" s="503"/>
      <c r="L64" s="504"/>
      <c r="M64" s="505"/>
      <c r="N64" s="931"/>
      <c r="O64" s="931"/>
      <c r="P64" s="506"/>
      <c r="Q64" s="507"/>
    </row>
    <row r="65" spans="1:17" s="421" customFormat="1" ht="14.4" thickBot="1">
      <c r="A65" s="501"/>
      <c r="B65" s="491"/>
      <c r="C65" s="508"/>
      <c r="D65" s="484"/>
      <c r="E65" s="484"/>
      <c r="F65" s="484"/>
      <c r="G65" s="484"/>
      <c r="H65" s="484"/>
      <c r="I65" s="484"/>
      <c r="J65" s="484"/>
      <c r="K65" s="484"/>
      <c r="L65" s="484"/>
      <c r="M65" s="485"/>
      <c r="N65" s="930"/>
      <c r="O65" s="930"/>
      <c r="P65" s="506"/>
      <c r="Q65" s="507"/>
    </row>
    <row r="66" spans="1:17" s="421" customFormat="1" ht="14.4" thickTop="1">
      <c r="A66" s="501"/>
      <c r="B66" s="486">
        <f>B13</f>
        <v>111</v>
      </c>
      <c r="C66" s="502"/>
      <c r="D66" s="502"/>
      <c r="E66" s="502"/>
      <c r="F66" s="502"/>
      <c r="G66" s="502"/>
      <c r="H66" s="503"/>
      <c r="I66" s="503"/>
      <c r="J66" s="503"/>
      <c r="K66" s="503"/>
      <c r="L66" s="504"/>
      <c r="M66" s="505"/>
      <c r="N66" s="931"/>
      <c r="O66" s="931"/>
      <c r="P66" s="420"/>
      <c r="Q66" s="509"/>
    </row>
    <row r="67" spans="1:17" s="421" customFormat="1" ht="14.4" thickBot="1">
      <c r="A67" s="501"/>
      <c r="B67" s="491"/>
      <c r="C67" s="508"/>
      <c r="D67" s="484"/>
      <c r="E67" s="484"/>
      <c r="F67" s="484"/>
      <c r="G67" s="508"/>
      <c r="H67" s="510"/>
      <c r="I67" s="510"/>
      <c r="J67" s="510"/>
      <c r="K67" s="510"/>
      <c r="L67" s="510"/>
      <c r="M67" s="511"/>
      <c r="N67" s="931"/>
      <c r="O67" s="931"/>
      <c r="P67" s="506"/>
      <c r="Q67" s="507"/>
    </row>
    <row r="68" spans="1:17" s="421" customFormat="1" ht="14.4" thickTop="1">
      <c r="A68" s="501"/>
      <c r="B68" s="494">
        <f>B14</f>
        <v>111</v>
      </c>
      <c r="C68" s="471"/>
      <c r="D68" s="471"/>
      <c r="E68" s="471"/>
      <c r="F68" s="471"/>
      <c r="G68" s="471"/>
      <c r="H68" s="512"/>
      <c r="I68" s="512"/>
      <c r="J68" s="512"/>
      <c r="K68" s="512"/>
      <c r="L68" s="513"/>
      <c r="M68" s="514"/>
      <c r="N68" s="931"/>
      <c r="O68" s="931"/>
      <c r="P68" s="515"/>
      <c r="Q68" s="507"/>
    </row>
    <row r="69" spans="1:17" s="421" customFormat="1" ht="14.4" thickBot="1">
      <c r="A69" s="516"/>
      <c r="B69" s="517"/>
      <c r="C69" s="518"/>
      <c r="D69" s="518"/>
      <c r="E69" s="518"/>
      <c r="F69" s="518"/>
      <c r="G69" s="518"/>
      <c r="H69" s="519"/>
      <c r="I69" s="519"/>
      <c r="J69" s="519"/>
      <c r="K69" s="519"/>
      <c r="L69" s="519"/>
      <c r="M69" s="520"/>
      <c r="N69" s="931"/>
      <c r="O69" s="931"/>
      <c r="P69" s="506"/>
      <c r="Q69" s="507"/>
    </row>
    <row r="70" spans="1:17" ht="14.4">
      <c r="A70" s="475" t="s">
        <v>1690</v>
      </c>
      <c r="B70" s="476" t="s">
        <v>1829</v>
      </c>
      <c r="C70" s="521" t="s">
        <v>1721</v>
      </c>
      <c r="D70" s="521" t="s">
        <v>1722</v>
      </c>
      <c r="E70" s="521" t="s">
        <v>1723</v>
      </c>
      <c r="F70" s="521" t="s">
        <v>1724</v>
      </c>
      <c r="G70" s="521" t="s">
        <v>1725</v>
      </c>
      <c r="H70" s="477"/>
      <c r="I70" s="477"/>
      <c r="J70" s="477"/>
      <c r="K70" s="522"/>
      <c r="L70" s="523"/>
      <c r="M70" s="524"/>
      <c r="N70" s="929"/>
      <c r="O70" s="929"/>
      <c r="P70" s="525"/>
      <c r="Q70" s="452"/>
    </row>
    <row r="71" spans="1:17" ht="14.4" thickBot="1">
      <c r="A71" s="482"/>
      <c r="B71" s="491"/>
      <c r="C71" s="492">
        <v>100</v>
      </c>
      <c r="D71" s="492">
        <f>C71-$K15</f>
        <v>100</v>
      </c>
      <c r="E71" s="492">
        <f>D71-$K15</f>
        <v>100</v>
      </c>
      <c r="F71" s="492">
        <f>E71-$K15</f>
        <v>100</v>
      </c>
      <c r="G71" s="492">
        <f>F71-$K15</f>
        <v>100</v>
      </c>
      <c r="H71" s="492"/>
      <c r="I71" s="492"/>
      <c r="J71" s="492"/>
      <c r="K71" s="492"/>
      <c r="L71" s="492"/>
      <c r="M71" s="493"/>
      <c r="N71" s="930"/>
      <c r="O71" s="930"/>
      <c r="P71" s="42"/>
      <c r="Q71" s="452"/>
    </row>
    <row r="72" spans="1:17" ht="15" thickTop="1">
      <c r="A72" s="482"/>
      <c r="B72" s="486" t="s">
        <v>1726</v>
      </c>
      <c r="C72" s="526" t="s">
        <v>1721</v>
      </c>
      <c r="D72" s="526" t="s">
        <v>1722</v>
      </c>
      <c r="E72" s="526" t="s">
        <v>1723</v>
      </c>
      <c r="F72" s="526" t="s">
        <v>1724</v>
      </c>
      <c r="G72" s="526" t="s">
        <v>1725</v>
      </c>
      <c r="H72" s="487"/>
      <c r="I72" s="487"/>
      <c r="J72" s="487"/>
      <c r="K72" s="488"/>
      <c r="L72" s="489"/>
      <c r="M72" s="490"/>
      <c r="N72" s="929"/>
      <c r="O72" s="929"/>
      <c r="P72" s="42"/>
      <c r="Q72" s="452"/>
    </row>
    <row r="73" spans="1:17" ht="14.4" thickBot="1">
      <c r="A73" s="482"/>
      <c r="B73" s="491"/>
      <c r="C73" s="492">
        <v>100</v>
      </c>
      <c r="D73" s="492">
        <f>C73-$K17</f>
        <v>100</v>
      </c>
      <c r="E73" s="492">
        <f>D73-$K17</f>
        <v>100</v>
      </c>
      <c r="F73" s="492">
        <f>E73-$K17</f>
        <v>100</v>
      </c>
      <c r="G73" s="492">
        <f>F73-$K17</f>
        <v>100</v>
      </c>
      <c r="H73" s="492"/>
      <c r="I73" s="492"/>
      <c r="J73" s="492"/>
      <c r="K73" s="492"/>
      <c r="L73" s="492"/>
      <c r="M73" s="493"/>
      <c r="N73" s="930"/>
      <c r="O73" s="930"/>
      <c r="P73" s="42"/>
      <c r="Q73" s="452"/>
    </row>
    <row r="74" spans="1:17" ht="15" thickTop="1">
      <c r="A74" s="482"/>
      <c r="B74" s="486" t="s">
        <v>1727</v>
      </c>
      <c r="C74" s="526" t="s">
        <v>1721</v>
      </c>
      <c r="D74" s="526" t="s">
        <v>1722</v>
      </c>
      <c r="E74" s="526" t="s">
        <v>1723</v>
      </c>
      <c r="F74" s="526" t="s">
        <v>1724</v>
      </c>
      <c r="G74" s="526" t="s">
        <v>1725</v>
      </c>
      <c r="H74" s="487"/>
      <c r="I74" s="487"/>
      <c r="J74" s="487"/>
      <c r="K74" s="488"/>
      <c r="L74" s="489"/>
      <c r="M74" s="490"/>
      <c r="N74" s="929"/>
      <c r="O74" s="929"/>
      <c r="P74" s="42"/>
      <c r="Q74" s="452"/>
    </row>
    <row r="75" spans="1:17" ht="14.4" thickBot="1">
      <c r="A75" s="482"/>
      <c r="B75" s="491"/>
      <c r="C75" s="492">
        <v>100</v>
      </c>
      <c r="D75" s="492">
        <f>C75-$K19</f>
        <v>100</v>
      </c>
      <c r="E75" s="492">
        <f>D75-$K19</f>
        <v>100</v>
      </c>
      <c r="F75" s="492">
        <f>E75-$K19</f>
        <v>100</v>
      </c>
      <c r="G75" s="492">
        <f>F75-$K19</f>
        <v>100</v>
      </c>
      <c r="H75" s="492"/>
      <c r="I75" s="492"/>
      <c r="J75" s="492"/>
      <c r="K75" s="492"/>
      <c r="L75" s="492"/>
      <c r="M75" s="493"/>
      <c r="N75" s="930"/>
      <c r="O75" s="930"/>
      <c r="P75" s="42"/>
      <c r="Q75" s="452"/>
    </row>
    <row r="76" spans="1:17" ht="15" thickTop="1">
      <c r="A76" s="482"/>
      <c r="B76" s="494" t="s">
        <v>1813</v>
      </c>
      <c r="C76" s="607" t="s">
        <v>1799</v>
      </c>
      <c r="D76" s="607" t="s">
        <v>1800</v>
      </c>
      <c r="E76" s="607" t="s">
        <v>1801</v>
      </c>
      <c r="F76" s="607" t="s">
        <v>1802</v>
      </c>
      <c r="G76" s="607" t="s">
        <v>1803</v>
      </c>
      <c r="H76" s="487"/>
      <c r="I76" s="487"/>
      <c r="J76" s="487"/>
      <c r="K76" s="487"/>
      <c r="L76" s="487"/>
      <c r="M76" s="1125"/>
      <c r="N76" s="930"/>
      <c r="O76" s="930"/>
      <c r="P76" s="42"/>
      <c r="Q76" s="452"/>
    </row>
    <row r="77" spans="1:17" ht="14.4" thickBot="1">
      <c r="A77" s="482"/>
      <c r="B77" s="494"/>
      <c r="C77" s="492">
        <v>100</v>
      </c>
      <c r="D77" s="492">
        <f>C77-$K21</f>
        <v>100</v>
      </c>
      <c r="E77" s="492">
        <f>D77-$K21</f>
        <v>100</v>
      </c>
      <c r="F77" s="492">
        <f>E77-$K21</f>
        <v>100</v>
      </c>
      <c r="G77" s="492">
        <f>F77-$K21</f>
        <v>100</v>
      </c>
      <c r="H77" s="607"/>
      <c r="I77" s="607"/>
      <c r="J77" s="607"/>
      <c r="K77" s="607"/>
      <c r="L77" s="607"/>
      <c r="M77" s="400"/>
      <c r="N77" s="930"/>
      <c r="O77" s="930"/>
      <c r="P77" s="42"/>
      <c r="Q77" s="452"/>
    </row>
    <row r="78" spans="1:17" ht="15" thickTop="1">
      <c r="A78" s="482"/>
      <c r="B78" s="486" t="s">
        <v>1822</v>
      </c>
      <c r="C78" s="526" t="s">
        <v>1721</v>
      </c>
      <c r="D78" s="526" t="s">
        <v>1722</v>
      </c>
      <c r="E78" s="526" t="s">
        <v>1723</v>
      </c>
      <c r="F78" s="526" t="s">
        <v>1724</v>
      </c>
      <c r="G78" s="526" t="s">
        <v>1725</v>
      </c>
      <c r="H78" s="487"/>
      <c r="I78" s="487"/>
      <c r="J78" s="487"/>
      <c r="K78" s="488"/>
      <c r="L78" s="489"/>
      <c r="M78" s="490"/>
      <c r="N78" s="929"/>
      <c r="O78" s="929"/>
      <c r="P78" s="42"/>
      <c r="Q78" s="452"/>
    </row>
    <row r="79" spans="1:17" ht="14.4" thickBot="1">
      <c r="A79" s="482"/>
      <c r="B79" s="491"/>
      <c r="C79" s="492">
        <v>100</v>
      </c>
      <c r="D79" s="492">
        <f>C79-$K23</f>
        <v>100</v>
      </c>
      <c r="E79" s="492">
        <f>D79-$K23</f>
        <v>100</v>
      </c>
      <c r="F79" s="492">
        <f>E79-$K23</f>
        <v>100</v>
      </c>
      <c r="G79" s="492">
        <f>F79-$K23</f>
        <v>100</v>
      </c>
      <c r="H79" s="492"/>
      <c r="I79" s="492"/>
      <c r="J79" s="492"/>
      <c r="K79" s="492"/>
      <c r="L79" s="492"/>
      <c r="M79" s="493"/>
      <c r="N79" s="930"/>
      <c r="O79" s="930"/>
      <c r="P79" s="42"/>
      <c r="Q79" s="452"/>
    </row>
    <row r="80" spans="1:17" s="108" customFormat="1" ht="14.4" thickTop="1">
      <c r="A80" s="527"/>
      <c r="B80" s="486">
        <f>B25</f>
        <v>111</v>
      </c>
      <c r="C80" s="502"/>
      <c r="D80" s="502"/>
      <c r="E80" s="502"/>
      <c r="F80" s="502"/>
      <c r="G80" s="502"/>
      <c r="H80" s="502"/>
      <c r="I80" s="502"/>
      <c r="J80" s="502"/>
      <c r="K80" s="502"/>
      <c r="L80" s="528"/>
      <c r="M80" s="529"/>
      <c r="N80" s="928"/>
      <c r="O80" s="928"/>
      <c r="P80" s="42"/>
      <c r="Q80" s="452"/>
    </row>
    <row r="81" spans="1:17" s="108" customFormat="1" ht="14.4" thickBot="1">
      <c r="A81" s="527"/>
      <c r="B81" s="491"/>
      <c r="C81" s="508"/>
      <c r="D81" s="484"/>
      <c r="E81" s="484"/>
      <c r="F81" s="484"/>
      <c r="G81" s="484"/>
      <c r="H81" s="484"/>
      <c r="I81" s="484"/>
      <c r="J81" s="484"/>
      <c r="K81" s="484"/>
      <c r="L81" s="484"/>
      <c r="M81" s="485"/>
      <c r="N81" s="930"/>
      <c r="O81" s="930"/>
      <c r="P81" s="42"/>
      <c r="Q81" s="452"/>
    </row>
    <row r="82" spans="1:17" s="108" customFormat="1" ht="14.4" thickTop="1">
      <c r="A82" s="527"/>
      <c r="B82" s="486">
        <f>B26</f>
        <v>111</v>
      </c>
      <c r="C82" s="502"/>
      <c r="D82" s="502"/>
      <c r="E82" s="502"/>
      <c r="F82" s="502"/>
      <c r="G82" s="502"/>
      <c r="H82" s="502"/>
      <c r="I82" s="502"/>
      <c r="J82" s="502"/>
      <c r="K82" s="502"/>
      <c r="L82" s="528"/>
      <c r="M82" s="529"/>
      <c r="N82" s="928"/>
      <c r="O82" s="928"/>
      <c r="P82" s="42"/>
      <c r="Q82" s="452"/>
    </row>
    <row r="83" spans="1:17" s="108" customFormat="1" ht="14.4" thickBot="1">
      <c r="A83" s="527"/>
      <c r="B83" s="491"/>
      <c r="C83" s="508"/>
      <c r="D83" s="484"/>
      <c r="E83" s="484"/>
      <c r="F83" s="484"/>
      <c r="G83" s="484"/>
      <c r="H83" s="484"/>
      <c r="I83" s="484"/>
      <c r="J83" s="484"/>
      <c r="K83" s="484"/>
      <c r="L83" s="484"/>
      <c r="M83" s="485"/>
      <c r="N83" s="930"/>
      <c r="O83" s="930"/>
      <c r="P83" s="42"/>
      <c r="Q83" s="452"/>
    </row>
    <row r="84" spans="1:17" s="421" customFormat="1" ht="14.4" thickTop="1">
      <c r="A84" s="501"/>
      <c r="B84" s="486">
        <f>B27</f>
        <v>111</v>
      </c>
      <c r="C84" s="502"/>
      <c r="D84" s="502"/>
      <c r="E84" s="502"/>
      <c r="F84" s="502"/>
      <c r="G84" s="502"/>
      <c r="H84" s="502"/>
      <c r="I84" s="502"/>
      <c r="J84" s="502"/>
      <c r="K84" s="502"/>
      <c r="L84" s="528"/>
      <c r="M84" s="529"/>
      <c r="N84" s="931"/>
      <c r="O84" s="931"/>
      <c r="P84" s="506"/>
      <c r="Q84" s="507"/>
    </row>
    <row r="85" spans="1:17" s="421" customFormat="1" ht="14.4" thickBot="1">
      <c r="A85" s="501"/>
      <c r="B85" s="491"/>
      <c r="C85" s="508"/>
      <c r="D85" s="484"/>
      <c r="E85" s="484"/>
      <c r="F85" s="484"/>
      <c r="G85" s="484"/>
      <c r="H85" s="484"/>
      <c r="I85" s="484"/>
      <c r="J85" s="484"/>
      <c r="K85" s="484"/>
      <c r="L85" s="484"/>
      <c r="M85" s="485"/>
      <c r="N85" s="931"/>
      <c r="O85" s="931"/>
      <c r="P85" s="506"/>
      <c r="Q85" s="507"/>
    </row>
    <row r="86" spans="1:17" ht="14.4" thickTop="1">
      <c r="A86" s="482"/>
      <c r="B86" s="494">
        <f>B28</f>
        <v>111</v>
      </c>
      <c r="C86" s="471"/>
      <c r="D86" s="471"/>
      <c r="E86" s="471"/>
      <c r="F86" s="471"/>
      <c r="G86" s="535"/>
      <c r="H86" s="535"/>
      <c r="I86" s="535"/>
      <c r="J86" s="535"/>
      <c r="K86" s="536"/>
      <c r="L86" s="537"/>
      <c r="M86" s="538"/>
      <c r="N86" s="929"/>
      <c r="O86" s="929"/>
      <c r="P86" s="42"/>
      <c r="Q86" s="452"/>
    </row>
    <row r="87" spans="1:17" ht="14.4" thickBot="1">
      <c r="A87" s="1924"/>
      <c r="B87" s="517"/>
      <c r="C87" s="518"/>
      <c r="D87" s="518"/>
      <c r="E87" s="518"/>
      <c r="F87" s="518"/>
      <c r="G87" s="539"/>
      <c r="H87" s="539"/>
      <c r="I87" s="539"/>
      <c r="J87" s="539"/>
      <c r="K87" s="539"/>
      <c r="L87" s="539"/>
      <c r="M87" s="540"/>
      <c r="N87" s="930"/>
      <c r="O87" s="930"/>
      <c r="P87" s="42"/>
      <c r="Q87" s="452"/>
    </row>
    <row r="88" spans="1:17" ht="14.4">
      <c r="A88" s="475" t="s">
        <v>1694</v>
      </c>
      <c r="B88" s="476" t="s">
        <v>1736</v>
      </c>
      <c r="C88" s="478"/>
      <c r="D88" s="478"/>
      <c r="E88" s="478"/>
      <c r="F88" s="478"/>
      <c r="G88" s="478"/>
      <c r="H88" s="478"/>
      <c r="I88" s="478"/>
      <c r="J88" s="478"/>
      <c r="K88" s="479"/>
      <c r="L88" s="480"/>
      <c r="M88" s="481"/>
      <c r="N88" s="929"/>
      <c r="O88" s="929"/>
      <c r="P88" s="42"/>
      <c r="Q88" s="452"/>
    </row>
    <row r="89" spans="1:17" ht="14.4"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0"/>
      <c r="O89" s="930"/>
      <c r="P89" s="42"/>
      <c r="Q89" s="452"/>
    </row>
    <row r="90" spans="1:17" ht="1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28"/>
      <c r="O90" s="928"/>
      <c r="P90" s="42"/>
      <c r="Q90" s="452"/>
    </row>
    <row r="91" spans="1:17" s="421" customFormat="1">
      <c r="A91" s="541"/>
      <c r="B91" s="542"/>
      <c r="C91" s="543"/>
      <c r="D91" s="543"/>
      <c r="E91" s="543"/>
      <c r="F91" s="543"/>
      <c r="G91" s="543"/>
      <c r="H91" s="543"/>
      <c r="I91" s="543"/>
      <c r="J91" s="544"/>
      <c r="K91" s="544"/>
      <c r="L91" s="545"/>
      <c r="M91" s="546"/>
      <c r="N91" s="931"/>
      <c r="O91" s="931"/>
      <c r="P91" s="506"/>
      <c r="Q91" s="507"/>
    </row>
    <row r="92" spans="1:17" s="421" customFormat="1" ht="14.4" thickBot="1">
      <c r="A92" s="501"/>
      <c r="B92" s="491"/>
      <c r="C92" s="508"/>
      <c r="D92" s="484"/>
      <c r="E92" s="484"/>
      <c r="F92" s="484"/>
      <c r="G92" s="484"/>
      <c r="H92" s="484"/>
      <c r="I92" s="484"/>
      <c r="J92" s="484"/>
      <c r="K92" s="484"/>
      <c r="L92" s="484"/>
      <c r="M92" s="485"/>
      <c r="N92" s="930"/>
      <c r="O92" s="930"/>
      <c r="P92" s="506"/>
      <c r="Q92" s="507"/>
    </row>
    <row r="93" spans="1:17" ht="15" thickTop="1">
      <c r="A93" s="547"/>
      <c r="B93" s="486" t="s">
        <v>1738</v>
      </c>
      <c r="C93" s="502"/>
      <c r="D93" s="502"/>
      <c r="E93" s="531"/>
      <c r="F93" s="531"/>
      <c r="G93" s="531"/>
      <c r="H93" s="531"/>
      <c r="I93" s="531"/>
      <c r="J93" s="531"/>
      <c r="K93" s="532"/>
      <c r="L93" s="533"/>
      <c r="M93" s="534"/>
      <c r="N93" s="929"/>
      <c r="O93" s="929"/>
      <c r="P93" s="42"/>
      <c r="Q93" s="452"/>
    </row>
    <row r="94" spans="1:17" ht="14.4"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0"/>
      <c r="O94" s="930"/>
      <c r="P94" s="42"/>
      <c r="Q94" s="452"/>
    </row>
    <row r="95" spans="1:17" ht="15" thickTop="1">
      <c r="A95" s="547"/>
      <c r="B95" s="486" t="s">
        <v>1740</v>
      </c>
      <c r="C95" s="502"/>
      <c r="D95" s="502"/>
      <c r="E95" s="502"/>
      <c r="F95" s="531"/>
      <c r="G95" s="531"/>
      <c r="H95" s="531"/>
      <c r="I95" s="531"/>
      <c r="J95" s="531"/>
      <c r="K95" s="532"/>
      <c r="L95" s="533"/>
      <c r="M95" s="534"/>
      <c r="N95" s="929"/>
      <c r="O95" s="929"/>
      <c r="P95" s="42"/>
      <c r="Q95" s="452"/>
    </row>
    <row r="96" spans="1:17" ht="14.4"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0"/>
      <c r="O96" s="930"/>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29"/>
      <c r="O97" s="929"/>
      <c r="P97" s="42"/>
      <c r="Q97" s="452"/>
    </row>
    <row r="98" spans="1:17">
      <c r="A98" s="547"/>
      <c r="B98" s="494"/>
      <c r="C98" s="551">
        <v>0.5</v>
      </c>
      <c r="D98" s="551">
        <v>0.6</v>
      </c>
      <c r="E98" s="551">
        <v>0.7</v>
      </c>
      <c r="F98" s="551">
        <v>0.8</v>
      </c>
      <c r="G98" s="551">
        <v>0.9</v>
      </c>
      <c r="H98" s="551">
        <v>1.0001</v>
      </c>
      <c r="I98" s="570"/>
      <c r="J98" s="570"/>
      <c r="K98" s="571"/>
      <c r="L98" s="572"/>
      <c r="M98" s="573"/>
      <c r="N98" s="929"/>
      <c r="O98" s="929"/>
      <c r="P98" s="42"/>
      <c r="Q98" s="452"/>
    </row>
    <row r="99" spans="1:17" ht="14.4"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0"/>
      <c r="O99" s="930"/>
      <c r="P99" s="42"/>
      <c r="Q99" s="452"/>
    </row>
    <row r="100" spans="1:17" s="421" customFormat="1" ht="15" thickTop="1">
      <c r="A100" s="541"/>
      <c r="B100" s="486" t="s">
        <v>1741</v>
      </c>
      <c r="C100" s="502"/>
      <c r="D100" s="502"/>
      <c r="E100" s="502"/>
      <c r="F100" s="502"/>
      <c r="G100" s="502"/>
      <c r="H100" s="531"/>
      <c r="I100" s="531"/>
      <c r="J100" s="531"/>
      <c r="K100" s="532"/>
      <c r="L100" s="533"/>
      <c r="M100" s="534"/>
      <c r="N100" s="931"/>
      <c r="O100" s="931"/>
      <c r="P100" s="506"/>
      <c r="Q100" s="507"/>
    </row>
    <row r="101" spans="1:17" s="421" customFormat="1" ht="14.4"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1"/>
      <c r="O101" s="931"/>
      <c r="P101" s="506"/>
      <c r="Q101" s="507"/>
    </row>
    <row r="102" spans="1:17" ht="15" thickTop="1">
      <c r="A102" s="547"/>
      <c r="B102" s="486" t="s">
        <v>1742</v>
      </c>
      <c r="C102" s="502"/>
      <c r="D102" s="502"/>
      <c r="E102" s="502"/>
      <c r="F102" s="502"/>
      <c r="G102" s="502"/>
      <c r="H102" s="531"/>
      <c r="I102" s="531"/>
      <c r="J102" s="531"/>
      <c r="K102" s="532"/>
      <c r="L102" s="533"/>
      <c r="M102" s="534"/>
      <c r="N102" s="929"/>
      <c r="O102" s="929"/>
      <c r="P102" s="42"/>
      <c r="Q102" s="452"/>
    </row>
    <row r="103" spans="1:17" ht="14.4"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0"/>
      <c r="O103" s="930"/>
      <c r="P103" s="42"/>
      <c r="Q103" s="452"/>
    </row>
    <row r="104" spans="1:17" ht="15" thickTop="1">
      <c r="A104" s="547"/>
      <c r="B104" s="486" t="s">
        <v>1744</v>
      </c>
      <c r="C104" s="502"/>
      <c r="D104" s="502"/>
      <c r="E104" s="502"/>
      <c r="F104" s="502"/>
      <c r="G104" s="502"/>
      <c r="H104" s="531"/>
      <c r="I104" s="531"/>
      <c r="J104" s="531"/>
      <c r="K104" s="532"/>
      <c r="L104" s="533"/>
      <c r="M104" s="534"/>
      <c r="N104" s="929"/>
      <c r="O104" s="929"/>
      <c r="P104" s="42"/>
      <c r="Q104" s="452"/>
    </row>
    <row r="105" spans="1:17" ht="14.4" thickBot="1">
      <c r="A105" s="482"/>
      <c r="B105" s="491"/>
      <c r="C105" s="492">
        <v>100</v>
      </c>
      <c r="D105" s="492">
        <f>C105-$K36</f>
        <v>100</v>
      </c>
      <c r="E105" s="492">
        <f>D105-$K36</f>
        <v>100</v>
      </c>
      <c r="F105" s="492">
        <f>E105-$K36</f>
        <v>100</v>
      </c>
      <c r="G105" s="492">
        <f>F105-$K36</f>
        <v>100</v>
      </c>
      <c r="H105" s="492"/>
      <c r="I105" s="492"/>
      <c r="J105" s="492"/>
      <c r="K105" s="492"/>
      <c r="L105" s="492"/>
      <c r="M105" s="493"/>
      <c r="N105" s="930"/>
      <c r="O105" s="930"/>
      <c r="P105" s="42"/>
      <c r="Q105" s="452"/>
    </row>
    <row r="106" spans="1:17" ht="29.4" thickTop="1">
      <c r="A106" s="547"/>
      <c r="B106" s="583" t="s">
        <v>1830</v>
      </c>
      <c r="C106" s="526" t="s">
        <v>1721</v>
      </c>
      <c r="D106" s="526" t="s">
        <v>1722</v>
      </c>
      <c r="E106" s="526" t="s">
        <v>1723</v>
      </c>
      <c r="F106" s="526" t="s">
        <v>1724</v>
      </c>
      <c r="G106" s="526" t="s">
        <v>1725</v>
      </c>
      <c r="H106" s="487"/>
      <c r="I106" s="487"/>
      <c r="J106" s="487"/>
      <c r="K106" s="488"/>
      <c r="L106" s="489"/>
      <c r="M106" s="490"/>
      <c r="N106" s="930"/>
      <c r="O106" s="930"/>
      <c r="P106" s="584"/>
      <c r="Q106" s="585"/>
    </row>
    <row r="107" spans="1:17" ht="14.4"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0"/>
      <c r="O107" s="930"/>
      <c r="P107" s="42"/>
      <c r="Q107" s="452"/>
    </row>
    <row r="108" spans="1:17" s="421" customFormat="1" ht="14.4" thickTop="1">
      <c r="A108" s="541"/>
      <c r="B108" s="486">
        <f>B38</f>
        <v>111</v>
      </c>
      <c r="C108" s="502"/>
      <c r="D108" s="502"/>
      <c r="E108" s="502"/>
      <c r="F108" s="502"/>
      <c r="G108" s="502"/>
      <c r="H108" s="503"/>
      <c r="I108" s="503"/>
      <c r="J108" s="503"/>
      <c r="K108" s="503"/>
      <c r="L108" s="504"/>
      <c r="M108" s="505"/>
      <c r="N108" s="931"/>
      <c r="O108" s="931"/>
      <c r="P108" s="506"/>
      <c r="Q108" s="507"/>
    </row>
    <row r="109" spans="1:17" s="421" customFormat="1" ht="14.4" thickBot="1">
      <c r="A109" s="501"/>
      <c r="B109" s="483"/>
      <c r="C109" s="508"/>
      <c r="D109" s="484"/>
      <c r="E109" s="484"/>
      <c r="F109" s="484"/>
      <c r="G109" s="508"/>
      <c r="H109" s="510"/>
      <c r="I109" s="510"/>
      <c r="J109" s="510"/>
      <c r="K109" s="510"/>
      <c r="L109" s="510"/>
      <c r="M109" s="511"/>
      <c r="N109" s="931"/>
      <c r="O109" s="931"/>
      <c r="P109" s="506"/>
      <c r="Q109" s="507"/>
    </row>
    <row r="110" spans="1:17" ht="14.4" thickTop="1">
      <c r="A110" s="547"/>
      <c r="B110" s="486">
        <f>B39</f>
        <v>111</v>
      </c>
      <c r="C110" s="502"/>
      <c r="D110" s="502"/>
      <c r="E110" s="502"/>
      <c r="F110" s="502"/>
      <c r="G110" s="502"/>
      <c r="H110" s="503"/>
      <c r="I110" s="503"/>
      <c r="J110" s="503"/>
      <c r="K110" s="503"/>
      <c r="L110" s="504"/>
      <c r="M110" s="505"/>
      <c r="N110" s="929"/>
      <c r="O110" s="929"/>
      <c r="P110" s="42"/>
      <c r="Q110" s="452"/>
    </row>
    <row r="111" spans="1:17" ht="14.4" thickBot="1">
      <c r="A111" s="482"/>
      <c r="B111" s="491"/>
      <c r="C111" s="508"/>
      <c r="D111" s="484"/>
      <c r="E111" s="484"/>
      <c r="F111" s="484"/>
      <c r="G111" s="508"/>
      <c r="H111" s="510"/>
      <c r="I111" s="510"/>
      <c r="J111" s="510"/>
      <c r="K111" s="510"/>
      <c r="L111" s="510"/>
      <c r="M111" s="511"/>
      <c r="N111" s="930"/>
      <c r="O111" s="930"/>
      <c r="P111" s="42"/>
      <c r="Q111" s="452"/>
    </row>
    <row r="112" spans="1:17" ht="14.4" thickTop="1">
      <c r="A112" s="547"/>
      <c r="B112" s="494">
        <f>B40</f>
        <v>111</v>
      </c>
      <c r="C112" s="471"/>
      <c r="D112" s="471"/>
      <c r="E112" s="471"/>
      <c r="F112" s="471"/>
      <c r="G112" s="535"/>
      <c r="H112" s="535"/>
      <c r="I112" s="535"/>
      <c r="J112" s="535"/>
      <c r="K112" s="471"/>
      <c r="L112" s="472"/>
      <c r="M112" s="538"/>
      <c r="N112" s="929"/>
      <c r="O112" s="929"/>
      <c r="P112" s="42"/>
      <c r="Q112" s="452"/>
    </row>
    <row r="113" spans="1:17" ht="14.4" thickBot="1">
      <c r="A113" s="1924"/>
      <c r="B113" s="517"/>
      <c r="C113" s="518"/>
      <c r="D113" s="518"/>
      <c r="E113" s="518"/>
      <c r="F113" s="518"/>
      <c r="G113" s="539"/>
      <c r="H113" s="539"/>
      <c r="I113" s="539"/>
      <c r="J113" s="539"/>
      <c r="K113" s="539"/>
      <c r="L113" s="539"/>
      <c r="M113" s="540"/>
      <c r="N113" s="930"/>
      <c r="O113" s="930"/>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5.44140625" style="356" customWidth="1"/>
    <col min="10" max="10" width="12.21875" style="356" customWidth="1"/>
    <col min="11" max="11" width="12.21875" style="443" customWidth="1"/>
    <col min="12" max="12" width="12.21875" style="444" customWidth="1"/>
    <col min="13" max="15" width="12.21875" style="356" customWidth="1"/>
    <col min="16" max="16" width="4.77734375" style="902"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1831</v>
      </c>
      <c r="B1" s="1219" t="s">
        <v>3340</v>
      </c>
      <c r="C1" s="1220" t="s">
        <v>1662</v>
      </c>
      <c r="D1" s="1221"/>
      <c r="E1" s="3429"/>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30"/>
      <c r="M2" s="2731"/>
      <c r="N2" s="2731"/>
      <c r="O2" s="2731"/>
      <c r="P2" s="1161"/>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4"/>
      <c r="H3" s="904"/>
      <c r="I3" s="904"/>
      <c r="J3" s="904"/>
      <c r="K3" s="906"/>
      <c r="L3" s="2730"/>
      <c r="M3" s="2731" t="e">
        <f ca="1">IF(C2="——",IF(B37="元/平方米",ROUND(C39*D3/10000,0),ROUND(F3*C39/10000,0)),IF(B37="元/平方米",ROUND(C39*D3/10000,0),ROUND(F3*C39/10000,0))-D2)</f>
        <v>#DIV/0!</v>
      </c>
      <c r="N3" s="2731"/>
      <c r="O3" s="2731"/>
      <c r="P3" s="1161"/>
      <c r="Q3" s="697"/>
      <c r="R3" s="697"/>
      <c r="S3" s="697"/>
      <c r="T3" s="697"/>
      <c r="U3" s="697"/>
      <c r="V3" s="697"/>
      <c r="W3" s="697"/>
      <c r="X3" s="697"/>
      <c r="Y3" s="697"/>
      <c r="Z3" s="697"/>
      <c r="AA3" s="697"/>
      <c r="AB3" s="714"/>
      <c r="AC3" s="711"/>
    </row>
    <row r="4" spans="1:29" ht="14.4">
      <c r="A4" s="354" t="s">
        <v>1769</v>
      </c>
      <c r="B4" s="355"/>
      <c r="C4" s="3724" t="s">
        <v>1770</v>
      </c>
      <c r="D4" s="3725"/>
      <c r="E4" s="3726" t="s">
        <v>1771</v>
      </c>
      <c r="F4" s="3727"/>
      <c r="G4" s="3724" t="s">
        <v>1772</v>
      </c>
      <c r="H4" s="3725"/>
      <c r="I4" s="3724" t="s">
        <v>1773</v>
      </c>
      <c r="J4" s="3725"/>
      <c r="K4" s="558" t="s">
        <v>1774</v>
      </c>
      <c r="L4" s="2711"/>
      <c r="M4" s="2712"/>
      <c r="N4" s="2712"/>
      <c r="O4" s="2712"/>
      <c r="P4" s="3728" t="s">
        <v>1775</v>
      </c>
      <c r="Q4" s="3729"/>
      <c r="R4" s="3711" t="s">
        <v>1771</v>
      </c>
      <c r="S4" s="3712"/>
      <c r="T4" s="3711" t="s">
        <v>1772</v>
      </c>
      <c r="U4" s="3712"/>
      <c r="V4" s="3736" t="s">
        <v>1773</v>
      </c>
      <c r="W4" s="3736"/>
      <c r="X4" s="1351"/>
      <c r="Y4" s="3711" t="s">
        <v>1775</v>
      </c>
      <c r="Z4" s="3712"/>
      <c r="AA4" s="3706" t="s">
        <v>1771</v>
      </c>
      <c r="AB4" s="3707" t="s">
        <v>1772</v>
      </c>
      <c r="AC4" s="3706" t="s">
        <v>1773</v>
      </c>
    </row>
    <row r="5" spans="1:29">
      <c r="A5" s="357"/>
      <c r="B5" s="358"/>
      <c r="C5" s="3717" t="s">
        <v>1673</v>
      </c>
      <c r="D5" s="3718"/>
      <c r="E5" s="3715" t="s">
        <v>1674</v>
      </c>
      <c r="F5" s="3716"/>
      <c r="G5" s="3717" t="s">
        <v>1675</v>
      </c>
      <c r="H5" s="3718"/>
      <c r="I5" s="3717" t="s">
        <v>1676</v>
      </c>
      <c r="J5" s="3718"/>
      <c r="K5" s="558"/>
      <c r="L5" s="2711"/>
      <c r="M5" s="2712"/>
      <c r="N5" s="2712"/>
      <c r="O5" s="2712"/>
      <c r="P5" s="3730"/>
      <c r="Q5" s="3731"/>
      <c r="R5" s="3713"/>
      <c r="S5" s="3714"/>
      <c r="T5" s="3713"/>
      <c r="U5" s="3714"/>
      <c r="V5" s="3736"/>
      <c r="W5" s="3736"/>
      <c r="X5" s="1351"/>
      <c r="Y5" s="3713"/>
      <c r="Z5" s="3714"/>
      <c r="AA5" s="3707"/>
      <c r="AB5" s="3707"/>
      <c r="AC5" s="3707"/>
    </row>
    <row r="6" spans="1:29" ht="15" thickBot="1">
      <c r="A6" s="359"/>
      <c r="B6" s="360"/>
      <c r="C6" s="3719" t="s">
        <v>1677</v>
      </c>
      <c r="D6" s="3720"/>
      <c r="E6" s="3721" t="s">
        <v>1677</v>
      </c>
      <c r="F6" s="3722"/>
      <c r="G6" s="3719" t="s">
        <v>1677</v>
      </c>
      <c r="H6" s="3720"/>
      <c r="I6" s="3719" t="s">
        <v>1677</v>
      </c>
      <c r="J6" s="3720"/>
      <c r="K6" s="558" t="s">
        <v>1678</v>
      </c>
      <c r="L6" s="2711"/>
      <c r="M6" s="2712"/>
      <c r="N6" s="2712"/>
      <c r="O6" s="2712"/>
      <c r="P6" s="3732"/>
      <c r="Q6" s="3733"/>
      <c r="R6" s="3713"/>
      <c r="S6" s="3714"/>
      <c r="T6" s="3734"/>
      <c r="U6" s="3735"/>
      <c r="V6" s="3736"/>
      <c r="W6" s="3736"/>
      <c r="X6" s="1351"/>
      <c r="Y6" s="3734"/>
      <c r="Z6" s="3735"/>
      <c r="AA6" s="3708"/>
      <c r="AB6" s="3708"/>
      <c r="AC6" s="3708"/>
    </row>
    <row r="7" spans="1:29" s="108" customFormat="1" ht="15" thickBot="1">
      <c r="A7" s="361" t="s">
        <v>1679</v>
      </c>
      <c r="B7" s="362"/>
      <c r="C7" s="363">
        <f>'数据-取费表'!B2</f>
        <v>44995</v>
      </c>
      <c r="D7" s="364">
        <v>100</v>
      </c>
      <c r="E7" s="365"/>
      <c r="F7" s="366">
        <f>SUMIF(48:48,YEAR(E7)&amp;"-"&amp;MONTH(E7),49:49)</f>
        <v>0</v>
      </c>
      <c r="G7" s="365"/>
      <c r="H7" s="364">
        <f>SUMIF(48:48,YEAR(G7)&amp;"-"&amp;MONTH(G7),49:49)</f>
        <v>0</v>
      </c>
      <c r="I7" s="365"/>
      <c r="J7" s="364">
        <f>SUMIF(48:48,YEAR(I7)&amp;"-"&amp;MONTH(I7),49:49)</f>
        <v>0</v>
      </c>
      <c r="K7" s="559"/>
      <c r="L7" s="2713"/>
      <c r="M7" s="2714"/>
      <c r="N7" s="2714"/>
      <c r="O7" s="2714"/>
      <c r="P7" s="3709" t="s">
        <v>1680</v>
      </c>
      <c r="Q7" s="3737"/>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8" customFormat="1" ht="1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3"/>
      <c r="M8" s="2714"/>
      <c r="N8" s="2714"/>
      <c r="O8" s="2714"/>
      <c r="P8" s="3709" t="s">
        <v>1683</v>
      </c>
      <c r="Q8" s="3710"/>
      <c r="R8" s="699" t="s">
        <v>14</v>
      </c>
      <c r="S8" s="700">
        <f t="shared" si="0"/>
        <v>100</v>
      </c>
      <c r="T8" s="699" t="s">
        <v>14</v>
      </c>
      <c r="U8" s="700">
        <f t="shared" si="1"/>
        <v>100</v>
      </c>
      <c r="V8" s="699" t="s">
        <v>14</v>
      </c>
      <c r="W8" s="700">
        <f t="shared" si="2"/>
        <v>100</v>
      </c>
      <c r="X8" s="701"/>
      <c r="Y8" s="3709" t="s">
        <v>1683</v>
      </c>
      <c r="Z8" s="3710"/>
      <c r="AA8" s="702">
        <f t="shared" ref="AA8:AA36" si="3">D8/F8</f>
        <v>1</v>
      </c>
      <c r="AB8" s="702">
        <f t="shared" ref="AB8:AB36" si="4">D8/H8</f>
        <v>1</v>
      </c>
      <c r="AC8" s="702">
        <f t="shared" ref="AC8:AC36" si="5">D8/J8</f>
        <v>1</v>
      </c>
    </row>
    <row r="9" spans="1:29" s="108" customFormat="1" ht="14.4">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3"/>
      <c r="M9" s="2714"/>
      <c r="N9" s="2714"/>
      <c r="O9" s="2714"/>
      <c r="P9" s="3741" t="s">
        <v>1686</v>
      </c>
      <c r="Q9" s="1339" t="str">
        <f t="shared" ref="Q9:Q14" si="6">B9</f>
        <v>用途</v>
      </c>
      <c r="R9" s="699" t="s">
        <v>14</v>
      </c>
      <c r="S9" s="700">
        <f t="shared" si="0"/>
        <v>100</v>
      </c>
      <c r="T9" s="699" t="s">
        <v>14</v>
      </c>
      <c r="U9" s="700">
        <f t="shared" si="1"/>
        <v>100</v>
      </c>
      <c r="V9" s="699" t="s">
        <v>14</v>
      </c>
      <c r="W9" s="700">
        <f t="shared" si="2"/>
        <v>100</v>
      </c>
      <c r="X9" s="701"/>
      <c r="Y9" s="3634" t="s">
        <v>1687</v>
      </c>
      <c r="Z9" s="52" t="str">
        <f t="shared" ref="Z9:Z14" si="7">Q9</f>
        <v>用途</v>
      </c>
      <c r="AA9" s="702">
        <f t="shared" si="3"/>
        <v>1</v>
      </c>
      <c r="AB9" s="702">
        <f t="shared" si="4"/>
        <v>1</v>
      </c>
      <c r="AC9" s="702">
        <f t="shared" si="5"/>
        <v>1</v>
      </c>
    </row>
    <row r="10" spans="1:29" s="377" customFormat="1" ht="28.8">
      <c r="A10" s="588"/>
      <c r="B10" s="589" t="s">
        <v>1688</v>
      </c>
      <c r="C10" s="3430"/>
      <c r="D10" s="126">
        <v>100</v>
      </c>
      <c r="E10" s="3430"/>
      <c r="F10" s="126">
        <f>SUMIF(55:55,E10,56:56)-SUMIF(55:55,C10,56:56)+100</f>
        <v>100</v>
      </c>
      <c r="G10" s="3431"/>
      <c r="H10" s="126">
        <f>SUMIF(55:55,G10,56:56)-SUMIF(55:55,C10,56:56)+100</f>
        <v>100</v>
      </c>
      <c r="I10" s="3430"/>
      <c r="J10" s="126">
        <f>SUMIF(55:55,I10,56:56)-SUMIF(55:55,C10,56:56)+100</f>
        <v>100</v>
      </c>
      <c r="K10" s="559"/>
      <c r="L10" s="2715"/>
      <c r="M10" s="2716"/>
      <c r="N10" s="2716"/>
      <c r="O10" s="2716"/>
      <c r="P10" s="3741"/>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7"/>
      <c r="M11" s="2712"/>
      <c r="N11" s="2712"/>
      <c r="O11" s="2712"/>
      <c r="P11" s="3741"/>
      <c r="Q11" s="1339">
        <f t="shared" si="6"/>
        <v>111</v>
      </c>
      <c r="R11" s="699" t="s">
        <v>14</v>
      </c>
      <c r="S11" s="700">
        <f t="shared" si="0"/>
        <v>100</v>
      </c>
      <c r="T11" s="699" t="s">
        <v>14</v>
      </c>
      <c r="U11" s="700">
        <f t="shared" si="1"/>
        <v>100</v>
      </c>
      <c r="V11" s="699" t="s">
        <v>14</v>
      </c>
      <c r="W11" s="700">
        <f t="shared" si="2"/>
        <v>100</v>
      </c>
      <c r="X11" s="701"/>
      <c r="Y11" s="3634"/>
      <c r="Z11" s="52">
        <f t="shared" si="7"/>
        <v>111</v>
      </c>
      <c r="AA11" s="702">
        <f t="shared" si="3"/>
        <v>1</v>
      </c>
      <c r="AB11" s="702">
        <f t="shared" si="4"/>
        <v>1</v>
      </c>
      <c r="AC11" s="702">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3"/>
      <c r="M12" s="2714"/>
      <c r="N12" s="2714"/>
      <c r="O12" s="2714"/>
      <c r="P12" s="3741"/>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702">
        <f>D12/J12</f>
        <v>1</v>
      </c>
    </row>
    <row r="13" spans="1:29" ht="15.6"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8"/>
      <c r="M13" s="2712"/>
      <c r="N13" s="2712"/>
      <c r="O13" s="2712"/>
      <c r="P13" s="3741"/>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702">
        <f t="shared" si="5"/>
        <v>1</v>
      </c>
    </row>
    <row r="14" spans="1:29" ht="96.6">
      <c r="A14" s="354" t="s">
        <v>1690</v>
      </c>
      <c r="B14" s="576" t="s">
        <v>1833</v>
      </c>
      <c r="C14" s="1967"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8"/>
      <c r="M14" s="2712"/>
      <c r="N14" s="2712"/>
      <c r="O14" s="2712"/>
      <c r="P14" s="3743" t="s">
        <v>1691</v>
      </c>
      <c r="Q14" s="1348" t="str">
        <f t="shared" si="6"/>
        <v>交通便捷度</v>
      </c>
      <c r="R14" s="703" t="s">
        <v>14</v>
      </c>
      <c r="S14" s="704">
        <f t="shared" si="0"/>
        <v>100</v>
      </c>
      <c r="T14" s="703" t="s">
        <v>14</v>
      </c>
      <c r="U14" s="704">
        <f t="shared" si="1"/>
        <v>100</v>
      </c>
      <c r="V14" s="703" t="s">
        <v>14</v>
      </c>
      <c r="W14" s="704">
        <f t="shared" si="2"/>
        <v>100</v>
      </c>
      <c r="X14" s="1351"/>
      <c r="Y14" s="3743" t="s">
        <v>1691</v>
      </c>
      <c r="Z14" s="1352" t="str">
        <f t="shared" si="7"/>
        <v>交通便捷度</v>
      </c>
      <c r="AA14" s="1349">
        <f t="shared" si="3"/>
        <v>1</v>
      </c>
      <c r="AB14" s="1349">
        <f t="shared" si="4"/>
        <v>1</v>
      </c>
      <c r="AC14" s="1349">
        <f t="shared" si="5"/>
        <v>1</v>
      </c>
    </row>
    <row r="15" spans="1:29" ht="15">
      <c r="A15" s="357"/>
      <c r="B15" s="594"/>
      <c r="C15" s="397"/>
      <c r="D15" s="398"/>
      <c r="E15" s="397"/>
      <c r="F15" s="399"/>
      <c r="G15" s="397"/>
      <c r="H15" s="400"/>
      <c r="I15" s="397"/>
      <c r="J15" s="398"/>
      <c r="K15" s="563"/>
      <c r="L15" s="2718"/>
      <c r="M15" s="2712"/>
      <c r="N15" s="2712"/>
      <c r="O15" s="2712"/>
      <c r="P15" s="3744"/>
      <c r="Q15" s="1348"/>
      <c r="R15" s="703"/>
      <c r="S15" s="704"/>
      <c r="T15" s="703"/>
      <c r="U15" s="704"/>
      <c r="V15" s="703"/>
      <c r="W15" s="704"/>
      <c r="X15" s="1351"/>
      <c r="Y15" s="3744"/>
      <c r="Z15" s="1352"/>
      <c r="AA15" s="1349">
        <v>1</v>
      </c>
      <c r="AB15" s="1349">
        <v>1</v>
      </c>
      <c r="AC15" s="1349">
        <v>1</v>
      </c>
    </row>
    <row r="16" spans="1:29" ht="41.4">
      <c r="A16" s="357"/>
      <c r="B16" s="578" t="s">
        <v>1812</v>
      </c>
      <c r="C16" s="1896"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8"/>
      <c r="M16" s="2712"/>
      <c r="N16" s="2712"/>
      <c r="O16" s="2712"/>
      <c r="P16" s="3744"/>
      <c r="Q16" s="1348" t="str">
        <f>B16</f>
        <v>公共配套设施</v>
      </c>
      <c r="R16" s="703" t="s">
        <v>14</v>
      </c>
      <c r="S16" s="704">
        <f>F16</f>
        <v>100</v>
      </c>
      <c r="T16" s="703" t="s">
        <v>14</v>
      </c>
      <c r="U16" s="704">
        <f>H16</f>
        <v>100</v>
      </c>
      <c r="V16" s="703" t="s">
        <v>14</v>
      </c>
      <c r="W16" s="704">
        <f>J16</f>
        <v>100</v>
      </c>
      <c r="X16" s="1351"/>
      <c r="Y16" s="3744"/>
      <c r="Z16" s="1352" t="str">
        <f>Q16</f>
        <v>公共配套设施</v>
      </c>
      <c r="AA16" s="1349">
        <f t="shared" si="3"/>
        <v>1</v>
      </c>
      <c r="AB16" s="1349">
        <f t="shared" si="4"/>
        <v>1</v>
      </c>
      <c r="AC16" s="1349">
        <f t="shared" si="5"/>
        <v>1</v>
      </c>
    </row>
    <row r="17" spans="1:29" ht="15">
      <c r="A17" s="357"/>
      <c r="B17" s="579"/>
      <c r="C17" s="1897"/>
      <c r="D17" s="398"/>
      <c r="E17" s="397"/>
      <c r="F17" s="399"/>
      <c r="G17" s="397"/>
      <c r="H17" s="398"/>
      <c r="I17" s="397"/>
      <c r="J17" s="398"/>
      <c r="K17" s="563"/>
      <c r="L17" s="2718"/>
      <c r="M17" s="2712"/>
      <c r="N17" s="2712"/>
      <c r="O17" s="2712"/>
      <c r="P17" s="3744"/>
      <c r="Q17" s="1348"/>
      <c r="R17" s="703"/>
      <c r="S17" s="704"/>
      <c r="T17" s="703"/>
      <c r="U17" s="704"/>
      <c r="V17" s="703"/>
      <c r="W17" s="704"/>
      <c r="X17" s="1351"/>
      <c r="Y17" s="3744"/>
      <c r="Z17" s="1352"/>
      <c r="AA17" s="1349">
        <v>1</v>
      </c>
      <c r="AB17" s="1349">
        <v>1</v>
      </c>
      <c r="AC17" s="1349">
        <v>1</v>
      </c>
    </row>
    <row r="18" spans="1:29" ht="41.4">
      <c r="A18" s="357"/>
      <c r="B18" s="580" t="s">
        <v>1813</v>
      </c>
      <c r="C18" s="1896"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8"/>
      <c r="M18" s="2712"/>
      <c r="N18" s="2712"/>
      <c r="O18" s="2712"/>
      <c r="P18" s="3744"/>
      <c r="Q18" s="1348" t="str">
        <f>B18</f>
        <v>基础设施水平</v>
      </c>
      <c r="R18" s="703" t="s">
        <v>14</v>
      </c>
      <c r="S18" s="704">
        <f>F18</f>
        <v>100</v>
      </c>
      <c r="T18" s="703" t="s">
        <v>14</v>
      </c>
      <c r="U18" s="704">
        <f>H18</f>
        <v>100</v>
      </c>
      <c r="V18" s="703" t="s">
        <v>14</v>
      </c>
      <c r="W18" s="704">
        <f>J18</f>
        <v>100</v>
      </c>
      <c r="X18" s="1351"/>
      <c r="Y18" s="3744"/>
      <c r="Z18" s="1352" t="str">
        <f>Q18</f>
        <v>基础设施水平</v>
      </c>
      <c r="AA18" s="1349">
        <f t="shared" ref="AA18" si="8">D18/F18</f>
        <v>1</v>
      </c>
      <c r="AB18" s="1349">
        <f t="shared" ref="AB18" si="9">D18/H18</f>
        <v>1</v>
      </c>
      <c r="AC18" s="1349">
        <f t="shared" ref="AC18" si="10">D18/J18</f>
        <v>1</v>
      </c>
    </row>
    <row r="19" spans="1:29" ht="15">
      <c r="A19" s="357"/>
      <c r="B19" s="580"/>
      <c r="C19" s="1897"/>
      <c r="D19" s="400"/>
      <c r="E19" s="1897"/>
      <c r="F19" s="403"/>
      <c r="G19" s="1897"/>
      <c r="H19" s="398"/>
      <c r="I19" s="397"/>
      <c r="J19" s="398"/>
      <c r="K19" s="1126"/>
      <c r="L19" s="2718"/>
      <c r="M19" s="2712"/>
      <c r="N19" s="2712"/>
      <c r="O19" s="2712"/>
      <c r="P19" s="3744"/>
      <c r="Q19" s="1348"/>
      <c r="R19" s="703"/>
      <c r="S19" s="704"/>
      <c r="T19" s="703"/>
      <c r="U19" s="704"/>
      <c r="V19" s="703"/>
      <c r="W19" s="704"/>
      <c r="X19" s="1351"/>
      <c r="Y19" s="3744"/>
      <c r="Z19" s="1352"/>
      <c r="AA19" s="1349">
        <v>1</v>
      </c>
      <c r="AB19" s="1349">
        <v>1</v>
      </c>
      <c r="AC19" s="1349">
        <v>1</v>
      </c>
    </row>
    <row r="20" spans="1:29" ht="55.2">
      <c r="A20" s="357"/>
      <c r="B20" s="578" t="s">
        <v>1834</v>
      </c>
      <c r="C20" s="1896"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8"/>
      <c r="M20" s="2712"/>
      <c r="N20" s="2712"/>
      <c r="O20" s="2712"/>
      <c r="P20" s="3744"/>
      <c r="Q20" s="1348" t="str">
        <f>B20</f>
        <v>自然及人文环境</v>
      </c>
      <c r="R20" s="703" t="s">
        <v>14</v>
      </c>
      <c r="S20" s="704">
        <f>F20</f>
        <v>100</v>
      </c>
      <c r="T20" s="703" t="s">
        <v>14</v>
      </c>
      <c r="U20" s="704">
        <f>H20</f>
        <v>100</v>
      </c>
      <c r="V20" s="703" t="s">
        <v>14</v>
      </c>
      <c r="W20" s="704">
        <f>J20</f>
        <v>100</v>
      </c>
      <c r="X20" s="1351"/>
      <c r="Y20" s="3744"/>
      <c r="Z20" s="1352" t="str">
        <f>Q20</f>
        <v>自然及人文环境</v>
      </c>
      <c r="AA20" s="1349">
        <f t="shared" si="3"/>
        <v>1</v>
      </c>
      <c r="AB20" s="1349">
        <f t="shared" si="4"/>
        <v>1</v>
      </c>
      <c r="AC20" s="1349">
        <f t="shared" si="5"/>
        <v>1</v>
      </c>
    </row>
    <row r="21" spans="1:29" ht="15">
      <c r="A21" s="357"/>
      <c r="B21" s="579"/>
      <c r="C21" s="397"/>
      <c r="D21" s="398"/>
      <c r="E21" s="397"/>
      <c r="F21" s="399"/>
      <c r="G21" s="397"/>
      <c r="H21" s="398"/>
      <c r="I21" s="397"/>
      <c r="J21" s="398"/>
      <c r="K21" s="563"/>
      <c r="L21" s="2718"/>
      <c r="M21" s="2712"/>
      <c r="N21" s="2712"/>
      <c r="O21" s="2712"/>
      <c r="P21" s="3744"/>
      <c r="Q21" s="1348"/>
      <c r="R21" s="703"/>
      <c r="S21" s="704"/>
      <c r="T21" s="703"/>
      <c r="U21" s="704"/>
      <c r="V21" s="703"/>
      <c r="W21" s="704"/>
      <c r="X21" s="1351"/>
      <c r="Y21" s="3744"/>
      <c r="Z21" s="1352"/>
      <c r="AA21" s="1349">
        <v>1</v>
      </c>
      <c r="AB21" s="1349">
        <v>1</v>
      </c>
      <c r="AC21" s="1349">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8"/>
      <c r="M22" s="2712"/>
      <c r="N22" s="2712"/>
      <c r="O22" s="2712"/>
      <c r="P22" s="3744"/>
      <c r="Q22" s="1348" t="str">
        <f>B22</f>
        <v>楼层</v>
      </c>
      <c r="R22" s="703" t="s">
        <v>14</v>
      </c>
      <c r="S22" s="704">
        <f>F22</f>
        <v>100</v>
      </c>
      <c r="T22" s="703" t="s">
        <v>14</v>
      </c>
      <c r="U22" s="704">
        <f>H22</f>
        <v>100</v>
      </c>
      <c r="V22" s="703" t="s">
        <v>14</v>
      </c>
      <c r="W22" s="704">
        <f>J22</f>
        <v>100</v>
      </c>
      <c r="X22" s="1351"/>
      <c r="Y22" s="3744"/>
      <c r="Z22" s="1352" t="str">
        <f>Q22</f>
        <v>楼层</v>
      </c>
      <c r="AA22" s="1349">
        <f t="shared" si="3"/>
        <v>1</v>
      </c>
      <c r="AB22" s="1349">
        <f t="shared" si="4"/>
        <v>1</v>
      </c>
      <c r="AC22" s="1349">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8"/>
      <c r="M23" s="2712"/>
      <c r="N23" s="2712"/>
      <c r="O23" s="2712"/>
      <c r="P23" s="3744"/>
      <c r="Q23" s="1348">
        <f>B23</f>
        <v>111</v>
      </c>
      <c r="R23" s="703" t="s">
        <v>14</v>
      </c>
      <c r="S23" s="704">
        <f>F23</f>
        <v>100</v>
      </c>
      <c r="T23" s="703" t="s">
        <v>14</v>
      </c>
      <c r="U23" s="704">
        <f>H23</f>
        <v>100</v>
      </c>
      <c r="V23" s="703" t="s">
        <v>14</v>
      </c>
      <c r="W23" s="704">
        <f>J23</f>
        <v>100</v>
      </c>
      <c r="X23" s="1351"/>
      <c r="Y23" s="3744"/>
      <c r="Z23" s="1352">
        <f>Q23</f>
        <v>111</v>
      </c>
      <c r="AA23" s="1349">
        <f t="shared" si="3"/>
        <v>1</v>
      </c>
      <c r="AB23" s="1349">
        <f t="shared" si="4"/>
        <v>1</v>
      </c>
      <c r="AC23" s="1349">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8"/>
      <c r="M24" s="2712"/>
      <c r="N24" s="2712"/>
      <c r="O24" s="2712"/>
      <c r="P24" s="3744"/>
      <c r="Q24" s="1348">
        <f t="shared" ref="Q24:Q36" si="11">B24</f>
        <v>111</v>
      </c>
      <c r="R24" s="703" t="s">
        <v>14</v>
      </c>
      <c r="S24" s="704">
        <f>F24</f>
        <v>100</v>
      </c>
      <c r="T24" s="703" t="s">
        <v>14</v>
      </c>
      <c r="U24" s="704">
        <f>H24</f>
        <v>100</v>
      </c>
      <c r="V24" s="703" t="s">
        <v>14</v>
      </c>
      <c r="W24" s="704">
        <f>J24</f>
        <v>100</v>
      </c>
      <c r="X24" s="1351"/>
      <c r="Y24" s="3744"/>
      <c r="Z24" s="1352">
        <f>Q24</f>
        <v>111</v>
      </c>
      <c r="AA24" s="1349">
        <f t="shared" si="3"/>
        <v>1</v>
      </c>
      <c r="AB24" s="1349">
        <f t="shared" si="4"/>
        <v>1</v>
      </c>
      <c r="AC24" s="1349">
        <f t="shared" si="5"/>
        <v>1</v>
      </c>
    </row>
    <row r="25" spans="1:29" s="108" customFormat="1" ht="15.6"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3"/>
      <c r="M25" s="2714"/>
      <c r="N25" s="2714"/>
      <c r="O25" s="2714"/>
      <c r="P25" s="3744"/>
      <c r="Q25" s="1339">
        <f t="shared" si="11"/>
        <v>111</v>
      </c>
      <c r="R25" s="699" t="s">
        <v>14</v>
      </c>
      <c r="S25" s="700">
        <f>F25</f>
        <v>100</v>
      </c>
      <c r="T25" s="699" t="s">
        <v>14</v>
      </c>
      <c r="U25" s="700">
        <f>H25</f>
        <v>100</v>
      </c>
      <c r="V25" s="699" t="s">
        <v>14</v>
      </c>
      <c r="W25" s="700">
        <f>J25</f>
        <v>100</v>
      </c>
      <c r="X25" s="701"/>
      <c r="Y25" s="3744"/>
      <c r="Z25" s="52">
        <f>Q25</f>
        <v>111</v>
      </c>
      <c r="AA25" s="1349">
        <f>D25/F25</f>
        <v>1</v>
      </c>
      <c r="AB25" s="1349">
        <f>D25/H25</f>
        <v>1</v>
      </c>
      <c r="AC25" s="1349">
        <f>D25/J25</f>
        <v>1</v>
      </c>
    </row>
    <row r="26" spans="1:29" ht="30">
      <c r="A26" s="599" t="s">
        <v>1694</v>
      </c>
      <c r="B26" s="62" t="s">
        <v>1836</v>
      </c>
      <c r="C26" s="1968" t="str">
        <f>B1</f>
        <v>车库</v>
      </c>
      <c r="D26" s="398">
        <v>100</v>
      </c>
      <c r="E26" s="397"/>
      <c r="F26" s="399">
        <f>SUMIF(79:79,E26,80:80)-SUMIF(79:79,C26,80:80)+100</f>
        <v>0</v>
      </c>
      <c r="G26" s="397"/>
      <c r="H26" s="398">
        <f>SUMIF(79:79,G26,80:80)-SUMIF(79:79,C26,80:80)+100</f>
        <v>0</v>
      </c>
      <c r="I26" s="397"/>
      <c r="J26" s="398">
        <f>SUMIF(79:79,I26,80:80)-SUMIF(79:79,C26,80:80)+100</f>
        <v>0</v>
      </c>
      <c r="K26" s="560"/>
      <c r="L26" s="2718"/>
      <c r="M26" s="2712"/>
      <c r="N26" s="2712"/>
      <c r="O26" s="2712"/>
      <c r="P26" s="3767"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48" t="s">
        <v>1696</v>
      </c>
      <c r="Z26" s="1352" t="str">
        <f t="shared" ref="Z26:Z36" si="15">Q26</f>
        <v>配套类型</v>
      </c>
      <c r="AA26" s="1349" t="e">
        <f t="shared" si="3"/>
        <v>#DIV/0!</v>
      </c>
      <c r="AB26" s="1349" t="e">
        <f t="shared" si="4"/>
        <v>#DIV/0!</v>
      </c>
      <c r="AC26" s="1349"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7"/>
      <c r="M27" s="2719"/>
      <c r="N27" s="2719"/>
      <c r="O27" s="2719"/>
      <c r="P27" s="3748"/>
      <c r="Q27" s="705" t="str">
        <f t="shared" si="11"/>
        <v>项目停车位配比</v>
      </c>
      <c r="R27" s="706" t="s">
        <v>14</v>
      </c>
      <c r="S27" s="707">
        <f t="shared" si="12"/>
        <v>100</v>
      </c>
      <c r="T27" s="706" t="s">
        <v>14</v>
      </c>
      <c r="U27" s="707">
        <f t="shared" si="13"/>
        <v>100</v>
      </c>
      <c r="V27" s="706" t="s">
        <v>14</v>
      </c>
      <c r="W27" s="707">
        <f t="shared" si="14"/>
        <v>100</v>
      </c>
      <c r="X27" s="708"/>
      <c r="Y27" s="3748"/>
      <c r="Z27" s="709" t="str">
        <f t="shared" si="15"/>
        <v>项目停车位配比</v>
      </c>
      <c r="AA27" s="1349">
        <f t="shared" si="3"/>
        <v>1</v>
      </c>
      <c r="AB27" s="1349">
        <f t="shared" si="4"/>
        <v>1</v>
      </c>
      <c r="AC27" s="1349">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8"/>
      <c r="M28" s="2712"/>
      <c r="N28" s="2712"/>
      <c r="O28" s="2712"/>
      <c r="P28" s="3748"/>
      <c r="Q28" s="1348" t="str">
        <f t="shared" si="11"/>
        <v>公共部分装修</v>
      </c>
      <c r="R28" s="703" t="s">
        <v>14</v>
      </c>
      <c r="S28" s="704">
        <f t="shared" si="12"/>
        <v>100</v>
      </c>
      <c r="T28" s="703" t="s">
        <v>14</v>
      </c>
      <c r="U28" s="704">
        <f t="shared" si="13"/>
        <v>100</v>
      </c>
      <c r="V28" s="703" t="s">
        <v>14</v>
      </c>
      <c r="W28" s="704">
        <f t="shared" si="14"/>
        <v>100</v>
      </c>
      <c r="X28" s="1351"/>
      <c r="Y28" s="3748"/>
      <c r="Z28" s="1352" t="str">
        <f t="shared" si="15"/>
        <v>公共部分装修</v>
      </c>
      <c r="AA28" s="1349">
        <f t="shared" si="3"/>
        <v>1</v>
      </c>
      <c r="AB28" s="1349">
        <f t="shared" si="4"/>
        <v>1</v>
      </c>
      <c r="AC28" s="1349">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8"/>
      <c r="M29" s="2712"/>
      <c r="N29" s="2712"/>
      <c r="O29" s="2712"/>
      <c r="P29" s="3748"/>
      <c r="Q29" s="1348" t="str">
        <f t="shared" si="11"/>
        <v>成新率</v>
      </c>
      <c r="R29" s="703" t="s">
        <v>14</v>
      </c>
      <c r="S29" s="704" t="e">
        <f t="shared" si="12"/>
        <v>#N/A</v>
      </c>
      <c r="T29" s="703" t="s">
        <v>14</v>
      </c>
      <c r="U29" s="704" t="e">
        <f t="shared" si="13"/>
        <v>#N/A</v>
      </c>
      <c r="V29" s="703" t="s">
        <v>14</v>
      </c>
      <c r="W29" s="704" t="e">
        <f t="shared" si="14"/>
        <v>#N/A</v>
      </c>
      <c r="X29" s="1351"/>
      <c r="Y29" s="3748"/>
      <c r="Z29" s="1352" t="str">
        <f t="shared" si="15"/>
        <v>成新率</v>
      </c>
      <c r="AA29" s="1349" t="e">
        <f t="shared" si="3"/>
        <v>#N/A</v>
      </c>
      <c r="AB29" s="1349" t="e">
        <f t="shared" si="4"/>
        <v>#N/A</v>
      </c>
      <c r="AC29" s="1349"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8"/>
      <c r="M30" s="2712"/>
      <c r="N30" s="2712"/>
      <c r="O30" s="2712"/>
      <c r="P30" s="3748"/>
      <c r="Q30" s="1348" t="str">
        <f t="shared" si="11"/>
        <v>物业等级</v>
      </c>
      <c r="R30" s="703" t="s">
        <v>14</v>
      </c>
      <c r="S30" s="704">
        <f t="shared" si="12"/>
        <v>100</v>
      </c>
      <c r="T30" s="703" t="s">
        <v>14</v>
      </c>
      <c r="U30" s="704">
        <f t="shared" si="13"/>
        <v>100</v>
      </c>
      <c r="V30" s="703" t="s">
        <v>14</v>
      </c>
      <c r="W30" s="704">
        <f t="shared" si="14"/>
        <v>100</v>
      </c>
      <c r="X30" s="1351"/>
      <c r="Y30" s="3748"/>
      <c r="Z30" s="1352" t="str">
        <f t="shared" si="15"/>
        <v>物业等级</v>
      </c>
      <c r="AA30" s="1349">
        <f t="shared" si="3"/>
        <v>1</v>
      </c>
      <c r="AB30" s="1349">
        <f t="shared" si="4"/>
        <v>1</v>
      </c>
      <c r="AC30" s="1349">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3"/>
      <c r="M31" s="2714"/>
      <c r="N31" s="2714"/>
      <c r="O31" s="2714"/>
      <c r="P31" s="3748"/>
      <c r="Q31" s="1339" t="str">
        <f t="shared" si="11"/>
        <v>停车位面积</v>
      </c>
      <c r="R31" s="699" t="s">
        <v>14</v>
      </c>
      <c r="S31" s="700" t="e">
        <f t="shared" si="12"/>
        <v>#N/A</v>
      </c>
      <c r="T31" s="699" t="s">
        <v>14</v>
      </c>
      <c r="U31" s="700" t="e">
        <f t="shared" si="13"/>
        <v>#N/A</v>
      </c>
      <c r="V31" s="699" t="s">
        <v>14</v>
      </c>
      <c r="W31" s="700" t="e">
        <f t="shared" si="14"/>
        <v>#N/A</v>
      </c>
      <c r="X31" s="701"/>
      <c r="Y31" s="3748"/>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8"/>
      <c r="M32" s="2712"/>
      <c r="N32" s="2712"/>
      <c r="O32" s="2712"/>
      <c r="P32" s="3748" t="s">
        <v>1696</v>
      </c>
      <c r="Q32" s="1348" t="str">
        <f t="shared" si="11"/>
        <v>车位类型</v>
      </c>
      <c r="R32" s="703" t="s">
        <v>14</v>
      </c>
      <c r="S32" s="704">
        <f t="shared" si="12"/>
        <v>100</v>
      </c>
      <c r="T32" s="703" t="s">
        <v>14</v>
      </c>
      <c r="U32" s="704">
        <f t="shared" si="13"/>
        <v>100</v>
      </c>
      <c r="V32" s="703" t="s">
        <v>14</v>
      </c>
      <c r="W32" s="704">
        <f t="shared" si="14"/>
        <v>100</v>
      </c>
      <c r="X32" s="1351"/>
      <c r="Y32" s="3748" t="s">
        <v>1696</v>
      </c>
      <c r="Z32" s="1352" t="str">
        <f t="shared" si="15"/>
        <v>车位类型</v>
      </c>
      <c r="AA32" s="1349">
        <f t="shared" si="3"/>
        <v>1</v>
      </c>
      <c r="AB32" s="1349">
        <f t="shared" si="4"/>
        <v>1</v>
      </c>
      <c r="AC32" s="1349">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8"/>
      <c r="M33" s="2712"/>
      <c r="N33" s="2712"/>
      <c r="O33" s="2712"/>
      <c r="P33" s="3748"/>
      <c r="Q33" s="1348" t="str">
        <f t="shared" si="11"/>
        <v>是否直接入户</v>
      </c>
      <c r="R33" s="703" t="s">
        <v>14</v>
      </c>
      <c r="S33" s="704">
        <f t="shared" si="12"/>
        <v>100</v>
      </c>
      <c r="T33" s="703" t="s">
        <v>14</v>
      </c>
      <c r="U33" s="704">
        <f t="shared" si="13"/>
        <v>100</v>
      </c>
      <c r="V33" s="703" t="s">
        <v>14</v>
      </c>
      <c r="W33" s="704">
        <f t="shared" si="14"/>
        <v>100</v>
      </c>
      <c r="X33" s="1351"/>
      <c r="Y33" s="3748"/>
      <c r="Z33" s="1352" t="str">
        <f t="shared" si="15"/>
        <v>是否直接入户</v>
      </c>
      <c r="AA33" s="1349">
        <f t="shared" si="3"/>
        <v>1</v>
      </c>
      <c r="AB33" s="1349">
        <f t="shared" si="4"/>
        <v>1</v>
      </c>
      <c r="AC33" s="1349">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8"/>
      <c r="M34" s="2712"/>
      <c r="N34" s="2712"/>
      <c r="O34" s="2712"/>
      <c r="P34" s="3748"/>
      <c r="Q34" s="1348">
        <f t="shared" si="11"/>
        <v>111</v>
      </c>
      <c r="R34" s="703" t="s">
        <v>14</v>
      </c>
      <c r="S34" s="704">
        <f t="shared" si="12"/>
        <v>100</v>
      </c>
      <c r="T34" s="703" t="s">
        <v>14</v>
      </c>
      <c r="U34" s="704">
        <f t="shared" si="13"/>
        <v>100</v>
      </c>
      <c r="V34" s="703" t="s">
        <v>14</v>
      </c>
      <c r="W34" s="704">
        <f t="shared" si="14"/>
        <v>100</v>
      </c>
      <c r="X34" s="1351"/>
      <c r="Y34" s="3748"/>
      <c r="Z34" s="1352">
        <f t="shared" si="15"/>
        <v>111</v>
      </c>
      <c r="AA34" s="1349">
        <f t="shared" si="3"/>
        <v>1</v>
      </c>
      <c r="AB34" s="1349">
        <f t="shared" si="4"/>
        <v>1</v>
      </c>
      <c r="AC34" s="1349">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7"/>
      <c r="M35" s="2719"/>
      <c r="N35" s="2719"/>
      <c r="O35" s="2719"/>
      <c r="P35" s="3748"/>
      <c r="Q35" s="705">
        <f t="shared" si="11"/>
        <v>111</v>
      </c>
      <c r="R35" s="706" t="s">
        <v>14</v>
      </c>
      <c r="S35" s="707">
        <f t="shared" si="12"/>
        <v>100</v>
      </c>
      <c r="T35" s="706" t="s">
        <v>14</v>
      </c>
      <c r="U35" s="707">
        <f t="shared" si="13"/>
        <v>100</v>
      </c>
      <c r="V35" s="706" t="s">
        <v>14</v>
      </c>
      <c r="W35" s="707">
        <f t="shared" si="14"/>
        <v>100</v>
      </c>
      <c r="X35" s="708"/>
      <c r="Y35" s="3748"/>
      <c r="Z35" s="709">
        <f t="shared" si="15"/>
        <v>111</v>
      </c>
      <c r="AA35" s="1349">
        <f t="shared" si="3"/>
        <v>1</v>
      </c>
      <c r="AB35" s="1349">
        <f t="shared" si="4"/>
        <v>1</v>
      </c>
      <c r="AC35" s="1349">
        <f t="shared" si="5"/>
        <v>1</v>
      </c>
    </row>
    <row r="36" spans="1:29" ht="15.6"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8"/>
      <c r="M36" s="2712"/>
      <c r="N36" s="2712"/>
      <c r="O36" s="2712"/>
      <c r="P36" s="3748"/>
      <c r="Q36" s="1348">
        <f t="shared" si="11"/>
        <v>111</v>
      </c>
      <c r="R36" s="703" t="s">
        <v>14</v>
      </c>
      <c r="S36" s="704">
        <f t="shared" si="12"/>
        <v>100</v>
      </c>
      <c r="T36" s="703" t="s">
        <v>14</v>
      </c>
      <c r="U36" s="704">
        <f t="shared" si="13"/>
        <v>100</v>
      </c>
      <c r="V36" s="703" t="s">
        <v>14</v>
      </c>
      <c r="W36" s="704">
        <f t="shared" si="14"/>
        <v>100</v>
      </c>
      <c r="X36" s="1351"/>
      <c r="Y36" s="3748"/>
      <c r="Z36" s="1352">
        <f t="shared" si="15"/>
        <v>111</v>
      </c>
      <c r="AA36" s="1349">
        <f t="shared" si="3"/>
        <v>1</v>
      </c>
      <c r="AB36" s="1349">
        <f t="shared" si="4"/>
        <v>1</v>
      </c>
      <c r="AC36" s="1349">
        <f t="shared" si="5"/>
        <v>1</v>
      </c>
    </row>
    <row r="37" spans="1:29" ht="14.4">
      <c r="A37" s="429" t="s">
        <v>1844</v>
      </c>
      <c r="B37" s="1969" t="s">
        <v>3360</v>
      </c>
      <c r="C37" s="1150" t="s">
        <v>0</v>
      </c>
      <c r="D37" s="1151"/>
      <c r="E37" s="1152"/>
      <c r="F37" s="1153"/>
      <c r="G37" s="1154"/>
      <c r="H37" s="1155"/>
      <c r="I37" s="1152"/>
      <c r="J37" s="1155"/>
      <c r="K37" s="567"/>
      <c r="L37" s="2720"/>
      <c r="M37" s="2721"/>
      <c r="N37" s="2712"/>
      <c r="O37" s="2721"/>
      <c r="P37" s="3741" t="str">
        <f>A37</f>
        <v>成交单价</v>
      </c>
      <c r="Q37" s="3741"/>
      <c r="R37" s="3742">
        <f>E37</f>
        <v>0</v>
      </c>
      <c r="S37" s="3742"/>
      <c r="T37" s="3742">
        <f>G37</f>
        <v>0</v>
      </c>
      <c r="U37" s="3742"/>
      <c r="V37" s="3742">
        <f>I37</f>
        <v>0</v>
      </c>
      <c r="W37" s="3742"/>
      <c r="X37" s="688"/>
      <c r="Y37" s="710"/>
      <c r="Z37" s="688"/>
      <c r="AA37" s="688"/>
      <c r="AB37" s="688"/>
      <c r="AC37" s="688"/>
    </row>
    <row r="38" spans="1:29" ht="15" thickBot="1">
      <c r="A38" s="436" t="s">
        <v>1845</v>
      </c>
      <c r="B38" s="437" t="str">
        <f>B37</f>
        <v>元/平方米</v>
      </c>
      <c r="C38" s="1156" t="e">
        <f>R39</f>
        <v>#DIV/0!</v>
      </c>
      <c r="D38" s="2313" t="s">
        <v>2138</v>
      </c>
      <c r="E38" s="1157" t="e">
        <f>R38</f>
        <v>#DIV/0!</v>
      </c>
      <c r="F38" s="2314"/>
      <c r="G38" s="1156" t="e">
        <f>T38</f>
        <v>#DIV/0!</v>
      </c>
      <c r="H38" s="2314"/>
      <c r="I38" s="1157" t="e">
        <f>V38</f>
        <v>#DIV/0!</v>
      </c>
      <c r="J38" s="2314"/>
      <c r="K38" s="2316">
        <f>F38+H38+J38</f>
        <v>0</v>
      </c>
      <c r="L38" s="2720"/>
      <c r="M38" s="2721"/>
      <c r="N38" s="2721"/>
      <c r="O38" s="2721"/>
      <c r="P38" s="3741" t="str">
        <f>A38</f>
        <v>比较价值（元/平方米）</v>
      </c>
      <c r="Q38" s="3741"/>
      <c r="R38" s="3742" t="e">
        <f>IF(F1="售价",ROUND(PRODUCT(R37,AA7:AA36),0),ROUND(PRODUCT(R37,AA7:AA36),1))</f>
        <v>#DIV/0!</v>
      </c>
      <c r="S38" s="3742"/>
      <c r="T38" s="3742" t="e">
        <f>IF(F1="售价",ROUND(PRODUCT(T37,AB7:AB36),0),ROUND(PRODUCT(T37,AB7:AB36),1))</f>
        <v>#DIV/0!</v>
      </c>
      <c r="U38" s="3742"/>
      <c r="V38" s="3742" t="e">
        <f>IF(F1="售价",ROUND(PRODUCT(V37,AC7:AC36),0),ROUND(PRODUCT(V37,AC7:AC36),1))</f>
        <v>#DIV/0!</v>
      </c>
      <c r="W38" s="3742"/>
      <c r="X38" s="688"/>
      <c r="Y38" s="688"/>
      <c r="Z38" s="688"/>
      <c r="AA38" s="688"/>
      <c r="AB38" s="688"/>
      <c r="AC38" s="688"/>
    </row>
    <row r="39" spans="1:29" ht="15" thickBot="1">
      <c r="A39" s="440" t="s">
        <v>1846</v>
      </c>
      <c r="B39" s="441"/>
      <c r="C39" s="1159" t="e">
        <f>R39</f>
        <v>#DIV/0!</v>
      </c>
      <c r="D39" s="1159"/>
      <c r="E39" s="1159"/>
      <c r="F39" s="1159"/>
      <c r="G39" s="1159"/>
      <c r="H39" s="1159"/>
      <c r="I39" s="1159"/>
      <c r="J39" s="1159"/>
      <c r="K39" s="568"/>
      <c r="L39" s="2720"/>
      <c r="M39" s="2721"/>
      <c r="N39" s="2721"/>
      <c r="O39" s="2721"/>
      <c r="P39" s="3738" t="str">
        <f>A39</f>
        <v>估价对象XX用房的比较价值（楼面单价，元/平方米）</v>
      </c>
      <c r="Q39" s="3739"/>
      <c r="R39" s="3768" t="e">
        <f>IF(F1="售价",ROUND(IF(D38="简单平均",AVERAGE(R38:W38),R38*F38+T38*H38+V38*J38),0),ROUND(IF(D38="简单平均",AVERAGE(R38:V38),R38*F38+T38*H38+V38*J38),1))</f>
        <v>#DIV/0!</v>
      </c>
      <c r="S39" s="3768"/>
      <c r="T39" s="3768"/>
      <c r="U39" s="3768"/>
      <c r="V39" s="3768"/>
      <c r="W39" s="3768"/>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0" customFormat="1" ht="13.5" customHeight="1">
      <c r="A44" s="2724"/>
      <c r="B44" s="2724"/>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0"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2.2" thickBot="1">
      <c r="A47" s="1162" t="s">
        <v>1850</v>
      </c>
      <c r="B47" s="923"/>
      <c r="C47" s="936"/>
      <c r="D47" s="936"/>
      <c r="E47" s="936"/>
      <c r="F47" s="1163"/>
      <c r="G47" s="1163"/>
      <c r="H47" s="936"/>
      <c r="I47" s="936"/>
      <c r="J47" s="936"/>
      <c r="K47" s="937"/>
      <c r="L47" s="938"/>
      <c r="M47" s="936"/>
      <c r="N47" s="2765"/>
      <c r="O47" s="2765"/>
      <c r="P47" s="2754"/>
      <c r="Q47" s="2735"/>
      <c r="R47" s="2721"/>
      <c r="S47" s="2721"/>
      <c r="T47" s="2721"/>
      <c r="U47" s="2721"/>
      <c r="V47" s="2721"/>
      <c r="W47" s="2721"/>
      <c r="X47" s="2721"/>
      <c r="Y47" s="2721"/>
      <c r="Z47" s="2721"/>
      <c r="AA47" s="2721"/>
      <c r="AB47" s="2721"/>
      <c r="AC47" s="2721"/>
    </row>
    <row r="48" spans="1:29" s="456" customFormat="1" ht="14.4">
      <c r="A48" s="453" t="s">
        <v>1851</v>
      </c>
      <c r="B48" s="454"/>
      <c r="C48" s="1180" t="str">
        <f>YEAR(C7)&amp;"-"&amp;MONTH(C7)</f>
        <v>2023-3</v>
      </c>
      <c r="D48" s="1181">
        <f>EDATE(C48,-1)</f>
        <v>44958</v>
      </c>
      <c r="E48" s="1181">
        <f t="shared" ref="E48:O48" si="16">EDATE(D48,-1)</f>
        <v>44927</v>
      </c>
      <c r="F48" s="1181">
        <f t="shared" si="16"/>
        <v>44896</v>
      </c>
      <c r="G48" s="1181">
        <f t="shared" si="16"/>
        <v>44866</v>
      </c>
      <c r="H48" s="1181">
        <f t="shared" si="16"/>
        <v>44835</v>
      </c>
      <c r="I48" s="1181">
        <f t="shared" si="16"/>
        <v>44805</v>
      </c>
      <c r="J48" s="1181">
        <f t="shared" si="16"/>
        <v>44774</v>
      </c>
      <c r="K48" s="1181">
        <f t="shared" si="16"/>
        <v>44743</v>
      </c>
      <c r="L48" s="1181">
        <f t="shared" si="16"/>
        <v>44713</v>
      </c>
      <c r="M48" s="1181">
        <f t="shared" si="16"/>
        <v>44682</v>
      </c>
      <c r="N48" s="1181">
        <f t="shared" si="16"/>
        <v>44652</v>
      </c>
      <c r="O48" s="1181">
        <f t="shared" si="16"/>
        <v>44621</v>
      </c>
      <c r="P48" s="2755"/>
      <c r="Q48" s="2737"/>
      <c r="R48" s="2737"/>
      <c r="S48" s="2737"/>
      <c r="T48" s="2737"/>
      <c r="U48" s="2737"/>
      <c r="V48" s="2737"/>
      <c r="W48" s="2737"/>
      <c r="X48" s="2737"/>
      <c r="Y48" s="2737"/>
      <c r="Z48" s="2737"/>
      <c r="AA48" s="2737"/>
      <c r="AB48" s="2737"/>
      <c r="AC48" s="2737"/>
    </row>
    <row r="49" spans="1:29" s="108" customFormat="1">
      <c r="A49" s="457"/>
      <c r="B49" s="458"/>
      <c r="C49" s="1173">
        <v>100</v>
      </c>
      <c r="D49" s="460"/>
      <c r="E49" s="460"/>
      <c r="F49" s="460"/>
      <c r="G49" s="460"/>
      <c r="H49" s="460"/>
      <c r="I49" s="460"/>
      <c r="J49" s="460"/>
      <c r="K49" s="460"/>
      <c r="L49" s="460"/>
      <c r="M49" s="461"/>
      <c r="N49" s="460"/>
      <c r="O49" s="461"/>
      <c r="P49" s="2756"/>
      <c r="Q49" s="2657"/>
      <c r="R49" s="2657"/>
      <c r="S49" s="2657"/>
      <c r="T49" s="2657"/>
      <c r="U49" s="2657"/>
      <c r="V49" s="2657"/>
      <c r="W49" s="2657"/>
      <c r="X49" s="2657"/>
      <c r="Y49" s="2657"/>
      <c r="Z49" s="2657"/>
      <c r="AA49" s="2657"/>
      <c r="AB49" s="2657"/>
      <c r="AC49" s="2657"/>
    </row>
    <row r="50" spans="1:29" s="108" customFormat="1" ht="15" thickBot="1">
      <c r="A50" s="463" t="s">
        <v>1716</v>
      </c>
      <c r="B50" s="464"/>
      <c r="C50" s="465"/>
      <c r="D50" s="466"/>
      <c r="E50" s="466"/>
      <c r="F50" s="466"/>
      <c r="G50" s="466"/>
      <c r="H50" s="466"/>
      <c r="I50" s="466"/>
      <c r="J50" s="466"/>
      <c r="K50" s="466"/>
      <c r="L50" s="466"/>
      <c r="M50" s="467"/>
      <c r="N50" s="466"/>
      <c r="O50" s="467"/>
      <c r="P50" s="2756"/>
      <c r="Q50" s="2735"/>
      <c r="R50" s="2657"/>
      <c r="S50" s="2657"/>
      <c r="T50" s="2657"/>
      <c r="U50" s="2657"/>
      <c r="V50" s="2657"/>
      <c r="W50" s="2657"/>
      <c r="X50" s="2657"/>
      <c r="Y50" s="2657"/>
      <c r="Z50" s="2657"/>
      <c r="AA50" s="2657"/>
      <c r="AB50" s="2657"/>
      <c r="AC50" s="2657"/>
    </row>
    <row r="51" spans="1:29" s="108" customFormat="1" ht="14.4">
      <c r="A51" s="469" t="s">
        <v>1681</v>
      </c>
      <c r="B51" s="458"/>
      <c r="C51" s="470" t="s">
        <v>1776</v>
      </c>
      <c r="D51" s="471"/>
      <c r="E51" s="471"/>
      <c r="F51" s="471"/>
      <c r="G51" s="471"/>
      <c r="H51" s="471"/>
      <c r="I51" s="471"/>
      <c r="J51" s="471"/>
      <c r="K51" s="471"/>
      <c r="L51" s="472"/>
      <c r="M51" s="473"/>
      <c r="N51" s="2748"/>
      <c r="O51" s="2748"/>
      <c r="P51" s="2757"/>
      <c r="Q51" s="2735"/>
      <c r="R51" s="2657"/>
      <c r="S51" s="2657"/>
      <c r="T51" s="2657"/>
      <c r="U51" s="2657"/>
      <c r="V51" s="2657"/>
      <c r="W51" s="2657"/>
      <c r="X51" s="2657"/>
      <c r="Y51" s="2657"/>
      <c r="Z51" s="2657"/>
      <c r="AA51" s="2657"/>
      <c r="AB51" s="2657"/>
      <c r="AC51" s="2657"/>
    </row>
    <row r="52" spans="1:29" s="108" customFormat="1" ht="14.4" thickBot="1">
      <c r="A52" s="469"/>
      <c r="B52" s="458"/>
      <c r="C52" s="586">
        <v>100</v>
      </c>
      <c r="D52" s="460"/>
      <c r="E52" s="460"/>
      <c r="F52" s="460"/>
      <c r="G52" s="460"/>
      <c r="H52" s="460"/>
      <c r="I52" s="460"/>
      <c r="J52" s="460"/>
      <c r="K52" s="460"/>
      <c r="L52" s="460"/>
      <c r="M52" s="462"/>
      <c r="N52" s="2748"/>
      <c r="O52" s="2748"/>
      <c r="P52" s="2756"/>
      <c r="Q52" s="2735"/>
      <c r="R52" s="2657"/>
      <c r="S52" s="2657"/>
      <c r="T52" s="2657"/>
      <c r="U52" s="2657"/>
      <c r="V52" s="2657"/>
      <c r="W52" s="2657"/>
      <c r="X52" s="2657"/>
      <c r="Y52" s="2657"/>
      <c r="Z52" s="2657"/>
      <c r="AA52" s="2657"/>
      <c r="AB52" s="2657"/>
      <c r="AC52" s="2657"/>
    </row>
    <row r="53" spans="1:29" ht="14.4">
      <c r="A53" s="475" t="s">
        <v>1719</v>
      </c>
      <c r="B53" s="476" t="s">
        <v>1685</v>
      </c>
      <c r="C53" s="477">
        <f>C9</f>
        <v>0</v>
      </c>
      <c r="D53" s="478"/>
      <c r="E53" s="478"/>
      <c r="F53" s="478"/>
      <c r="G53" s="478"/>
      <c r="H53" s="478"/>
      <c r="I53" s="478"/>
      <c r="J53" s="478"/>
      <c r="K53" s="479"/>
      <c r="L53" s="480"/>
      <c r="M53" s="481"/>
      <c r="N53" s="2749"/>
      <c r="O53" s="2749"/>
      <c r="P53" s="2758"/>
      <c r="Q53" s="2735"/>
      <c r="R53" s="2721"/>
      <c r="S53" s="2721"/>
      <c r="T53" s="2721"/>
      <c r="U53" s="2721"/>
      <c r="V53" s="2721"/>
      <c r="W53" s="2721"/>
      <c r="X53" s="2721"/>
      <c r="Y53" s="2721"/>
      <c r="Z53" s="2721"/>
      <c r="AA53" s="2721"/>
      <c r="AB53" s="2721"/>
      <c r="AC53" s="2721"/>
    </row>
    <row r="54" spans="1:29" ht="14.4" thickBot="1">
      <c r="A54" s="482"/>
      <c r="B54" s="483"/>
      <c r="C54" s="484">
        <v>100</v>
      </c>
      <c r="D54" s="484"/>
      <c r="E54" s="484"/>
      <c r="F54" s="484"/>
      <c r="G54" s="484"/>
      <c r="H54" s="484"/>
      <c r="I54" s="484"/>
      <c r="J54" s="484"/>
      <c r="K54" s="484"/>
      <c r="L54" s="484"/>
      <c r="M54" s="485"/>
      <c r="N54" s="2750"/>
      <c r="O54" s="2750"/>
      <c r="P54" s="2758"/>
      <c r="Q54" s="2735"/>
      <c r="R54" s="2721"/>
      <c r="S54" s="2721"/>
      <c r="T54" s="2721"/>
      <c r="U54" s="2721"/>
      <c r="V54" s="2721"/>
      <c r="W54" s="2721"/>
      <c r="X54" s="2721"/>
      <c r="Y54" s="2721"/>
      <c r="Z54" s="2721"/>
      <c r="AA54" s="2721"/>
      <c r="AB54" s="2721"/>
      <c r="AC54" s="2721"/>
    </row>
    <row r="55" spans="1:29" ht="29.4" thickTop="1">
      <c r="A55" s="482"/>
      <c r="B55" s="486" t="s">
        <v>1688</v>
      </c>
      <c r="C55" s="531"/>
      <c r="D55" s="531"/>
      <c r="E55" s="531"/>
      <c r="F55" s="531"/>
      <c r="G55" s="531"/>
      <c r="H55" s="531"/>
      <c r="I55" s="531"/>
      <c r="J55" s="531"/>
      <c r="K55" s="532"/>
      <c r="L55" s="533"/>
      <c r="M55" s="534"/>
      <c r="N55" s="2749"/>
      <c r="O55" s="2749"/>
      <c r="P55" s="2758"/>
      <c r="Q55" s="2735"/>
      <c r="R55" s="2721"/>
      <c r="S55" s="2721"/>
      <c r="T55" s="2721"/>
      <c r="U55" s="2721"/>
      <c r="V55" s="2721"/>
      <c r="W55" s="2721"/>
      <c r="X55" s="2721"/>
      <c r="Y55" s="2721"/>
      <c r="Z55" s="2721"/>
      <c r="AA55" s="2721"/>
      <c r="AB55" s="2721"/>
      <c r="AC55" s="2721"/>
    </row>
    <row r="56" spans="1:29" ht="14.4" thickBot="1">
      <c r="A56" s="482"/>
      <c r="B56" s="491"/>
      <c r="C56" s="484"/>
      <c r="D56" s="484"/>
      <c r="E56" s="484"/>
      <c r="F56" s="484"/>
      <c r="G56" s="484"/>
      <c r="H56" s="484"/>
      <c r="I56" s="484"/>
      <c r="J56" s="484"/>
      <c r="K56" s="484"/>
      <c r="L56" s="484"/>
      <c r="M56" s="485"/>
      <c r="N56" s="2750"/>
      <c r="O56" s="2750"/>
      <c r="P56" s="2758"/>
      <c r="Q56" s="2735"/>
      <c r="R56" s="2721"/>
      <c r="S56" s="2721"/>
      <c r="T56" s="2721"/>
      <c r="U56" s="2721"/>
      <c r="V56" s="2721"/>
      <c r="W56" s="2721"/>
      <c r="X56" s="2721"/>
      <c r="Y56" s="2721"/>
      <c r="Z56" s="2721"/>
      <c r="AA56" s="2721"/>
      <c r="AB56" s="2721"/>
      <c r="AC56" s="2721"/>
    </row>
    <row r="57" spans="1:29" ht="14.4" thickTop="1">
      <c r="A57" s="482"/>
      <c r="B57" s="607">
        <f>B11</f>
        <v>111</v>
      </c>
      <c r="C57" s="497"/>
      <c r="D57" s="497"/>
      <c r="E57" s="497"/>
      <c r="F57" s="497"/>
      <c r="G57" s="497"/>
      <c r="H57" s="497"/>
      <c r="I57" s="497"/>
      <c r="J57" s="497"/>
      <c r="K57" s="498"/>
      <c r="L57" s="499"/>
      <c r="M57" s="500"/>
      <c r="N57" s="2749"/>
      <c r="O57" s="2749"/>
      <c r="P57" s="2758"/>
      <c r="Q57" s="2735"/>
      <c r="R57" s="2721"/>
      <c r="S57" s="2721"/>
      <c r="T57" s="2721"/>
      <c r="U57" s="2721"/>
      <c r="V57" s="2721"/>
      <c r="W57" s="2721"/>
      <c r="X57" s="2721"/>
      <c r="Y57" s="2721"/>
      <c r="Z57" s="2721"/>
      <c r="AA57" s="2721"/>
      <c r="AB57" s="2721"/>
      <c r="AC57" s="2721"/>
    </row>
    <row r="58" spans="1:29" ht="14.4" thickBot="1">
      <c r="A58" s="482"/>
      <c r="B58" s="483"/>
      <c r="C58" s="508"/>
      <c r="D58" s="484"/>
      <c r="E58" s="484"/>
      <c r="F58" s="484"/>
      <c r="G58" s="484"/>
      <c r="H58" s="484"/>
      <c r="I58" s="484"/>
      <c r="J58" s="484"/>
      <c r="K58" s="484"/>
      <c r="L58" s="484"/>
      <c r="M58" s="485"/>
      <c r="N58" s="2750"/>
      <c r="O58" s="2750"/>
      <c r="P58" s="2758"/>
      <c r="Q58" s="2735"/>
      <c r="R58" s="2721"/>
      <c r="S58" s="2721"/>
      <c r="T58" s="2721"/>
      <c r="U58" s="2721"/>
      <c r="V58" s="2721"/>
      <c r="W58" s="2721"/>
      <c r="X58" s="2721"/>
      <c r="Y58" s="2721"/>
      <c r="Z58" s="2721"/>
      <c r="AA58" s="2721"/>
      <c r="AB58" s="2721"/>
      <c r="AC58" s="2721"/>
    </row>
    <row r="59" spans="1:29" s="421" customFormat="1" ht="14.4" thickTop="1">
      <c r="A59" s="501"/>
      <c r="B59" s="486">
        <f>B12</f>
        <v>111</v>
      </c>
      <c r="C59" s="497"/>
      <c r="D59" s="497"/>
      <c r="E59" s="497"/>
      <c r="F59" s="497"/>
      <c r="G59" s="502"/>
      <c r="H59" s="503"/>
      <c r="I59" s="503"/>
      <c r="J59" s="503"/>
      <c r="K59" s="503"/>
      <c r="L59" s="504"/>
      <c r="M59" s="505"/>
      <c r="N59" s="2751"/>
      <c r="O59" s="2751"/>
      <c r="P59" s="2759"/>
      <c r="Q59" s="2742"/>
      <c r="R59" s="2743"/>
      <c r="S59" s="2743"/>
      <c r="T59" s="2743"/>
      <c r="U59" s="2743"/>
      <c r="V59" s="2743"/>
      <c r="W59" s="2743"/>
      <c r="X59" s="2743"/>
      <c r="Y59" s="2743"/>
      <c r="Z59" s="2743"/>
      <c r="AA59" s="2743"/>
      <c r="AB59" s="2743"/>
      <c r="AC59" s="2743"/>
    </row>
    <row r="60" spans="1:29" s="421" customFormat="1" ht="14.4" thickBot="1">
      <c r="A60" s="501"/>
      <c r="B60" s="491"/>
      <c r="C60" s="508"/>
      <c r="D60" s="484"/>
      <c r="E60" s="484"/>
      <c r="F60" s="484"/>
      <c r="G60" s="484"/>
      <c r="H60" s="484"/>
      <c r="I60" s="484"/>
      <c r="J60" s="484"/>
      <c r="K60" s="484"/>
      <c r="L60" s="484"/>
      <c r="M60" s="485"/>
      <c r="N60" s="2750"/>
      <c r="O60" s="2750"/>
      <c r="P60" s="2759"/>
      <c r="Q60" s="2742"/>
      <c r="R60" s="2743"/>
      <c r="S60" s="2743"/>
      <c r="T60" s="2743"/>
      <c r="U60" s="2743"/>
      <c r="V60" s="2743"/>
      <c r="W60" s="2743"/>
      <c r="X60" s="2743"/>
      <c r="Y60" s="2743"/>
      <c r="Z60" s="2743"/>
      <c r="AA60" s="2743"/>
      <c r="AB60" s="2743"/>
      <c r="AC60" s="2743"/>
    </row>
    <row r="61" spans="1:29" s="421" customFormat="1" ht="14.4" thickTop="1">
      <c r="A61" s="501"/>
      <c r="B61" s="486">
        <f>B13</f>
        <v>111</v>
      </c>
      <c r="C61" s="502"/>
      <c r="D61" s="502"/>
      <c r="E61" s="502"/>
      <c r="F61" s="502"/>
      <c r="G61" s="502"/>
      <c r="H61" s="503"/>
      <c r="I61" s="503"/>
      <c r="J61" s="503"/>
      <c r="K61" s="503"/>
      <c r="L61" s="504"/>
      <c r="M61" s="505"/>
      <c r="N61" s="2751"/>
      <c r="O61" s="2751"/>
      <c r="P61" s="2760"/>
      <c r="Q61" s="2745"/>
      <c r="R61" s="2743"/>
      <c r="S61" s="2743"/>
      <c r="T61" s="2743"/>
      <c r="U61" s="2743"/>
      <c r="V61" s="2743"/>
      <c r="W61" s="2743"/>
      <c r="X61" s="2743"/>
      <c r="Y61" s="2743"/>
      <c r="Z61" s="2743"/>
      <c r="AA61" s="2743"/>
      <c r="AB61" s="2743"/>
      <c r="AC61" s="2743"/>
    </row>
    <row r="62" spans="1:29" s="421" customFormat="1" ht="14.4" thickBot="1">
      <c r="A62" s="501"/>
      <c r="B62" s="491"/>
      <c r="C62" s="508"/>
      <c r="D62" s="508"/>
      <c r="E62" s="508"/>
      <c r="F62" s="508"/>
      <c r="G62" s="508"/>
      <c r="H62" s="510"/>
      <c r="I62" s="510"/>
      <c r="J62" s="510"/>
      <c r="K62" s="510"/>
      <c r="L62" s="510"/>
      <c r="M62" s="511"/>
      <c r="N62" s="2751"/>
      <c r="O62" s="2751"/>
      <c r="P62" s="2759"/>
      <c r="Q62" s="2742"/>
      <c r="R62" s="2743"/>
      <c r="S62" s="2743"/>
      <c r="T62" s="2743"/>
      <c r="U62" s="2743"/>
      <c r="V62" s="2743"/>
      <c r="W62" s="2743"/>
      <c r="X62" s="2743"/>
      <c r="Y62" s="2743"/>
      <c r="Z62" s="2743"/>
      <c r="AA62" s="2743"/>
      <c r="AB62" s="2743"/>
      <c r="AC62" s="2743"/>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9"/>
      <c r="O63" s="2749"/>
      <c r="P63" s="2762"/>
      <c r="Q63" s="2735"/>
      <c r="R63" s="2721"/>
      <c r="S63" s="2721"/>
      <c r="T63" s="2721"/>
      <c r="U63" s="2721"/>
      <c r="V63" s="2721"/>
      <c r="W63" s="2721"/>
      <c r="X63" s="2721"/>
      <c r="Y63" s="2721"/>
      <c r="Z63" s="2721"/>
      <c r="AA63" s="2721"/>
      <c r="AB63" s="2721"/>
      <c r="AC63" s="2721"/>
    </row>
    <row r="64" spans="1:29" ht="14.4" thickBot="1">
      <c r="A64" s="482"/>
      <c r="B64" s="491"/>
      <c r="C64" s="492">
        <v>100</v>
      </c>
      <c r="D64" s="492">
        <f>C64-$K14</f>
        <v>100</v>
      </c>
      <c r="E64" s="492">
        <f>D64-$K14</f>
        <v>100</v>
      </c>
      <c r="F64" s="492">
        <f>E64-$K14</f>
        <v>100</v>
      </c>
      <c r="G64" s="492">
        <f>F64-$K14</f>
        <v>100</v>
      </c>
      <c r="H64" s="492"/>
      <c r="I64" s="492"/>
      <c r="J64" s="492"/>
      <c r="K64" s="492"/>
      <c r="L64" s="492"/>
      <c r="M64" s="493"/>
      <c r="N64" s="2750"/>
      <c r="O64" s="2750"/>
      <c r="P64" s="2758"/>
      <c r="Q64" s="2735"/>
      <c r="R64" s="2721"/>
      <c r="S64" s="2721"/>
      <c r="T64" s="2721"/>
      <c r="U64" s="2721"/>
      <c r="V64" s="2721"/>
      <c r="W64" s="2721"/>
      <c r="X64" s="2721"/>
      <c r="Y64" s="2721"/>
      <c r="Z64" s="2721"/>
      <c r="AA64" s="2721"/>
      <c r="AB64" s="2721"/>
      <c r="AC64" s="2721"/>
    </row>
    <row r="65" spans="1:29" ht="15" thickTop="1">
      <c r="A65" s="482"/>
      <c r="B65" s="486" t="s">
        <v>1727</v>
      </c>
      <c r="C65" s="526" t="s">
        <v>1721</v>
      </c>
      <c r="D65" s="526" t="s">
        <v>1722</v>
      </c>
      <c r="E65" s="526" t="s">
        <v>1723</v>
      </c>
      <c r="F65" s="526" t="s">
        <v>1724</v>
      </c>
      <c r="G65" s="526" t="s">
        <v>1725</v>
      </c>
      <c r="H65" s="487"/>
      <c r="I65" s="487"/>
      <c r="J65" s="487"/>
      <c r="K65" s="488"/>
      <c r="L65" s="489"/>
      <c r="M65" s="490"/>
      <c r="N65" s="2749"/>
      <c r="O65" s="2749"/>
      <c r="P65" s="2758"/>
      <c r="Q65" s="2735"/>
      <c r="R65" s="2721"/>
      <c r="S65" s="2721"/>
      <c r="T65" s="2721"/>
      <c r="U65" s="2721"/>
      <c r="V65" s="2721"/>
      <c r="W65" s="2721"/>
      <c r="X65" s="2721"/>
      <c r="Y65" s="2721"/>
      <c r="Z65" s="2721"/>
      <c r="AA65" s="2721"/>
      <c r="AB65" s="2721"/>
      <c r="AC65" s="2721"/>
    </row>
    <row r="66" spans="1:29" ht="14.4" thickBot="1">
      <c r="A66" s="482"/>
      <c r="B66" s="491"/>
      <c r="C66" s="492">
        <v>100</v>
      </c>
      <c r="D66" s="492">
        <f>C66-$K16</f>
        <v>100</v>
      </c>
      <c r="E66" s="492">
        <f>D66-$K16</f>
        <v>100</v>
      </c>
      <c r="F66" s="492">
        <f>E66-$K16</f>
        <v>100</v>
      </c>
      <c r="G66" s="492">
        <f>F66-$K16</f>
        <v>100</v>
      </c>
      <c r="H66" s="492"/>
      <c r="I66" s="492"/>
      <c r="J66" s="492"/>
      <c r="K66" s="492"/>
      <c r="L66" s="492"/>
      <c r="M66" s="493"/>
      <c r="N66" s="2750"/>
      <c r="O66" s="2750"/>
      <c r="P66" s="2758"/>
      <c r="Q66" s="2735"/>
      <c r="R66" s="2721"/>
      <c r="S66" s="2721"/>
      <c r="T66" s="2721"/>
      <c r="U66" s="2721"/>
      <c r="V66" s="2721"/>
      <c r="W66" s="2721"/>
      <c r="X66" s="2721"/>
      <c r="Y66" s="2721"/>
      <c r="Z66" s="2721"/>
      <c r="AA66" s="2721"/>
      <c r="AB66" s="2721"/>
      <c r="AC66" s="2721"/>
    </row>
    <row r="67" spans="1:29" ht="15" thickTop="1">
      <c r="A67" s="482"/>
      <c r="B67" s="494" t="s">
        <v>1813</v>
      </c>
      <c r="C67" s="607" t="s">
        <v>1799</v>
      </c>
      <c r="D67" s="607" t="s">
        <v>1800</v>
      </c>
      <c r="E67" s="607" t="s">
        <v>1801</v>
      </c>
      <c r="F67" s="607" t="s">
        <v>1802</v>
      </c>
      <c r="G67" s="607" t="s">
        <v>1803</v>
      </c>
      <c r="H67" s="487"/>
      <c r="I67" s="487"/>
      <c r="J67" s="487"/>
      <c r="K67" s="487"/>
      <c r="L67" s="487"/>
      <c r="M67" s="1125"/>
      <c r="N67" s="2750"/>
      <c r="O67" s="2750"/>
      <c r="P67" s="2758"/>
      <c r="Q67" s="2735"/>
      <c r="R67" s="2721"/>
      <c r="S67" s="2721"/>
      <c r="T67" s="2721"/>
      <c r="U67" s="2721"/>
      <c r="V67" s="2721"/>
      <c r="W67" s="2721"/>
      <c r="X67" s="2721"/>
      <c r="Y67" s="2721"/>
      <c r="Z67" s="2721"/>
      <c r="AA67" s="2721"/>
      <c r="AB67" s="2721"/>
      <c r="AC67" s="2721"/>
    </row>
    <row r="68" spans="1:29" ht="14.4" thickBot="1">
      <c r="A68" s="482"/>
      <c r="B68" s="494"/>
      <c r="C68" s="492">
        <v>100</v>
      </c>
      <c r="D68" s="492">
        <f>C68-$K18</f>
        <v>100</v>
      </c>
      <c r="E68" s="492">
        <f>D68-$K18</f>
        <v>100</v>
      </c>
      <c r="F68" s="492">
        <f>E68-$K18</f>
        <v>100</v>
      </c>
      <c r="G68" s="492">
        <f>F68-$K18</f>
        <v>100</v>
      </c>
      <c r="H68" s="607"/>
      <c r="I68" s="607"/>
      <c r="J68" s="607"/>
      <c r="K68" s="607"/>
      <c r="L68" s="607"/>
      <c r="M68" s="400"/>
      <c r="N68" s="2750"/>
      <c r="O68" s="2750"/>
      <c r="P68" s="2758"/>
      <c r="Q68" s="2735"/>
      <c r="R68" s="2721"/>
      <c r="S68" s="2721"/>
      <c r="T68" s="2721"/>
      <c r="U68" s="2721"/>
      <c r="V68" s="2721"/>
      <c r="W68" s="2721"/>
      <c r="X68" s="2721"/>
      <c r="Y68" s="2721"/>
      <c r="Z68" s="2721"/>
      <c r="AA68" s="2721"/>
      <c r="AB68" s="2721"/>
      <c r="AC68" s="2721"/>
    </row>
    <row r="69" spans="1:29" ht="15" thickTop="1">
      <c r="A69" s="482"/>
      <c r="B69" s="486" t="s">
        <v>1733</v>
      </c>
      <c r="C69" s="526" t="s">
        <v>1721</v>
      </c>
      <c r="D69" s="526" t="s">
        <v>1722</v>
      </c>
      <c r="E69" s="526" t="s">
        <v>1723</v>
      </c>
      <c r="F69" s="526" t="s">
        <v>1724</v>
      </c>
      <c r="G69" s="526" t="s">
        <v>1725</v>
      </c>
      <c r="H69" s="487"/>
      <c r="I69" s="487"/>
      <c r="J69" s="487"/>
      <c r="K69" s="488"/>
      <c r="L69" s="489"/>
      <c r="M69" s="490"/>
      <c r="N69" s="2749"/>
      <c r="O69" s="2749"/>
      <c r="P69" s="2758"/>
      <c r="Q69" s="2735"/>
      <c r="R69" s="2721"/>
      <c r="S69" s="2721"/>
      <c r="T69" s="2721"/>
      <c r="U69" s="2721"/>
      <c r="V69" s="2721"/>
      <c r="W69" s="2721"/>
      <c r="X69" s="2721"/>
      <c r="Y69" s="2721"/>
      <c r="Z69" s="2721"/>
      <c r="AA69" s="2721"/>
      <c r="AB69" s="2721"/>
      <c r="AC69" s="2721"/>
    </row>
    <row r="70" spans="1:29" ht="14.4" thickBot="1">
      <c r="A70" s="482"/>
      <c r="B70" s="491"/>
      <c r="C70" s="492">
        <v>100</v>
      </c>
      <c r="D70" s="492">
        <f>C70-$K20</f>
        <v>100</v>
      </c>
      <c r="E70" s="492">
        <f>D70-$K20</f>
        <v>100</v>
      </c>
      <c r="F70" s="492">
        <f>E70-$K20</f>
        <v>100</v>
      </c>
      <c r="G70" s="492">
        <f>F70-$K20</f>
        <v>100</v>
      </c>
      <c r="H70" s="492"/>
      <c r="I70" s="492"/>
      <c r="J70" s="492"/>
      <c r="K70" s="492"/>
      <c r="L70" s="492"/>
      <c r="M70" s="493"/>
      <c r="N70" s="2750"/>
      <c r="O70" s="2750"/>
      <c r="P70" s="2758"/>
      <c r="Q70" s="2735"/>
      <c r="R70" s="2721"/>
      <c r="S70" s="2721"/>
      <c r="T70" s="2721"/>
      <c r="U70" s="2721"/>
      <c r="V70" s="2721"/>
      <c r="W70" s="2721"/>
      <c r="X70" s="2721"/>
      <c r="Y70" s="2721"/>
      <c r="Z70" s="2721"/>
      <c r="AA70" s="2721"/>
      <c r="AB70" s="2721"/>
      <c r="AC70" s="2721"/>
    </row>
    <row r="71" spans="1:29" ht="15" thickTop="1">
      <c r="A71" s="482"/>
      <c r="B71" s="486" t="s">
        <v>1852</v>
      </c>
      <c r="C71" s="502"/>
      <c r="D71" s="502"/>
      <c r="E71" s="502"/>
      <c r="F71" s="502"/>
      <c r="G71" s="502"/>
      <c r="H71" s="531"/>
      <c r="I71" s="531"/>
      <c r="J71" s="531"/>
      <c r="K71" s="532"/>
      <c r="L71" s="533"/>
      <c r="M71" s="534"/>
      <c r="N71" s="2749"/>
      <c r="O71" s="2749"/>
      <c r="P71" s="2758"/>
      <c r="Q71" s="2735"/>
      <c r="R71" s="2721"/>
      <c r="S71" s="2721"/>
      <c r="T71" s="2721"/>
      <c r="U71" s="2721"/>
      <c r="V71" s="2721"/>
      <c r="W71" s="2721"/>
      <c r="X71" s="2721"/>
      <c r="Y71" s="2721"/>
      <c r="Z71" s="2721"/>
      <c r="AA71" s="2721"/>
      <c r="AB71" s="2721"/>
      <c r="AC71" s="2721"/>
    </row>
    <row r="72" spans="1:29" ht="14.4" thickBot="1">
      <c r="A72" s="482"/>
      <c r="B72" s="491"/>
      <c r="C72" s="492">
        <v>100</v>
      </c>
      <c r="D72" s="492">
        <f>C72-$K22</f>
        <v>100</v>
      </c>
      <c r="E72" s="492">
        <f>D72-$K22</f>
        <v>100</v>
      </c>
      <c r="F72" s="492">
        <f>E72-$K22</f>
        <v>100</v>
      </c>
      <c r="G72" s="492">
        <f>F72-$K22</f>
        <v>100</v>
      </c>
      <c r="H72" s="492"/>
      <c r="I72" s="492"/>
      <c r="J72" s="492"/>
      <c r="K72" s="492"/>
      <c r="L72" s="492"/>
      <c r="M72" s="493"/>
      <c r="N72" s="2750"/>
      <c r="O72" s="2750"/>
      <c r="P72" s="2758"/>
      <c r="Q72" s="2735"/>
      <c r="R72" s="2721"/>
      <c r="S72" s="2721"/>
      <c r="T72" s="2721"/>
      <c r="U72" s="2721"/>
      <c r="V72" s="2721"/>
      <c r="W72" s="2721"/>
      <c r="X72" s="2721"/>
      <c r="Y72" s="2721"/>
      <c r="Z72" s="2721"/>
      <c r="AA72" s="2721"/>
      <c r="AB72" s="2721"/>
      <c r="AC72" s="2721"/>
    </row>
    <row r="73" spans="1:29" s="108" customFormat="1" ht="14.4" thickTop="1">
      <c r="A73" s="527"/>
      <c r="B73" s="486">
        <f>B23</f>
        <v>111</v>
      </c>
      <c r="C73" s="497"/>
      <c r="D73" s="497"/>
      <c r="E73" s="497"/>
      <c r="F73" s="497"/>
      <c r="G73" s="502"/>
      <c r="H73" s="502"/>
      <c r="I73" s="502"/>
      <c r="J73" s="502"/>
      <c r="K73" s="502"/>
      <c r="L73" s="528"/>
      <c r="M73" s="529"/>
      <c r="N73" s="2748"/>
      <c r="O73" s="2748"/>
      <c r="P73" s="2758"/>
      <c r="Q73" s="2735"/>
      <c r="R73" s="2657"/>
      <c r="S73" s="2657"/>
      <c r="T73" s="2657"/>
      <c r="U73" s="2657"/>
      <c r="V73" s="2657"/>
      <c r="W73" s="2657"/>
      <c r="X73" s="2657"/>
      <c r="Y73" s="2657"/>
      <c r="Z73" s="2657"/>
      <c r="AA73" s="2657"/>
      <c r="AB73" s="2657"/>
      <c r="AC73" s="2657"/>
    </row>
    <row r="74" spans="1:29" s="108" customFormat="1" ht="14.4" thickBot="1">
      <c r="A74" s="527"/>
      <c r="B74" s="491"/>
      <c r="C74" s="508"/>
      <c r="D74" s="484"/>
      <c r="E74" s="484"/>
      <c r="F74" s="484"/>
      <c r="G74" s="484"/>
      <c r="H74" s="484"/>
      <c r="I74" s="484"/>
      <c r="J74" s="484"/>
      <c r="K74" s="484"/>
      <c r="L74" s="484"/>
      <c r="M74" s="485"/>
      <c r="N74" s="2750"/>
      <c r="O74" s="2750"/>
      <c r="P74" s="2758"/>
      <c r="Q74" s="2735"/>
      <c r="R74" s="2657"/>
      <c r="S74" s="2657"/>
      <c r="T74" s="2657"/>
      <c r="U74" s="2657"/>
      <c r="V74" s="2657"/>
      <c r="W74" s="2657"/>
      <c r="X74" s="2657"/>
      <c r="Y74" s="2657"/>
      <c r="Z74" s="2657"/>
      <c r="AA74" s="2657"/>
      <c r="AB74" s="2657"/>
      <c r="AC74" s="2657"/>
    </row>
    <row r="75" spans="1:29" s="108" customFormat="1" ht="14.4" thickTop="1">
      <c r="A75" s="527"/>
      <c r="B75" s="486">
        <f>B24</f>
        <v>111</v>
      </c>
      <c r="C75" s="497"/>
      <c r="D75" s="497"/>
      <c r="E75" s="497"/>
      <c r="F75" s="497"/>
      <c r="G75" s="502"/>
      <c r="H75" s="502"/>
      <c r="I75" s="502"/>
      <c r="J75" s="502"/>
      <c r="K75" s="502"/>
      <c r="L75" s="502"/>
      <c r="M75" s="529"/>
      <c r="N75" s="2748"/>
      <c r="O75" s="2748"/>
      <c r="P75" s="2758"/>
      <c r="Q75" s="2735"/>
      <c r="R75" s="2657"/>
      <c r="S75" s="2657"/>
      <c r="T75" s="2657"/>
      <c r="U75" s="2657"/>
      <c r="V75" s="2657"/>
      <c r="W75" s="2657"/>
      <c r="X75" s="2657"/>
      <c r="Y75" s="2657"/>
      <c r="Z75" s="2657"/>
      <c r="AA75" s="2657"/>
      <c r="AB75" s="2657"/>
      <c r="AC75" s="2657"/>
    </row>
    <row r="76" spans="1:29" s="108" customFormat="1" ht="14.4" thickBot="1">
      <c r="A76" s="527"/>
      <c r="B76" s="491"/>
      <c r="C76" s="508"/>
      <c r="D76" s="484"/>
      <c r="E76" s="484"/>
      <c r="F76" s="484"/>
      <c r="G76" s="484"/>
      <c r="H76" s="484"/>
      <c r="I76" s="484"/>
      <c r="J76" s="484"/>
      <c r="K76" s="484"/>
      <c r="L76" s="484"/>
      <c r="M76" s="485"/>
      <c r="N76" s="2750"/>
      <c r="O76" s="2750"/>
      <c r="P76" s="2758"/>
      <c r="Q76" s="2735"/>
      <c r="R76" s="2657"/>
      <c r="S76" s="2657"/>
      <c r="T76" s="2657"/>
      <c r="U76" s="2657"/>
      <c r="V76" s="2657"/>
      <c r="W76" s="2657"/>
      <c r="X76" s="2657"/>
      <c r="Y76" s="2657"/>
      <c r="Z76" s="2657"/>
      <c r="AA76" s="2657"/>
      <c r="AB76" s="2657"/>
      <c r="AC76" s="2657"/>
    </row>
    <row r="77" spans="1:29" s="421" customFormat="1" ht="14.4" thickTop="1">
      <c r="A77" s="501"/>
      <c r="B77" s="486">
        <f>B25</f>
        <v>111</v>
      </c>
      <c r="C77" s="502"/>
      <c r="D77" s="502"/>
      <c r="E77" s="502"/>
      <c r="F77" s="502"/>
      <c r="G77" s="502"/>
      <c r="H77" s="503"/>
      <c r="I77" s="503"/>
      <c r="J77" s="503"/>
      <c r="K77" s="503"/>
      <c r="L77" s="504"/>
      <c r="M77" s="505"/>
      <c r="N77" s="2751"/>
      <c r="O77" s="2751"/>
      <c r="P77" s="2759"/>
      <c r="Q77" s="2742"/>
      <c r="R77" s="2743"/>
      <c r="S77" s="2743"/>
      <c r="T77" s="2743"/>
      <c r="U77" s="2743"/>
      <c r="V77" s="2743"/>
      <c r="W77" s="2743"/>
      <c r="X77" s="2743"/>
      <c r="Y77" s="2743"/>
      <c r="Z77" s="2743"/>
      <c r="AA77" s="2743"/>
      <c r="AB77" s="2743"/>
      <c r="AC77" s="2743"/>
    </row>
    <row r="78" spans="1:29" s="421" customFormat="1" ht="14.4" thickBot="1">
      <c r="A78" s="501"/>
      <c r="B78" s="491"/>
      <c r="C78" s="508"/>
      <c r="D78" s="508"/>
      <c r="E78" s="508"/>
      <c r="F78" s="508"/>
      <c r="G78" s="484"/>
      <c r="H78" s="484"/>
      <c r="I78" s="484"/>
      <c r="J78" s="484"/>
      <c r="K78" s="484"/>
      <c r="L78" s="484"/>
      <c r="M78" s="485"/>
      <c r="N78" s="2751"/>
      <c r="O78" s="2751"/>
      <c r="P78" s="2759"/>
      <c r="Q78" s="2742"/>
      <c r="R78" s="2743"/>
      <c r="S78" s="2743"/>
      <c r="T78" s="2743"/>
      <c r="U78" s="2743"/>
      <c r="V78" s="2743"/>
      <c r="W78" s="2743"/>
      <c r="X78" s="2743"/>
      <c r="Y78" s="2743"/>
      <c r="Z78" s="2743"/>
      <c r="AA78" s="2743"/>
      <c r="AB78" s="2743"/>
      <c r="AC78" s="2743"/>
    </row>
    <row r="79" spans="1:29" ht="29.4" thickTop="1">
      <c r="A79" s="475" t="s">
        <v>1694</v>
      </c>
      <c r="B79" s="476" t="s">
        <v>1853</v>
      </c>
      <c r="C79" s="477" t="str">
        <f>C26</f>
        <v>车库</v>
      </c>
      <c r="D79" s="478"/>
      <c r="E79" s="478"/>
      <c r="F79" s="478"/>
      <c r="G79" s="478"/>
      <c r="H79" s="478"/>
      <c r="I79" s="478"/>
      <c r="J79" s="478"/>
      <c r="K79" s="479"/>
      <c r="L79" s="480"/>
      <c r="M79" s="481"/>
      <c r="N79" s="2749"/>
      <c r="O79" s="2749"/>
      <c r="P79" s="2758"/>
      <c r="Q79" s="2735"/>
      <c r="R79" s="2721"/>
      <c r="S79" s="2721"/>
      <c r="T79" s="2721"/>
      <c r="U79" s="2721"/>
      <c r="V79" s="2721"/>
      <c r="W79" s="2721"/>
      <c r="X79" s="2721"/>
      <c r="Y79" s="2721"/>
      <c r="Z79" s="2721"/>
      <c r="AA79" s="2721"/>
      <c r="AB79" s="2721"/>
      <c r="AC79" s="2721"/>
    </row>
    <row r="80" spans="1:29" ht="14.4"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0"/>
      <c r="O80" s="2750"/>
      <c r="P80" s="2758"/>
      <c r="Q80" s="2735"/>
      <c r="R80" s="2721"/>
      <c r="S80" s="2721"/>
      <c r="T80" s="2721"/>
      <c r="U80" s="2721"/>
      <c r="V80" s="2721"/>
      <c r="W80" s="2721"/>
      <c r="X80" s="2721"/>
      <c r="Y80" s="2721"/>
      <c r="Z80" s="2721"/>
      <c r="AA80" s="2721"/>
      <c r="AB80" s="2721"/>
      <c r="AC80" s="2721"/>
    </row>
    <row r="81" spans="1:29" ht="15" thickTop="1">
      <c r="A81" s="482"/>
      <c r="B81" s="486" t="s">
        <v>1854</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1" customFormat="1" ht="14.4" thickBot="1">
      <c r="A82" s="501"/>
      <c r="B82" s="491"/>
      <c r="C82" s="508"/>
      <c r="D82" s="484"/>
      <c r="E82" s="484"/>
      <c r="F82" s="484"/>
      <c r="G82" s="484"/>
      <c r="H82" s="484"/>
      <c r="I82" s="484"/>
      <c r="J82" s="484"/>
      <c r="K82" s="484"/>
      <c r="L82" s="484"/>
      <c r="M82" s="485"/>
      <c r="N82" s="2750"/>
      <c r="O82" s="2750"/>
      <c r="P82" s="2759"/>
      <c r="Q82" s="2742"/>
      <c r="R82" s="2743"/>
      <c r="S82" s="2743"/>
      <c r="T82" s="2743"/>
      <c r="U82" s="2743"/>
      <c r="V82" s="2743"/>
      <c r="W82" s="2743"/>
      <c r="X82" s="2743"/>
      <c r="Y82" s="2743"/>
      <c r="Z82" s="2743"/>
      <c r="AA82" s="2743"/>
      <c r="AB82" s="2743"/>
      <c r="AC82" s="2743"/>
    </row>
    <row r="83" spans="1:29" ht="15" thickTop="1">
      <c r="A83" s="547"/>
      <c r="B83" s="486" t="s">
        <v>1740</v>
      </c>
      <c r="C83" s="502"/>
      <c r="D83" s="502"/>
      <c r="E83" s="531"/>
      <c r="F83" s="531"/>
      <c r="G83" s="531"/>
      <c r="H83" s="531"/>
      <c r="I83" s="531"/>
      <c r="J83" s="531"/>
      <c r="K83" s="532"/>
      <c r="L83" s="533"/>
      <c r="M83" s="534"/>
      <c r="N83" s="2749"/>
      <c r="O83" s="2749"/>
      <c r="P83" s="2758"/>
      <c r="Q83" s="2735"/>
      <c r="R83" s="2721"/>
      <c r="S83" s="2721"/>
      <c r="T83" s="2721"/>
      <c r="U83" s="2721"/>
      <c r="V83" s="2721"/>
      <c r="W83" s="2721"/>
      <c r="X83" s="2721"/>
      <c r="Y83" s="2721"/>
      <c r="Z83" s="2721"/>
      <c r="AA83" s="2721"/>
      <c r="AB83" s="2721"/>
      <c r="AC83" s="2721"/>
    </row>
    <row r="84" spans="1:29" ht="14.4"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9"/>
      <c r="O85" s="2749"/>
      <c r="P85" s="2758"/>
      <c r="Q85" s="2735"/>
      <c r="R85" s="2721"/>
      <c r="S85" s="2721"/>
      <c r="T85" s="2721"/>
      <c r="U85" s="2721"/>
      <c r="V85" s="2721"/>
      <c r="W85" s="2721"/>
      <c r="X85" s="2721"/>
      <c r="Y85" s="2721"/>
      <c r="Z85" s="2721"/>
      <c r="AA85" s="2721"/>
      <c r="AB85" s="2721"/>
      <c r="AC85" s="2721"/>
    </row>
    <row r="86" spans="1:29">
      <c r="A86" s="547"/>
      <c r="B86" s="494"/>
      <c r="C86" s="551">
        <v>0.5</v>
      </c>
      <c r="D86" s="551">
        <v>0.6</v>
      </c>
      <c r="E86" s="551">
        <v>0.7</v>
      </c>
      <c r="F86" s="551">
        <v>0.8</v>
      </c>
      <c r="G86" s="551">
        <v>0.9</v>
      </c>
      <c r="H86" s="551">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4.4"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7"/>
      <c r="B88" s="494" t="s">
        <v>1856</v>
      </c>
      <c r="C88" s="478"/>
      <c r="D88" s="478"/>
      <c r="E88" s="478"/>
      <c r="F88" s="478"/>
      <c r="G88" s="478"/>
      <c r="H88" s="478"/>
      <c r="I88" s="478"/>
      <c r="J88" s="478"/>
      <c r="K88" s="479"/>
      <c r="L88" s="480"/>
      <c r="M88" s="481"/>
      <c r="N88" s="2749"/>
      <c r="O88" s="2749"/>
      <c r="P88" s="2758"/>
      <c r="Q88" s="2735"/>
      <c r="R88" s="2721"/>
      <c r="S88" s="2721"/>
      <c r="T88" s="2721"/>
      <c r="U88" s="2721"/>
      <c r="V88" s="2721"/>
      <c r="W88" s="2721"/>
      <c r="X88" s="2721"/>
      <c r="Y88" s="2721"/>
      <c r="Z88" s="2721"/>
      <c r="AA88" s="2721"/>
      <c r="AB88" s="2721"/>
      <c r="AC88" s="2721"/>
    </row>
    <row r="89" spans="1:29" ht="14.4"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0"/>
      <c r="O89" s="2750"/>
      <c r="P89" s="2758"/>
      <c r="Q89" s="2735"/>
      <c r="R89" s="2721"/>
      <c r="S89" s="2721"/>
      <c r="T89" s="2721"/>
      <c r="U89" s="2721"/>
      <c r="V89" s="2721"/>
      <c r="W89" s="2721"/>
      <c r="X89" s="2721"/>
      <c r="Y89" s="2721"/>
      <c r="Z89" s="2721"/>
      <c r="AA89" s="2721"/>
      <c r="AB89" s="2721"/>
      <c r="AC89" s="2721"/>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1" customFormat="1">
      <c r="A91" s="541"/>
      <c r="B91" s="494"/>
      <c r="C91" s="543"/>
      <c r="D91" s="543"/>
      <c r="E91" s="543"/>
      <c r="F91" s="543"/>
      <c r="G91" s="543"/>
      <c r="H91" s="543"/>
      <c r="I91" s="543"/>
      <c r="J91" s="544"/>
      <c r="K91" s="544"/>
      <c r="L91" s="545"/>
      <c r="M91" s="546"/>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08"/>
      <c r="D92" s="484"/>
      <c r="E92" s="484"/>
      <c r="F92" s="484"/>
      <c r="G92" s="484"/>
      <c r="H92" s="484"/>
      <c r="I92" s="484"/>
      <c r="J92" s="484"/>
      <c r="K92" s="484"/>
      <c r="L92" s="484"/>
      <c r="M92" s="485"/>
      <c r="N92" s="2751"/>
      <c r="O92" s="2751"/>
      <c r="P92" s="2759"/>
      <c r="Q92" s="2742"/>
      <c r="R92" s="2743"/>
      <c r="S92" s="2743"/>
      <c r="T92" s="2743"/>
      <c r="U92" s="2743"/>
      <c r="V92" s="2743"/>
      <c r="W92" s="2743"/>
      <c r="X92" s="2743"/>
      <c r="Y92" s="2743"/>
      <c r="Z92" s="2743"/>
      <c r="AA92" s="2743"/>
      <c r="AB92" s="2743"/>
      <c r="AC92" s="2743"/>
    </row>
    <row r="93" spans="1:29" ht="15" thickTop="1">
      <c r="A93" s="547"/>
      <c r="B93" s="486" t="s">
        <v>1858</v>
      </c>
      <c r="C93" s="502"/>
      <c r="D93" s="502"/>
      <c r="E93" s="531"/>
      <c r="F93" s="531"/>
      <c r="G93" s="531"/>
      <c r="H93" s="531"/>
      <c r="I93" s="531"/>
      <c r="J93" s="531"/>
      <c r="K93" s="532"/>
      <c r="L93" s="533"/>
      <c r="M93" s="534"/>
      <c r="N93" s="2749"/>
      <c r="O93" s="2749"/>
      <c r="P93" s="2758"/>
      <c r="Q93" s="2735"/>
      <c r="R93" s="2721"/>
      <c r="S93" s="2721"/>
      <c r="T93" s="2721"/>
      <c r="U93" s="2721"/>
      <c r="V93" s="2721"/>
      <c r="W93" s="2721"/>
      <c r="X93" s="2721"/>
      <c r="Y93" s="2721"/>
      <c r="Z93" s="2721"/>
      <c r="AA93" s="2721"/>
      <c r="AB93" s="2721"/>
      <c r="AC93" s="2721"/>
    </row>
    <row r="94" spans="1:29" ht="14.4"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7"/>
      <c r="B95" s="486" t="s">
        <v>1859</v>
      </c>
      <c r="C95" s="478"/>
      <c r="D95" s="478"/>
      <c r="E95" s="478"/>
      <c r="F95" s="478"/>
      <c r="G95" s="478"/>
      <c r="H95" s="478"/>
      <c r="I95" s="478"/>
      <c r="J95" s="478"/>
      <c r="K95" s="479"/>
      <c r="L95" s="480"/>
      <c r="M95" s="481"/>
      <c r="N95" s="2749"/>
      <c r="O95" s="2749"/>
      <c r="P95" s="2758"/>
      <c r="Q95" s="2735"/>
      <c r="R95" s="2721"/>
      <c r="S95" s="2721"/>
      <c r="T95" s="2721"/>
      <c r="U95" s="2721"/>
      <c r="V95" s="2721"/>
      <c r="W95" s="2721"/>
      <c r="X95" s="2721"/>
      <c r="Y95" s="2721"/>
      <c r="Z95" s="2721"/>
      <c r="AA95" s="2721"/>
      <c r="AB95" s="2721"/>
      <c r="AC95" s="2721"/>
    </row>
    <row r="96" spans="1:29" ht="14.4" thickBot="1">
      <c r="A96" s="482"/>
      <c r="B96" s="491"/>
      <c r="C96" s="492">
        <v>100</v>
      </c>
      <c r="D96" s="492">
        <f>C96-$K33</f>
        <v>100</v>
      </c>
      <c r="E96" s="492">
        <f>D96-$K33</f>
        <v>100</v>
      </c>
      <c r="F96" s="492">
        <f>E96-$K33</f>
        <v>100</v>
      </c>
      <c r="G96" s="492">
        <f>F96-$K33</f>
        <v>100</v>
      </c>
      <c r="H96" s="492"/>
      <c r="I96" s="492"/>
      <c r="J96" s="492"/>
      <c r="K96" s="492"/>
      <c r="L96" s="492"/>
      <c r="M96" s="493"/>
      <c r="N96" s="2750"/>
      <c r="O96" s="2750"/>
      <c r="P96" s="2758"/>
      <c r="Q96" s="2735"/>
      <c r="R96" s="2721"/>
      <c r="S96" s="2721"/>
      <c r="T96" s="2721"/>
      <c r="U96" s="2721"/>
      <c r="V96" s="2721"/>
      <c r="W96" s="2721"/>
      <c r="X96" s="2721"/>
      <c r="Y96" s="2721"/>
      <c r="Z96" s="2721"/>
      <c r="AA96" s="2721"/>
      <c r="AB96" s="2721"/>
      <c r="AC96" s="2721"/>
    </row>
    <row r="97" spans="1:29" ht="14.4" thickTop="1">
      <c r="A97" s="547"/>
      <c r="B97" s="583">
        <f>B34</f>
        <v>111</v>
      </c>
      <c r="C97" s="497"/>
      <c r="D97" s="497"/>
      <c r="E97" s="497"/>
      <c r="F97" s="497"/>
      <c r="G97" s="502"/>
      <c r="H97" s="503"/>
      <c r="I97" s="503"/>
      <c r="J97" s="503"/>
      <c r="K97" s="503"/>
      <c r="L97" s="504"/>
      <c r="M97" s="505"/>
      <c r="N97" s="2750"/>
      <c r="O97" s="2750"/>
      <c r="P97" s="2763"/>
      <c r="Q97" s="2764"/>
      <c r="R97" s="2721"/>
      <c r="S97" s="2721"/>
      <c r="T97" s="2721"/>
      <c r="U97" s="2721"/>
      <c r="V97" s="2721"/>
      <c r="W97" s="2721"/>
      <c r="X97" s="2721"/>
      <c r="Y97" s="2721"/>
      <c r="Z97" s="2721"/>
      <c r="AA97" s="2721"/>
      <c r="AB97" s="2721"/>
      <c r="AC97" s="2721"/>
    </row>
    <row r="98" spans="1:29" ht="14.4" thickBot="1">
      <c r="A98" s="482"/>
      <c r="B98" s="491"/>
      <c r="C98" s="508"/>
      <c r="D98" s="484"/>
      <c r="E98" s="484"/>
      <c r="F98" s="484"/>
      <c r="G98" s="508"/>
      <c r="H98" s="510"/>
      <c r="I98" s="510"/>
      <c r="J98" s="510"/>
      <c r="K98" s="510"/>
      <c r="L98" s="510"/>
      <c r="M98" s="511"/>
      <c r="N98" s="2750"/>
      <c r="O98" s="2750"/>
      <c r="P98" s="2758"/>
      <c r="Q98" s="2735"/>
      <c r="R98" s="2721"/>
      <c r="S98" s="2721"/>
      <c r="T98" s="2721"/>
      <c r="U98" s="2721"/>
      <c r="V98" s="2721"/>
      <c r="W98" s="2721"/>
      <c r="X98" s="2721"/>
      <c r="Y98" s="2721"/>
      <c r="Z98" s="2721"/>
      <c r="AA98" s="2721"/>
      <c r="AB98" s="2721"/>
      <c r="AC98" s="2721"/>
    </row>
    <row r="99" spans="1:29" s="421" customFormat="1" ht="14.4" thickTop="1">
      <c r="A99" s="541"/>
      <c r="B99" s="486">
        <f>B35</f>
        <v>111</v>
      </c>
      <c r="C99" s="497"/>
      <c r="D99" s="497"/>
      <c r="E99" s="497"/>
      <c r="F99" s="497"/>
      <c r="G99" s="502"/>
      <c r="H99" s="503"/>
      <c r="I99" s="503"/>
      <c r="J99" s="503"/>
      <c r="K99" s="503"/>
      <c r="L99" s="504"/>
      <c r="M99" s="505"/>
      <c r="N99" s="2751"/>
      <c r="O99" s="2751"/>
      <c r="P99" s="2759"/>
      <c r="Q99" s="2742"/>
      <c r="R99" s="2743"/>
      <c r="S99" s="2743"/>
      <c r="T99" s="2743"/>
      <c r="U99" s="2743"/>
      <c r="V99" s="2743"/>
      <c r="W99" s="2743"/>
      <c r="X99" s="2743"/>
      <c r="Y99" s="2743"/>
      <c r="Z99" s="2743"/>
      <c r="AA99" s="2743"/>
      <c r="AB99" s="2743"/>
      <c r="AC99" s="2743"/>
    </row>
    <row r="100" spans="1:29" s="421" customFormat="1" ht="14.4" thickBot="1">
      <c r="A100" s="501"/>
      <c r="B100" s="483"/>
      <c r="C100" s="508"/>
      <c r="D100" s="484"/>
      <c r="E100" s="484"/>
      <c r="F100" s="484"/>
      <c r="G100" s="508"/>
      <c r="H100" s="510"/>
      <c r="I100" s="510"/>
      <c r="J100" s="510"/>
      <c r="K100" s="510"/>
      <c r="L100" s="510"/>
      <c r="M100" s="511"/>
      <c r="N100" s="2751"/>
      <c r="O100" s="2751"/>
      <c r="P100" s="2759"/>
      <c r="Q100" s="2742"/>
      <c r="R100" s="2743"/>
      <c r="S100" s="2743"/>
      <c r="T100" s="2743"/>
      <c r="U100" s="2743"/>
      <c r="V100" s="2743"/>
      <c r="W100" s="2743"/>
      <c r="X100" s="2743"/>
      <c r="Y100" s="2743"/>
      <c r="Z100" s="2743"/>
      <c r="AA100" s="2743"/>
      <c r="AB100" s="2743"/>
      <c r="AC100" s="2743"/>
    </row>
    <row r="101" spans="1:29" ht="14.4" thickTop="1">
      <c r="A101" s="547"/>
      <c r="B101" s="486">
        <f>B36</f>
        <v>111</v>
      </c>
      <c r="C101" s="502"/>
      <c r="D101" s="502"/>
      <c r="E101" s="502"/>
      <c r="F101" s="502"/>
      <c r="G101" s="502"/>
      <c r="H101" s="503"/>
      <c r="I101" s="503"/>
      <c r="J101" s="503"/>
      <c r="K101" s="503"/>
      <c r="L101" s="504"/>
      <c r="M101" s="505"/>
      <c r="N101" s="2749"/>
      <c r="O101" s="2749"/>
      <c r="P101" s="2758"/>
      <c r="Q101" s="2735"/>
      <c r="R101" s="2721"/>
      <c r="S101" s="2721"/>
      <c r="T101" s="2721"/>
      <c r="U101" s="2721"/>
      <c r="V101" s="2721"/>
      <c r="W101" s="2721"/>
      <c r="X101" s="2721"/>
      <c r="Y101" s="2721"/>
      <c r="Z101" s="2721"/>
      <c r="AA101" s="2721"/>
      <c r="AB101" s="2721"/>
      <c r="AC101" s="2721"/>
    </row>
    <row r="102" spans="1:29" ht="14.4" thickBot="1">
      <c r="A102" s="482"/>
      <c r="B102" s="491"/>
      <c r="C102" s="508"/>
      <c r="D102" s="508"/>
      <c r="E102" s="508"/>
      <c r="F102" s="508"/>
      <c r="G102" s="508"/>
      <c r="H102" s="510"/>
      <c r="I102" s="510"/>
      <c r="J102" s="510"/>
      <c r="K102" s="510"/>
      <c r="L102" s="510"/>
      <c r="M102" s="511"/>
      <c r="N102" s="2750"/>
      <c r="O102" s="2750"/>
      <c r="P102" s="2758"/>
      <c r="Q102" s="2735"/>
      <c r="R102" s="2721"/>
      <c r="S102" s="2721"/>
      <c r="T102" s="2721"/>
      <c r="U102" s="2721"/>
      <c r="V102" s="2721"/>
      <c r="W102" s="2721"/>
      <c r="X102" s="2721"/>
      <c r="Y102" s="2721"/>
      <c r="Z102" s="2721"/>
      <c r="AA102" s="2721"/>
      <c r="AB102" s="2721"/>
      <c r="AC102" s="2721"/>
    </row>
    <row r="103" spans="1:29" ht="14.4"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29" customFormat="1" ht="28.5" customHeight="1" thickBot="1">
      <c r="A1" s="1218" t="s">
        <v>1831</v>
      </c>
      <c r="B1" s="1219" t="s">
        <v>3341</v>
      </c>
      <c r="C1" s="1220" t="s">
        <v>1662</v>
      </c>
      <c r="D1" s="1221"/>
      <c r="E1" s="3429"/>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1"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4"/>
      <c r="F3" s="905"/>
      <c r="G3" s="904"/>
      <c r="H3" s="904"/>
      <c r="I3" s="904"/>
      <c r="J3" s="904"/>
      <c r="K3" s="906"/>
      <c r="L3" s="2730"/>
      <c r="M3" s="2731"/>
      <c r="N3" s="2731"/>
      <c r="O3" s="2731"/>
      <c r="P3" s="697"/>
      <c r="Q3" s="697"/>
      <c r="R3" s="697"/>
      <c r="S3" s="697"/>
      <c r="T3" s="697"/>
      <c r="U3" s="697"/>
      <c r="V3" s="697"/>
      <c r="W3" s="697"/>
      <c r="X3" s="697"/>
      <c r="Y3" s="697"/>
      <c r="Z3" s="697"/>
      <c r="AA3" s="697"/>
      <c r="AB3" s="714"/>
      <c r="AC3" s="711"/>
    </row>
    <row r="4" spans="1:29" ht="14.4">
      <c r="A4" s="354" t="s">
        <v>1769</v>
      </c>
      <c r="B4" s="355"/>
      <c r="C4" s="3724" t="s">
        <v>1770</v>
      </c>
      <c r="D4" s="3725"/>
      <c r="E4" s="3726" t="s">
        <v>1771</v>
      </c>
      <c r="F4" s="3727"/>
      <c r="G4" s="3724" t="s">
        <v>1772</v>
      </c>
      <c r="H4" s="3725"/>
      <c r="I4" s="3724" t="s">
        <v>1773</v>
      </c>
      <c r="J4" s="3725"/>
      <c r="K4" s="558" t="s">
        <v>1774</v>
      </c>
      <c r="L4" s="2711"/>
      <c r="M4" s="2712"/>
      <c r="N4" s="2712"/>
      <c r="O4" s="2712"/>
      <c r="P4" s="3728" t="s">
        <v>1775</v>
      </c>
      <c r="Q4" s="3729"/>
      <c r="R4" s="3711" t="s">
        <v>1771</v>
      </c>
      <c r="S4" s="3712"/>
      <c r="T4" s="3711" t="s">
        <v>1772</v>
      </c>
      <c r="U4" s="3712"/>
      <c r="V4" s="3736" t="s">
        <v>1773</v>
      </c>
      <c r="W4" s="3736"/>
      <c r="X4" s="1351"/>
      <c r="Y4" s="3711" t="s">
        <v>1775</v>
      </c>
      <c r="Z4" s="3712"/>
      <c r="AA4" s="3706" t="s">
        <v>1771</v>
      </c>
      <c r="AB4" s="3707" t="s">
        <v>1772</v>
      </c>
      <c r="AC4" s="3706" t="s">
        <v>1773</v>
      </c>
    </row>
    <row r="5" spans="1:29">
      <c r="A5" s="357"/>
      <c r="B5" s="358"/>
      <c r="C5" s="3717" t="s">
        <v>1673</v>
      </c>
      <c r="D5" s="3718"/>
      <c r="E5" s="3715" t="s">
        <v>1674</v>
      </c>
      <c r="F5" s="3716"/>
      <c r="G5" s="3717" t="s">
        <v>1675</v>
      </c>
      <c r="H5" s="3718"/>
      <c r="I5" s="3717" t="s">
        <v>1676</v>
      </c>
      <c r="J5" s="3718"/>
      <c r="K5" s="558"/>
      <c r="L5" s="2711"/>
      <c r="M5" s="2712"/>
      <c r="N5" s="2712"/>
      <c r="O5" s="2712"/>
      <c r="P5" s="3730"/>
      <c r="Q5" s="3731"/>
      <c r="R5" s="3713"/>
      <c r="S5" s="3714"/>
      <c r="T5" s="3713"/>
      <c r="U5" s="3714"/>
      <c r="V5" s="3736"/>
      <c r="W5" s="3736"/>
      <c r="X5" s="1351"/>
      <c r="Y5" s="3713"/>
      <c r="Z5" s="3714"/>
      <c r="AA5" s="3707"/>
      <c r="AB5" s="3707"/>
      <c r="AC5" s="3707"/>
    </row>
    <row r="6" spans="1:29" ht="15" thickBot="1">
      <c r="A6" s="359"/>
      <c r="B6" s="360"/>
      <c r="C6" s="3719" t="s">
        <v>1677</v>
      </c>
      <c r="D6" s="3720"/>
      <c r="E6" s="3721" t="s">
        <v>1677</v>
      </c>
      <c r="F6" s="3722"/>
      <c r="G6" s="3719" t="s">
        <v>1677</v>
      </c>
      <c r="H6" s="3720"/>
      <c r="I6" s="3719" t="s">
        <v>1677</v>
      </c>
      <c r="J6" s="3720"/>
      <c r="K6" s="558" t="s">
        <v>1678</v>
      </c>
      <c r="L6" s="2711"/>
      <c r="M6" s="2712"/>
      <c r="N6" s="2712"/>
      <c r="O6" s="2712"/>
      <c r="P6" s="3732"/>
      <c r="Q6" s="3733"/>
      <c r="R6" s="3713"/>
      <c r="S6" s="3714"/>
      <c r="T6" s="3734"/>
      <c r="U6" s="3735"/>
      <c r="V6" s="3736"/>
      <c r="W6" s="3736"/>
      <c r="X6" s="1351"/>
      <c r="Y6" s="3734"/>
      <c r="Z6" s="3735"/>
      <c r="AA6" s="3708"/>
      <c r="AB6" s="3708"/>
      <c r="AC6" s="3708"/>
    </row>
    <row r="7" spans="1:29" s="108" customFormat="1" ht="15" thickBot="1">
      <c r="A7" s="361" t="s">
        <v>1679</v>
      </c>
      <c r="B7" s="362"/>
      <c r="C7" s="363">
        <f>'数据-取费表'!B2</f>
        <v>44995</v>
      </c>
      <c r="D7" s="364">
        <v>100</v>
      </c>
      <c r="E7" s="365"/>
      <c r="F7" s="366">
        <f>SUMIF(46:46,YEAR(E7)&amp;"-"&amp;MONTH(E7),47:47)</f>
        <v>0</v>
      </c>
      <c r="G7" s="1970"/>
      <c r="H7" s="364">
        <f>SUMIF(46:46,YEAR(G7)&amp;"-"&amp;MONTH(G7),47:47)</f>
        <v>0</v>
      </c>
      <c r="I7" s="365"/>
      <c r="J7" s="364">
        <f>SUMIF(46:46,YEAR(I7)&amp;"-"&amp;MONTH(I7),47:47)</f>
        <v>0</v>
      </c>
      <c r="K7" s="559"/>
      <c r="L7" s="2713"/>
      <c r="M7" s="2714"/>
      <c r="N7" s="2714"/>
      <c r="O7" s="2714"/>
      <c r="P7" s="3709" t="s">
        <v>1680</v>
      </c>
      <c r="Q7" s="3737"/>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8" customFormat="1" ht="1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3"/>
      <c r="M8" s="2714"/>
      <c r="N8" s="2714"/>
      <c r="O8" s="2714"/>
      <c r="P8" s="3709" t="s">
        <v>1683</v>
      </c>
      <c r="Q8" s="3710"/>
      <c r="R8" s="699" t="s">
        <v>14</v>
      </c>
      <c r="S8" s="700">
        <f t="shared" si="0"/>
        <v>100</v>
      </c>
      <c r="T8" s="699" t="s">
        <v>14</v>
      </c>
      <c r="U8" s="700">
        <f t="shared" si="1"/>
        <v>100</v>
      </c>
      <c r="V8" s="699" t="s">
        <v>14</v>
      </c>
      <c r="W8" s="700">
        <f t="shared" si="2"/>
        <v>100</v>
      </c>
      <c r="X8" s="701"/>
      <c r="Y8" s="3709" t="s">
        <v>1683</v>
      </c>
      <c r="Z8" s="3710"/>
      <c r="AA8" s="702">
        <f t="shared" ref="AA8:AA34" si="3">D8/F8</f>
        <v>1</v>
      </c>
      <c r="AB8" s="702">
        <f t="shared" ref="AB8:AB34" si="4">D8/H8</f>
        <v>1</v>
      </c>
      <c r="AC8" s="702">
        <f t="shared" ref="AC8:AC34" si="5">D8/J8</f>
        <v>1</v>
      </c>
    </row>
    <row r="9" spans="1:29" s="108" customFormat="1" ht="14.4">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3"/>
      <c r="M9" s="2714"/>
      <c r="N9" s="2714"/>
      <c r="O9" s="2768"/>
      <c r="P9" s="3741" t="s">
        <v>1686</v>
      </c>
      <c r="Q9" s="1339" t="str">
        <f t="shared" ref="Q9:Q14" si="6">B9</f>
        <v>用途</v>
      </c>
      <c r="R9" s="699" t="s">
        <v>14</v>
      </c>
      <c r="S9" s="700">
        <f t="shared" si="0"/>
        <v>100</v>
      </c>
      <c r="T9" s="699" t="s">
        <v>14</v>
      </c>
      <c r="U9" s="700">
        <f t="shared" si="1"/>
        <v>100</v>
      </c>
      <c r="V9" s="699" t="s">
        <v>14</v>
      </c>
      <c r="W9" s="700">
        <f t="shared" si="2"/>
        <v>100</v>
      </c>
      <c r="X9" s="701"/>
      <c r="Y9" s="3634" t="s">
        <v>1687</v>
      </c>
      <c r="Z9" s="52" t="str">
        <f t="shared" ref="Z9:Z14" si="7">Q9</f>
        <v>用途</v>
      </c>
      <c r="AA9" s="702">
        <f t="shared" si="3"/>
        <v>1</v>
      </c>
      <c r="AB9" s="702">
        <f t="shared" si="4"/>
        <v>1</v>
      </c>
      <c r="AC9" s="702">
        <f t="shared" si="5"/>
        <v>1</v>
      </c>
    </row>
    <row r="10" spans="1:29" s="377" customFormat="1" ht="28.8">
      <c r="A10" s="373"/>
      <c r="B10" s="374" t="s">
        <v>1688</v>
      </c>
      <c r="C10" s="3430"/>
      <c r="D10" s="126">
        <v>100</v>
      </c>
      <c r="E10" s="3430"/>
      <c r="F10" s="375">
        <f>SUMIF(53:53,E10,54:54)-SUMIF(53:53,C10,54:54)+100</f>
        <v>100</v>
      </c>
      <c r="G10" s="3430"/>
      <c r="H10" s="126">
        <f>SUMIF(53:53,G10,54:54)-SUMIF(53:53,C10,54:54)+100</f>
        <v>100</v>
      </c>
      <c r="I10" s="3430"/>
      <c r="J10" s="126">
        <f>SUMIF(53:53,I10,54:54)-SUMIF(53:53,C10,54:54)+100</f>
        <v>100</v>
      </c>
      <c r="K10" s="559"/>
      <c r="L10" s="2715"/>
      <c r="M10" s="2716"/>
      <c r="N10" s="2716"/>
      <c r="O10" s="2769"/>
      <c r="P10" s="3741"/>
      <c r="Q10" s="1339" t="str">
        <f t="shared" si="6"/>
        <v>土地使用年限（年）</v>
      </c>
      <c r="R10" s="699" t="s">
        <v>14</v>
      </c>
      <c r="S10" s="700">
        <f t="shared" si="0"/>
        <v>100</v>
      </c>
      <c r="T10" s="699" t="s">
        <v>14</v>
      </c>
      <c r="U10" s="700">
        <f t="shared" si="1"/>
        <v>100</v>
      </c>
      <c r="V10" s="699" t="s">
        <v>14</v>
      </c>
      <c r="W10" s="700">
        <f t="shared" si="2"/>
        <v>100</v>
      </c>
      <c r="X10" s="701"/>
      <c r="Y10" s="3634"/>
      <c r="Z10" s="52" t="str">
        <f t="shared" si="7"/>
        <v>土地使用年限（年）</v>
      </c>
      <c r="AA10" s="702">
        <f t="shared" si="3"/>
        <v>1</v>
      </c>
      <c r="AB10" s="702">
        <f t="shared" si="4"/>
        <v>1</v>
      </c>
      <c r="AC10" s="702">
        <f t="shared" si="5"/>
        <v>1</v>
      </c>
    </row>
    <row r="11" spans="1:29" ht="15">
      <c r="A11" s="378"/>
      <c r="B11" s="1889">
        <v>111</v>
      </c>
      <c r="C11" s="382"/>
      <c r="D11" s="126">
        <v>100</v>
      </c>
      <c r="E11" s="419"/>
      <c r="F11" s="375">
        <f>SUMIF(55:55,E11,56:56)-SUMIF(55:55,C11,56:56)+100</f>
        <v>100</v>
      </c>
      <c r="G11" s="419"/>
      <c r="H11" s="126">
        <f>SUMIF(55:55,G11,56:56)-SUMIF(55:55,C11,56:56)+100</f>
        <v>100</v>
      </c>
      <c r="I11" s="419"/>
      <c r="J11" s="126">
        <f>SUMIF(55:55,I11,56:56)-SUMIF(55:55,C11,56:56)+100</f>
        <v>100</v>
      </c>
      <c r="K11" s="561"/>
      <c r="L11" s="2717"/>
      <c r="M11" s="2712"/>
      <c r="N11" s="2712"/>
      <c r="O11" s="2770"/>
      <c r="P11" s="3741"/>
      <c r="Q11" s="1339">
        <f t="shared" si="6"/>
        <v>111</v>
      </c>
      <c r="R11" s="699" t="s">
        <v>14</v>
      </c>
      <c r="S11" s="700">
        <f t="shared" si="0"/>
        <v>100</v>
      </c>
      <c r="T11" s="699" t="s">
        <v>14</v>
      </c>
      <c r="U11" s="700">
        <f t="shared" si="1"/>
        <v>100</v>
      </c>
      <c r="V11" s="699" t="s">
        <v>14</v>
      </c>
      <c r="W11" s="700">
        <f t="shared" si="2"/>
        <v>100</v>
      </c>
      <c r="X11" s="701"/>
      <c r="Y11" s="3634"/>
      <c r="Z11" s="52">
        <f t="shared" si="7"/>
        <v>111</v>
      </c>
      <c r="AA11" s="702">
        <f t="shared" si="3"/>
        <v>1</v>
      </c>
      <c r="AB11" s="702">
        <f t="shared" si="4"/>
        <v>1</v>
      </c>
      <c r="AC11" s="702">
        <f t="shared" si="5"/>
        <v>1</v>
      </c>
    </row>
    <row r="12" spans="1:29" s="108" customFormat="1" ht="15">
      <c r="A12" s="381"/>
      <c r="B12" s="1889">
        <v>111</v>
      </c>
      <c r="C12" s="382"/>
      <c r="D12" s="383">
        <v>100</v>
      </c>
      <c r="E12" s="419"/>
      <c r="F12" s="375">
        <f>SUMIF(57:57,E12,58:58)-SUMIF(57:57,C12,58:58)+100</f>
        <v>100</v>
      </c>
      <c r="G12" s="419"/>
      <c r="H12" s="126">
        <f>SUMIF(57:57,G12,58:58)-SUMIF(57:57,C12,58:58)+100</f>
        <v>100</v>
      </c>
      <c r="I12" s="419"/>
      <c r="J12" s="126">
        <f>SUMIF(57:57,I12,58:58)-SUMIF(57:57,C12,58:58)+100</f>
        <v>100</v>
      </c>
      <c r="K12" s="561"/>
      <c r="L12" s="2713"/>
      <c r="M12" s="2714"/>
      <c r="N12" s="2714"/>
      <c r="O12" s="2768"/>
      <c r="P12" s="3741"/>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702">
        <f>D12/J12</f>
        <v>1</v>
      </c>
    </row>
    <row r="13" spans="1:29" ht="15.6" thickBot="1">
      <c r="A13" s="378"/>
      <c r="B13" s="1889">
        <v>111</v>
      </c>
      <c r="C13" s="384"/>
      <c r="D13" s="385">
        <v>100</v>
      </c>
      <c r="E13" s="419"/>
      <c r="F13" s="375">
        <f>SUMIF(59:59,E13,60:60)-SUMIF(59:59,C13,60:60)+100</f>
        <v>100</v>
      </c>
      <c r="G13" s="1971"/>
      <c r="H13" s="388">
        <f>SUMIF(59:59,G13,60:60)-SUMIF(59:59,C13,60:60)+100</f>
        <v>100</v>
      </c>
      <c r="I13" s="419"/>
      <c r="J13" s="385">
        <f>SUMIF(59:59,I13,60:60)-SUMIF(59:59,C13,60:60)+100</f>
        <v>100</v>
      </c>
      <c r="K13" s="561"/>
      <c r="L13" s="2718"/>
      <c r="M13" s="2712"/>
      <c r="N13" s="2712"/>
      <c r="O13" s="2770"/>
      <c r="P13" s="3741"/>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702">
        <f t="shared" si="5"/>
        <v>1</v>
      </c>
    </row>
    <row r="14" spans="1:29" ht="96.6">
      <c r="A14" s="390" t="s">
        <v>1690</v>
      </c>
      <c r="B14" s="61" t="s">
        <v>1833</v>
      </c>
      <c r="C14" s="1967"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8"/>
      <c r="M14" s="2712"/>
      <c r="N14" s="2712"/>
      <c r="O14" s="2770"/>
      <c r="P14" s="3743" t="s">
        <v>1691</v>
      </c>
      <c r="Q14" s="1348" t="str">
        <f t="shared" si="6"/>
        <v>交通便捷度</v>
      </c>
      <c r="R14" s="703" t="s">
        <v>14</v>
      </c>
      <c r="S14" s="704">
        <f t="shared" si="0"/>
        <v>100</v>
      </c>
      <c r="T14" s="703" t="s">
        <v>14</v>
      </c>
      <c r="U14" s="704">
        <f t="shared" si="1"/>
        <v>100</v>
      </c>
      <c r="V14" s="703" t="s">
        <v>14</v>
      </c>
      <c r="W14" s="704">
        <f t="shared" si="2"/>
        <v>100</v>
      </c>
      <c r="X14" s="1351"/>
      <c r="Y14" s="3743" t="s">
        <v>1691</v>
      </c>
      <c r="Z14" s="1352" t="str">
        <f t="shared" si="7"/>
        <v>交通便捷度</v>
      </c>
      <c r="AA14" s="1349">
        <f t="shared" si="3"/>
        <v>1</v>
      </c>
      <c r="AB14" s="1349">
        <f t="shared" si="4"/>
        <v>1</v>
      </c>
      <c r="AC14" s="1349">
        <f t="shared" si="5"/>
        <v>1</v>
      </c>
    </row>
    <row r="15" spans="1:29" ht="15">
      <c r="A15" s="378"/>
      <c r="B15" s="396"/>
      <c r="C15" s="397"/>
      <c r="D15" s="398"/>
      <c r="E15" s="397"/>
      <c r="F15" s="399"/>
      <c r="G15" s="397"/>
      <c r="H15" s="400"/>
      <c r="I15" s="397"/>
      <c r="J15" s="398"/>
      <c r="K15" s="563"/>
      <c r="L15" s="2718"/>
      <c r="M15" s="2712"/>
      <c r="N15" s="2712"/>
      <c r="O15" s="2770"/>
      <c r="P15" s="3744"/>
      <c r="Q15" s="1348"/>
      <c r="R15" s="703"/>
      <c r="S15" s="704"/>
      <c r="T15" s="703"/>
      <c r="U15" s="704"/>
      <c r="V15" s="703"/>
      <c r="W15" s="704"/>
      <c r="X15" s="1351"/>
      <c r="Y15" s="3744"/>
      <c r="Z15" s="1352"/>
      <c r="AA15" s="1349">
        <v>1</v>
      </c>
      <c r="AB15" s="1349">
        <v>1</v>
      </c>
      <c r="AC15" s="1349">
        <v>1</v>
      </c>
    </row>
    <row r="16" spans="1:29" ht="41.4">
      <c r="A16" s="378"/>
      <c r="B16" s="401" t="s">
        <v>1812</v>
      </c>
      <c r="C16" s="1896"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8"/>
      <c r="M16" s="2712"/>
      <c r="N16" s="2712"/>
      <c r="O16" s="2770"/>
      <c r="P16" s="3744"/>
      <c r="Q16" s="1348" t="str">
        <f>B16</f>
        <v>公共配套设施</v>
      </c>
      <c r="R16" s="703" t="s">
        <v>14</v>
      </c>
      <c r="S16" s="704">
        <f>F16</f>
        <v>100</v>
      </c>
      <c r="T16" s="703" t="s">
        <v>14</v>
      </c>
      <c r="U16" s="704">
        <f>H16</f>
        <v>100</v>
      </c>
      <c r="V16" s="703" t="s">
        <v>14</v>
      </c>
      <c r="W16" s="704">
        <f>J16</f>
        <v>100</v>
      </c>
      <c r="X16" s="1351"/>
      <c r="Y16" s="3744"/>
      <c r="Z16" s="1352" t="str">
        <f>Q16</f>
        <v>公共配套设施</v>
      </c>
      <c r="AA16" s="1349">
        <f t="shared" si="3"/>
        <v>1</v>
      </c>
      <c r="AB16" s="1349">
        <f t="shared" si="4"/>
        <v>1</v>
      </c>
      <c r="AC16" s="1349">
        <f t="shared" si="5"/>
        <v>1</v>
      </c>
    </row>
    <row r="17" spans="1:29" ht="15">
      <c r="A17" s="378"/>
      <c r="B17" s="406"/>
      <c r="C17" s="1897"/>
      <c r="D17" s="398"/>
      <c r="E17" s="397"/>
      <c r="F17" s="399"/>
      <c r="G17" s="397"/>
      <c r="H17" s="398"/>
      <c r="I17" s="397"/>
      <c r="J17" s="398"/>
      <c r="K17" s="563"/>
      <c r="L17" s="2718"/>
      <c r="M17" s="2712"/>
      <c r="N17" s="2712"/>
      <c r="O17" s="2770"/>
      <c r="P17" s="3744"/>
      <c r="Q17" s="1348"/>
      <c r="R17" s="703"/>
      <c r="S17" s="704"/>
      <c r="T17" s="703"/>
      <c r="U17" s="704"/>
      <c r="V17" s="703"/>
      <c r="W17" s="704"/>
      <c r="X17" s="1351"/>
      <c r="Y17" s="3744"/>
      <c r="Z17" s="1352"/>
      <c r="AA17" s="1349">
        <v>1</v>
      </c>
      <c r="AB17" s="1349">
        <v>1</v>
      </c>
      <c r="AC17" s="1349">
        <v>1</v>
      </c>
    </row>
    <row r="18" spans="1:29" ht="41.4">
      <c r="A18" s="378"/>
      <c r="B18" s="1127" t="s">
        <v>1813</v>
      </c>
      <c r="C18" s="1896"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8"/>
      <c r="M18" s="2712"/>
      <c r="N18" s="2712"/>
      <c r="O18" s="2770"/>
      <c r="P18" s="3744"/>
      <c r="Q18" s="1348" t="str">
        <f>B18</f>
        <v>基础设施水平</v>
      </c>
      <c r="R18" s="703" t="s">
        <v>14</v>
      </c>
      <c r="S18" s="704">
        <f>F18</f>
        <v>100</v>
      </c>
      <c r="T18" s="703" t="s">
        <v>14</v>
      </c>
      <c r="U18" s="704">
        <f>H18</f>
        <v>100</v>
      </c>
      <c r="V18" s="703" t="s">
        <v>14</v>
      </c>
      <c r="W18" s="704">
        <f>J18</f>
        <v>100</v>
      </c>
      <c r="X18" s="1351"/>
      <c r="Y18" s="3744"/>
      <c r="Z18" s="1352" t="str">
        <f>Q18</f>
        <v>基础设施水平</v>
      </c>
      <c r="AA18" s="1349">
        <f t="shared" ref="AA18" si="8">D18/F18</f>
        <v>1</v>
      </c>
      <c r="AB18" s="1349">
        <f t="shared" ref="AB18" si="9">D18/H18</f>
        <v>1</v>
      </c>
      <c r="AC18" s="1349">
        <f t="shared" ref="AC18" si="10">D18/J18</f>
        <v>1</v>
      </c>
    </row>
    <row r="19" spans="1:29" ht="15">
      <c r="A19" s="378"/>
      <c r="B19" s="1127"/>
      <c r="C19" s="1897"/>
      <c r="D19" s="400"/>
      <c r="E19" s="1897"/>
      <c r="F19" s="403"/>
      <c r="G19" s="1897"/>
      <c r="H19" s="398"/>
      <c r="I19" s="397"/>
      <c r="J19" s="398"/>
      <c r="K19" s="1126"/>
      <c r="L19" s="2718"/>
      <c r="M19" s="2712"/>
      <c r="N19" s="2712"/>
      <c r="O19" s="2770"/>
      <c r="P19" s="3744"/>
      <c r="Q19" s="1348"/>
      <c r="R19" s="703"/>
      <c r="S19" s="704"/>
      <c r="T19" s="703"/>
      <c r="U19" s="704"/>
      <c r="V19" s="703"/>
      <c r="W19" s="704"/>
      <c r="X19" s="1351"/>
      <c r="Y19" s="3744"/>
      <c r="Z19" s="1352"/>
      <c r="AA19" s="1349">
        <v>1</v>
      </c>
      <c r="AB19" s="1349">
        <v>1</v>
      </c>
      <c r="AC19" s="1349">
        <v>1</v>
      </c>
    </row>
    <row r="20" spans="1:29" ht="55.2">
      <c r="A20" s="378"/>
      <c r="B20" s="401" t="s">
        <v>1834</v>
      </c>
      <c r="C20" s="1896"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8"/>
      <c r="M20" s="2712"/>
      <c r="N20" s="2712"/>
      <c r="O20" s="2770"/>
      <c r="P20" s="3744"/>
      <c r="Q20" s="1348" t="str">
        <f>B20</f>
        <v>自然及人文环境</v>
      </c>
      <c r="R20" s="703" t="s">
        <v>14</v>
      </c>
      <c r="S20" s="704">
        <f>F20</f>
        <v>100</v>
      </c>
      <c r="T20" s="703" t="s">
        <v>14</v>
      </c>
      <c r="U20" s="704">
        <f>H20</f>
        <v>100</v>
      </c>
      <c r="V20" s="703" t="s">
        <v>14</v>
      </c>
      <c r="W20" s="704">
        <f>J20</f>
        <v>100</v>
      </c>
      <c r="X20" s="1351"/>
      <c r="Y20" s="3744"/>
      <c r="Z20" s="1352" t="str">
        <f>Q20</f>
        <v>自然及人文环境</v>
      </c>
      <c r="AA20" s="1349">
        <f t="shared" si="3"/>
        <v>1</v>
      </c>
      <c r="AB20" s="1349">
        <f t="shared" si="4"/>
        <v>1</v>
      </c>
      <c r="AC20" s="1349">
        <f t="shared" si="5"/>
        <v>1</v>
      </c>
    </row>
    <row r="21" spans="1:29" ht="15">
      <c r="A21" s="378"/>
      <c r="B21" s="406"/>
      <c r="C21" s="397"/>
      <c r="D21" s="398"/>
      <c r="E21" s="397"/>
      <c r="F21" s="399"/>
      <c r="G21" s="397"/>
      <c r="H21" s="398"/>
      <c r="I21" s="397"/>
      <c r="J21" s="398"/>
      <c r="K21" s="563"/>
      <c r="L21" s="2718"/>
      <c r="M21" s="2712"/>
      <c r="N21" s="2712"/>
      <c r="O21" s="2770"/>
      <c r="P21" s="3744"/>
      <c r="Q21" s="1348"/>
      <c r="R21" s="703"/>
      <c r="S21" s="704"/>
      <c r="T21" s="703"/>
      <c r="U21" s="704"/>
      <c r="V21" s="703"/>
      <c r="W21" s="704"/>
      <c r="X21" s="1351"/>
      <c r="Y21" s="3744"/>
      <c r="Z21" s="1352"/>
      <c r="AA21" s="1349">
        <v>1</v>
      </c>
      <c r="AB21" s="1349">
        <v>1</v>
      </c>
      <c r="AC21" s="1349">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8"/>
      <c r="M22" s="2712"/>
      <c r="N22" s="2712"/>
      <c r="O22" s="2770"/>
      <c r="P22" s="3744"/>
      <c r="Q22" s="1348" t="str">
        <f>B22</f>
        <v>楼层</v>
      </c>
      <c r="R22" s="703" t="s">
        <v>14</v>
      </c>
      <c r="S22" s="704">
        <f>F22</f>
        <v>100</v>
      </c>
      <c r="T22" s="703" t="s">
        <v>14</v>
      </c>
      <c r="U22" s="704">
        <f>H22</f>
        <v>100</v>
      </c>
      <c r="V22" s="703" t="s">
        <v>14</v>
      </c>
      <c r="W22" s="704">
        <f>J22</f>
        <v>100</v>
      </c>
      <c r="X22" s="1351"/>
      <c r="Y22" s="3744"/>
      <c r="Z22" s="1352" t="str">
        <f>Q22</f>
        <v>楼层</v>
      </c>
      <c r="AA22" s="1349">
        <f t="shared" si="3"/>
        <v>1</v>
      </c>
      <c r="AB22" s="1349">
        <f t="shared" si="4"/>
        <v>1</v>
      </c>
      <c r="AC22" s="1349">
        <f t="shared" si="5"/>
        <v>1</v>
      </c>
    </row>
    <row r="23" spans="1:29" ht="15">
      <c r="A23" s="357"/>
      <c r="B23" s="1889">
        <v>111</v>
      </c>
      <c r="C23" s="382"/>
      <c r="D23" s="385">
        <v>100</v>
      </c>
      <c r="E23" s="384"/>
      <c r="F23" s="411">
        <f>SUMIF(71:71,E23,72:72)-SUMIF(71:71,C23,72:72)+100</f>
        <v>100</v>
      </c>
      <c r="G23" s="384"/>
      <c r="H23" s="385">
        <f>SUMIF(71:71,G23,72:72)-SUMIF(71:71,C23,72:72)+100</f>
        <v>100</v>
      </c>
      <c r="I23" s="384"/>
      <c r="J23" s="385">
        <f>SUMIF(71:71,I23,72:72)-SUMIF(71:71,C23,72:72)+100</f>
        <v>100</v>
      </c>
      <c r="K23" s="561"/>
      <c r="L23" s="2718"/>
      <c r="M23" s="2712"/>
      <c r="N23" s="2712"/>
      <c r="O23" s="2770"/>
      <c r="P23" s="3744"/>
      <c r="Q23" s="1348">
        <f>B23</f>
        <v>111</v>
      </c>
      <c r="R23" s="703" t="s">
        <v>14</v>
      </c>
      <c r="S23" s="704">
        <f>F23</f>
        <v>100</v>
      </c>
      <c r="T23" s="703" t="s">
        <v>14</v>
      </c>
      <c r="U23" s="704">
        <f>H23</f>
        <v>100</v>
      </c>
      <c r="V23" s="703" t="s">
        <v>14</v>
      </c>
      <c r="W23" s="704">
        <f>J23</f>
        <v>100</v>
      </c>
      <c r="X23" s="1351"/>
      <c r="Y23" s="3744"/>
      <c r="Z23" s="1352">
        <f>Q23</f>
        <v>111</v>
      </c>
      <c r="AA23" s="1349">
        <f t="shared" si="3"/>
        <v>1</v>
      </c>
      <c r="AB23" s="1349">
        <f t="shared" si="4"/>
        <v>1</v>
      </c>
      <c r="AC23" s="1349">
        <f t="shared" si="5"/>
        <v>1</v>
      </c>
    </row>
    <row r="24" spans="1:29" ht="15">
      <c r="A24" s="378"/>
      <c r="B24" s="1889">
        <v>111</v>
      </c>
      <c r="C24" s="382"/>
      <c r="D24" s="385">
        <v>100</v>
      </c>
      <c r="E24" s="384"/>
      <c r="F24" s="411">
        <f>SUMIF(73:73,E24,74:74)-SUMIF(73:73,C24,74:74)+100</f>
        <v>100</v>
      </c>
      <c r="G24" s="384"/>
      <c r="H24" s="385">
        <f>SUMIF(73:73,G24,74:74)-SUMIF(73:73,C24,74:74)+100</f>
        <v>100</v>
      </c>
      <c r="I24" s="384"/>
      <c r="J24" s="385">
        <f>SUMIF(73:73,I24,74:74)-SUMIF(73:73,C24,74:74)+100</f>
        <v>100</v>
      </c>
      <c r="K24" s="561"/>
      <c r="L24" s="2718"/>
      <c r="M24" s="2712"/>
      <c r="N24" s="2712"/>
      <c r="O24" s="2770"/>
      <c r="P24" s="3744"/>
      <c r="Q24" s="1348">
        <f t="shared" ref="Q24:Q34" si="11">B24</f>
        <v>111</v>
      </c>
      <c r="R24" s="703" t="s">
        <v>14</v>
      </c>
      <c r="S24" s="704">
        <f>F24</f>
        <v>100</v>
      </c>
      <c r="T24" s="703" t="s">
        <v>14</v>
      </c>
      <c r="U24" s="704">
        <f>H24</f>
        <v>100</v>
      </c>
      <c r="V24" s="703" t="s">
        <v>14</v>
      </c>
      <c r="W24" s="704">
        <f>J24</f>
        <v>100</v>
      </c>
      <c r="X24" s="1351"/>
      <c r="Y24" s="3744"/>
      <c r="Z24" s="1352">
        <f>Q24</f>
        <v>111</v>
      </c>
      <c r="AA24" s="1349">
        <f t="shared" si="3"/>
        <v>1</v>
      </c>
      <c r="AB24" s="1349">
        <f t="shared" si="4"/>
        <v>1</v>
      </c>
      <c r="AC24" s="1349">
        <f t="shared" si="5"/>
        <v>1</v>
      </c>
    </row>
    <row r="25" spans="1:29" s="108" customFormat="1" ht="15.6" thickBot="1">
      <c r="A25" s="381"/>
      <c r="B25" s="1889">
        <v>111</v>
      </c>
      <c r="C25" s="1972"/>
      <c r="D25" s="612">
        <v>100</v>
      </c>
      <c r="E25" s="1972"/>
      <c r="F25" s="613">
        <f>SUMIF(75:75,E25,76:76)-SUMIF(75:75,C25,76:76)+100</f>
        <v>100</v>
      </c>
      <c r="G25" s="1972"/>
      <c r="H25" s="612">
        <f>SUMIF(75:75,G25,76:76)-SUMIF(75:75,C25,76:76)+100</f>
        <v>100</v>
      </c>
      <c r="I25" s="1972"/>
      <c r="J25" s="612">
        <f>SUMIF(75:75,I25,76:76)-SUMIF(75:75,C25,76:76)+100</f>
        <v>100</v>
      </c>
      <c r="K25" s="561"/>
      <c r="L25" s="2713"/>
      <c r="M25" s="2714"/>
      <c r="N25" s="2714"/>
      <c r="O25" s="2768"/>
      <c r="P25" s="3744"/>
      <c r="Q25" s="1339">
        <f t="shared" si="11"/>
        <v>111</v>
      </c>
      <c r="R25" s="699" t="s">
        <v>14</v>
      </c>
      <c r="S25" s="700">
        <f>F25</f>
        <v>100</v>
      </c>
      <c r="T25" s="699" t="s">
        <v>14</v>
      </c>
      <c r="U25" s="700">
        <f>H25</f>
        <v>100</v>
      </c>
      <c r="V25" s="699" t="s">
        <v>14</v>
      </c>
      <c r="W25" s="700">
        <f>J25</f>
        <v>100</v>
      </c>
      <c r="X25" s="701"/>
      <c r="Y25" s="3744"/>
      <c r="Z25" s="52">
        <f>Q25</f>
        <v>111</v>
      </c>
      <c r="AA25" s="1349">
        <f>D25/F25</f>
        <v>1</v>
      </c>
      <c r="AB25" s="1349">
        <f>D25/H25</f>
        <v>1</v>
      </c>
      <c r="AC25" s="1349">
        <f>D25/J25</f>
        <v>1</v>
      </c>
    </row>
    <row r="26" spans="1:29" ht="30">
      <c r="A26" s="416" t="s">
        <v>1694</v>
      </c>
      <c r="B26" s="63" t="s">
        <v>1838</v>
      </c>
      <c r="C26" s="1963"/>
      <c r="D26" s="417">
        <v>100</v>
      </c>
      <c r="E26" s="1963"/>
      <c r="F26" s="614">
        <f>SUMIF(77:77,E26,78:78)-SUMIF(77:77,C26,78:78)+100</f>
        <v>100</v>
      </c>
      <c r="G26" s="1963"/>
      <c r="H26" s="417">
        <f>SUMIF(77:77,G26,78:78)-SUMIF(77:77,C26,78:78)+100</f>
        <v>100</v>
      </c>
      <c r="I26" s="1963"/>
      <c r="J26" s="417">
        <f>SUMIF(77:77,I26,78:78)-SUMIF(77:77,C26,78:78)+100</f>
        <v>100</v>
      </c>
      <c r="K26" s="560"/>
      <c r="L26" s="2718"/>
      <c r="M26" s="2712"/>
      <c r="N26" s="2712"/>
      <c r="O26" s="2770"/>
      <c r="P26" s="3767"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48" t="s">
        <v>1696</v>
      </c>
      <c r="Z26" s="1352" t="str">
        <f t="shared" ref="Z26:Z34" si="15">Q26</f>
        <v>公共部分装修</v>
      </c>
      <c r="AA26" s="1349">
        <f t="shared" si="3"/>
        <v>1</v>
      </c>
      <c r="AB26" s="1349">
        <f t="shared" si="4"/>
        <v>1</v>
      </c>
      <c r="AC26" s="1349">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7"/>
      <c r="M27" s="2719"/>
      <c r="N27" s="2719"/>
      <c r="O27" s="2771"/>
      <c r="P27" s="3748"/>
      <c r="Q27" s="705" t="str">
        <f t="shared" si="11"/>
        <v>成新率</v>
      </c>
      <c r="R27" s="706" t="s">
        <v>14</v>
      </c>
      <c r="S27" s="707" t="e">
        <f t="shared" si="12"/>
        <v>#N/A</v>
      </c>
      <c r="T27" s="706" t="s">
        <v>14</v>
      </c>
      <c r="U27" s="707" t="e">
        <f t="shared" si="13"/>
        <v>#N/A</v>
      </c>
      <c r="V27" s="706" t="s">
        <v>14</v>
      </c>
      <c r="W27" s="707" t="e">
        <f t="shared" si="14"/>
        <v>#N/A</v>
      </c>
      <c r="X27" s="708"/>
      <c r="Y27" s="3748"/>
      <c r="Z27" s="709" t="str">
        <f t="shared" si="15"/>
        <v>成新率</v>
      </c>
      <c r="AA27" s="1349" t="e">
        <f t="shared" si="3"/>
        <v>#N/A</v>
      </c>
      <c r="AB27" s="1349" t="e">
        <f t="shared" si="4"/>
        <v>#N/A</v>
      </c>
      <c r="AC27" s="1349"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8"/>
      <c r="M28" s="2712"/>
      <c r="N28" s="2712"/>
      <c r="O28" s="2770"/>
      <c r="P28" s="3748"/>
      <c r="Q28" s="1348" t="str">
        <f t="shared" si="11"/>
        <v>物业等级</v>
      </c>
      <c r="R28" s="703" t="s">
        <v>14</v>
      </c>
      <c r="S28" s="704">
        <f t="shared" si="12"/>
        <v>100</v>
      </c>
      <c r="T28" s="703" t="s">
        <v>14</v>
      </c>
      <c r="U28" s="704">
        <f t="shared" si="13"/>
        <v>100</v>
      </c>
      <c r="V28" s="703" t="s">
        <v>14</v>
      </c>
      <c r="W28" s="704">
        <f t="shared" si="14"/>
        <v>100</v>
      </c>
      <c r="X28" s="1351"/>
      <c r="Y28" s="3748"/>
      <c r="Z28" s="1352" t="str">
        <f t="shared" si="15"/>
        <v>物业等级</v>
      </c>
      <c r="AA28" s="1349">
        <f t="shared" si="3"/>
        <v>1</v>
      </c>
      <c r="AB28" s="1349">
        <f t="shared" si="4"/>
        <v>1</v>
      </c>
      <c r="AC28" s="1349">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8"/>
      <c r="M29" s="2712"/>
      <c r="N29" s="2712"/>
      <c r="O29" s="2770"/>
      <c r="P29" s="3748"/>
      <c r="Q29" s="1348" t="str">
        <f t="shared" si="11"/>
        <v>有无电梯</v>
      </c>
      <c r="R29" s="703" t="s">
        <v>14</v>
      </c>
      <c r="S29" s="704">
        <f t="shared" si="12"/>
        <v>100</v>
      </c>
      <c r="T29" s="703" t="s">
        <v>14</v>
      </c>
      <c r="U29" s="704">
        <f t="shared" si="13"/>
        <v>100</v>
      </c>
      <c r="V29" s="703" t="s">
        <v>14</v>
      </c>
      <c r="W29" s="704">
        <f t="shared" si="14"/>
        <v>100</v>
      </c>
      <c r="X29" s="1351"/>
      <c r="Y29" s="3748"/>
      <c r="Z29" s="1352" t="str">
        <f t="shared" si="15"/>
        <v>有无电梯</v>
      </c>
      <c r="AA29" s="1349">
        <f t="shared" si="3"/>
        <v>1</v>
      </c>
      <c r="AB29" s="1349">
        <f t="shared" si="4"/>
        <v>1</v>
      </c>
      <c r="AC29" s="1349">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8"/>
      <c r="M30" s="2712"/>
      <c r="N30" s="2712"/>
      <c r="O30" s="2770"/>
      <c r="P30" s="3748"/>
      <c r="Q30" s="1348" t="str">
        <f t="shared" si="11"/>
        <v>建筑面积</v>
      </c>
      <c r="R30" s="703" t="s">
        <v>14</v>
      </c>
      <c r="S30" s="704" t="e">
        <f t="shared" si="12"/>
        <v>#N/A</v>
      </c>
      <c r="T30" s="703" t="s">
        <v>14</v>
      </c>
      <c r="U30" s="704" t="e">
        <f t="shared" si="13"/>
        <v>#N/A</v>
      </c>
      <c r="V30" s="703" t="s">
        <v>14</v>
      </c>
      <c r="W30" s="704" t="e">
        <f t="shared" si="14"/>
        <v>#N/A</v>
      </c>
      <c r="X30" s="1351"/>
      <c r="Y30" s="3748"/>
      <c r="Z30" s="1352" t="str">
        <f t="shared" si="15"/>
        <v>建筑面积</v>
      </c>
      <c r="AA30" s="1349" t="e">
        <f t="shared" si="3"/>
        <v>#N/A</v>
      </c>
      <c r="AB30" s="1349" t="e">
        <f t="shared" si="4"/>
        <v>#N/A</v>
      </c>
      <c r="AC30" s="1349"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3"/>
      <c r="M31" s="2714"/>
      <c r="N31" s="2714"/>
      <c r="O31" s="2768"/>
      <c r="P31" s="3748"/>
      <c r="Q31" s="1339" t="str">
        <f t="shared" si="11"/>
        <v>是否封闭</v>
      </c>
      <c r="R31" s="699" t="s">
        <v>14</v>
      </c>
      <c r="S31" s="700">
        <f t="shared" si="12"/>
        <v>100</v>
      </c>
      <c r="T31" s="699" t="s">
        <v>14</v>
      </c>
      <c r="U31" s="700">
        <f t="shared" si="13"/>
        <v>100</v>
      </c>
      <c r="V31" s="699" t="s">
        <v>14</v>
      </c>
      <c r="W31" s="700">
        <f t="shared" si="14"/>
        <v>100</v>
      </c>
      <c r="X31" s="701"/>
      <c r="Y31" s="3748"/>
      <c r="Z31" s="52" t="str">
        <f t="shared" si="15"/>
        <v>是否封闭</v>
      </c>
      <c r="AA31" s="702">
        <f t="shared" si="3"/>
        <v>1</v>
      </c>
      <c r="AB31" s="702">
        <f t="shared" si="4"/>
        <v>1</v>
      </c>
      <c r="AC31" s="702">
        <f t="shared" si="5"/>
        <v>1</v>
      </c>
    </row>
    <row r="32" spans="1:29" ht="15">
      <c r="A32" s="422"/>
      <c r="B32" s="1889">
        <v>111</v>
      </c>
      <c r="C32" s="382"/>
      <c r="D32" s="385">
        <v>100</v>
      </c>
      <c r="E32" s="419"/>
      <c r="F32" s="411">
        <f>SUMIF(91:91,E32,92:92)-SUMIF(91:91,C32,92:92)+100</f>
        <v>100</v>
      </c>
      <c r="G32" s="419"/>
      <c r="H32" s="385">
        <f>SUMIF(91:91,G32,92:92)-SUMIF(91:91,C32,92:92)+100</f>
        <v>100</v>
      </c>
      <c r="I32" s="419"/>
      <c r="J32" s="385">
        <f>SUMIF(91:91,I32,92:92)-SUMIF(91:91,C32,92:92)+100</f>
        <v>100</v>
      </c>
      <c r="K32" s="561"/>
      <c r="L32" s="2718"/>
      <c r="M32" s="2712"/>
      <c r="N32" s="2712"/>
      <c r="O32" s="2770"/>
      <c r="P32" s="3748" t="s">
        <v>1696</v>
      </c>
      <c r="Q32" s="1348">
        <f t="shared" si="11"/>
        <v>111</v>
      </c>
      <c r="R32" s="703" t="s">
        <v>14</v>
      </c>
      <c r="S32" s="704">
        <f t="shared" si="12"/>
        <v>100</v>
      </c>
      <c r="T32" s="703" t="s">
        <v>14</v>
      </c>
      <c r="U32" s="704">
        <f t="shared" si="13"/>
        <v>100</v>
      </c>
      <c r="V32" s="703" t="s">
        <v>14</v>
      </c>
      <c r="W32" s="704">
        <f t="shared" si="14"/>
        <v>100</v>
      </c>
      <c r="X32" s="1351"/>
      <c r="Y32" s="3748" t="s">
        <v>1696</v>
      </c>
      <c r="Z32" s="1352">
        <f t="shared" si="15"/>
        <v>111</v>
      </c>
      <c r="AA32" s="1349">
        <f t="shared" si="3"/>
        <v>1</v>
      </c>
      <c r="AB32" s="1349">
        <f t="shared" si="4"/>
        <v>1</v>
      </c>
      <c r="AC32" s="1349">
        <f t="shared" si="5"/>
        <v>1</v>
      </c>
    </row>
    <row r="33" spans="1:30" ht="15">
      <c r="A33" s="422"/>
      <c r="B33" s="1889">
        <v>111</v>
      </c>
      <c r="C33" s="382"/>
      <c r="D33" s="385">
        <v>100</v>
      </c>
      <c r="E33" s="419"/>
      <c r="F33" s="411">
        <f>SUMIF(93:93,E33,94:94)-SUMIF(93:93,C33,94:94)+100</f>
        <v>100</v>
      </c>
      <c r="G33" s="419"/>
      <c r="H33" s="385">
        <f>SUMIF(93:93,G33,94:94)-SUMIF(93:93,C33,94:94)+100</f>
        <v>100</v>
      </c>
      <c r="I33" s="419"/>
      <c r="J33" s="385">
        <f>SUMIF(93:93,I33,94:94)-SUMIF(93:93,C33,94:94)+100</f>
        <v>100</v>
      </c>
      <c r="K33" s="561"/>
      <c r="L33" s="2718"/>
      <c r="M33" s="2712"/>
      <c r="N33" s="2712"/>
      <c r="O33" s="2770"/>
      <c r="P33" s="3748"/>
      <c r="Q33" s="1348">
        <f t="shared" si="11"/>
        <v>111</v>
      </c>
      <c r="R33" s="703" t="s">
        <v>14</v>
      </c>
      <c r="S33" s="704">
        <f t="shared" si="12"/>
        <v>100</v>
      </c>
      <c r="T33" s="703" t="s">
        <v>14</v>
      </c>
      <c r="U33" s="704">
        <f t="shared" si="13"/>
        <v>100</v>
      </c>
      <c r="V33" s="703" t="s">
        <v>14</v>
      </c>
      <c r="W33" s="704">
        <f t="shared" si="14"/>
        <v>100</v>
      </c>
      <c r="X33" s="1351"/>
      <c r="Y33" s="3748"/>
      <c r="Z33" s="1352">
        <f t="shared" si="15"/>
        <v>111</v>
      </c>
      <c r="AA33" s="1349">
        <f t="shared" si="3"/>
        <v>1</v>
      </c>
      <c r="AB33" s="1349">
        <f t="shared" si="4"/>
        <v>1</v>
      </c>
      <c r="AC33" s="1349">
        <f t="shared" si="5"/>
        <v>1</v>
      </c>
    </row>
    <row r="34" spans="1:30" ht="15.6" thickBot="1">
      <c r="A34" s="428"/>
      <c r="B34" s="1891">
        <v>111</v>
      </c>
      <c r="C34" s="387"/>
      <c r="D34" s="388">
        <v>100</v>
      </c>
      <c r="E34" s="1971"/>
      <c r="F34" s="389">
        <f>SUMIF(95:95,E34,96:96)-SUMIF(95:95,C34,96:96)+100</f>
        <v>100</v>
      </c>
      <c r="G34" s="1971"/>
      <c r="H34" s="388">
        <f>SUMIF(95:95,G34,96:96)-SUMIF(95:95,C34,96:96)+100</f>
        <v>100</v>
      </c>
      <c r="I34" s="1971"/>
      <c r="J34" s="388">
        <f>SUMIF(95:95,I34,96:96)-SUMIF(95:95,C34,96:96)+100</f>
        <v>100</v>
      </c>
      <c r="K34" s="561"/>
      <c r="L34" s="2718"/>
      <c r="M34" s="2712"/>
      <c r="N34" s="2712"/>
      <c r="O34" s="2770"/>
      <c r="P34" s="3748"/>
      <c r="Q34" s="1348">
        <f t="shared" si="11"/>
        <v>111</v>
      </c>
      <c r="R34" s="703" t="s">
        <v>14</v>
      </c>
      <c r="S34" s="704">
        <f t="shared" si="12"/>
        <v>100</v>
      </c>
      <c r="T34" s="703" t="s">
        <v>14</v>
      </c>
      <c r="U34" s="704">
        <f t="shared" si="13"/>
        <v>100</v>
      </c>
      <c r="V34" s="703" t="s">
        <v>14</v>
      </c>
      <c r="W34" s="704">
        <f t="shared" si="14"/>
        <v>100</v>
      </c>
      <c r="X34" s="1351"/>
      <c r="Y34" s="3748"/>
      <c r="Z34" s="1352">
        <f t="shared" si="15"/>
        <v>111</v>
      </c>
      <c r="AA34" s="1349">
        <f t="shared" si="3"/>
        <v>1</v>
      </c>
      <c r="AB34" s="1349">
        <f t="shared" si="4"/>
        <v>1</v>
      </c>
      <c r="AC34" s="1349">
        <f t="shared" si="5"/>
        <v>1</v>
      </c>
    </row>
    <row r="35" spans="1:30" ht="14.4">
      <c r="A35" s="429" t="s">
        <v>1708</v>
      </c>
      <c r="B35" s="430"/>
      <c r="C35" s="1150" t="s">
        <v>0</v>
      </c>
      <c r="D35" s="1151"/>
      <c r="E35" s="1152"/>
      <c r="F35" s="1153"/>
      <c r="G35" s="1154"/>
      <c r="H35" s="1155"/>
      <c r="I35" s="1152"/>
      <c r="J35" s="1155"/>
      <c r="K35" s="712"/>
      <c r="L35" s="2720"/>
      <c r="M35" s="2721"/>
      <c r="N35" s="2712"/>
      <c r="O35" s="2721"/>
      <c r="P35" s="3741" t="str">
        <f>A35</f>
        <v>成交单价（元/平方米）</v>
      </c>
      <c r="Q35" s="3741"/>
      <c r="R35" s="3742">
        <f>E35</f>
        <v>0</v>
      </c>
      <c r="S35" s="3742"/>
      <c r="T35" s="3742">
        <f>G35</f>
        <v>0</v>
      </c>
      <c r="U35" s="3742"/>
      <c r="V35" s="3742">
        <f>I35</f>
        <v>0</v>
      </c>
      <c r="W35" s="3742"/>
      <c r="X35" s="688"/>
      <c r="Y35" s="710"/>
      <c r="Z35" s="688"/>
      <c r="AA35" s="688"/>
      <c r="AB35" s="688"/>
      <c r="AC35" s="688"/>
    </row>
    <row r="36" spans="1:30" ht="15" thickBot="1">
      <c r="A36" s="436" t="s">
        <v>1793</v>
      </c>
      <c r="B36" s="437"/>
      <c r="C36" s="1156" t="e">
        <f>R37</f>
        <v>#DIV/0!</v>
      </c>
      <c r="D36" s="2313" t="s">
        <v>2138</v>
      </c>
      <c r="E36" s="1157" t="e">
        <f>R36</f>
        <v>#DIV/0!</v>
      </c>
      <c r="F36" s="2314"/>
      <c r="G36" s="1156" t="e">
        <f>T36</f>
        <v>#DIV/0!</v>
      </c>
      <c r="H36" s="2314"/>
      <c r="I36" s="1157" t="e">
        <f>V36</f>
        <v>#DIV/0!</v>
      </c>
      <c r="J36" s="2314"/>
      <c r="K36" s="2316">
        <f>F36+H36+J36</f>
        <v>0</v>
      </c>
      <c r="L36" s="2720"/>
      <c r="M36" s="2721"/>
      <c r="N36" s="2712"/>
      <c r="O36" s="2721"/>
      <c r="P36" s="3741" t="str">
        <f>A36</f>
        <v>比较价值（元/平方米）</v>
      </c>
      <c r="Q36" s="3741"/>
      <c r="R36" s="3742" t="e">
        <f>IF(F1="售价",ROUND(PRODUCT(R35,AA7:AA34),0),ROUND(PRODUCT(R35,AA7:AA34),1))</f>
        <v>#DIV/0!</v>
      </c>
      <c r="S36" s="3742"/>
      <c r="T36" s="3742" t="e">
        <f>IF(F1="售价",ROUND(PRODUCT(T35,AB7:AB34),0),ROUND(PRODUCT(T35,AB7:AB34),1))</f>
        <v>#DIV/0!</v>
      </c>
      <c r="U36" s="3742"/>
      <c r="V36" s="3742" t="e">
        <f>IF(F1="售价",ROUND(PRODUCT(V35,AC7:AC34),0),ROUND(PRODUCT(V35,AC7:AC34),1))</f>
        <v>#DIV/0!</v>
      </c>
      <c r="W36" s="3742"/>
      <c r="X36" s="688"/>
      <c r="Y36" s="688"/>
      <c r="Z36" s="688"/>
      <c r="AA36" s="688"/>
      <c r="AB36" s="688"/>
      <c r="AC36" s="688"/>
    </row>
    <row r="37" spans="1:30" ht="15" thickBot="1">
      <c r="A37" s="440" t="s">
        <v>1794</v>
      </c>
      <c r="B37" s="441"/>
      <c r="C37" s="1159" t="e">
        <f>R37</f>
        <v>#DIV/0!</v>
      </c>
      <c r="D37" s="1159"/>
      <c r="E37" s="1159"/>
      <c r="F37" s="1159"/>
      <c r="G37" s="1159"/>
      <c r="H37" s="1159"/>
      <c r="I37" s="1159"/>
      <c r="J37" s="1159"/>
      <c r="K37" s="713"/>
      <c r="L37" s="2720"/>
      <c r="M37" s="2721"/>
      <c r="N37" s="2721"/>
      <c r="O37" s="2721"/>
      <c r="P37" s="3738" t="str">
        <f>A37</f>
        <v>估价对象XX用房的比较价值（楼面单价，元/平方米）</v>
      </c>
      <c r="Q37" s="3739"/>
      <c r="R37" s="3768" t="e">
        <f>IF(F1="售价",ROUND(IF(D36="简单平均",AVERAGE(R36:W36),R36*F36+T36*H36+V36*J36),0),ROUND(IF(D36="简单平均",AVERAGE(R36:V36),R36*F36+T36*H36+V36*J36),1))</f>
        <v>#DIV/0!</v>
      </c>
      <c r="S37" s="3768"/>
      <c r="T37" s="3768"/>
      <c r="U37" s="3768"/>
      <c r="V37" s="3768"/>
      <c r="W37" s="3768"/>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0" customFormat="1" ht="13.5" customHeight="1">
      <c r="A42" s="2724"/>
      <c r="B42" s="2724"/>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0"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2.2"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6" customFormat="1" ht="14.4">
      <c r="A46" s="453" t="s">
        <v>1679</v>
      </c>
      <c r="B46" s="454"/>
      <c r="C46" s="1180" t="str">
        <f>YEAR(C7)&amp;"-"&amp;MONTH(C7)</f>
        <v>2023-3</v>
      </c>
      <c r="D46" s="1181">
        <f>EDATE(C46,-1)</f>
        <v>44958</v>
      </c>
      <c r="E46" s="1181">
        <f t="shared" ref="E46:O46" si="16">EDATE(D46,-1)</f>
        <v>44927</v>
      </c>
      <c r="F46" s="1181">
        <f t="shared" si="16"/>
        <v>44896</v>
      </c>
      <c r="G46" s="1181">
        <f t="shared" si="16"/>
        <v>44866</v>
      </c>
      <c r="H46" s="1181">
        <f t="shared" si="16"/>
        <v>44835</v>
      </c>
      <c r="I46" s="1181">
        <f t="shared" si="16"/>
        <v>44805</v>
      </c>
      <c r="J46" s="1181">
        <f t="shared" si="16"/>
        <v>44774</v>
      </c>
      <c r="K46" s="1181">
        <f t="shared" si="16"/>
        <v>44743</v>
      </c>
      <c r="L46" s="1181">
        <f t="shared" si="16"/>
        <v>44713</v>
      </c>
      <c r="M46" s="1181">
        <f t="shared" si="16"/>
        <v>44682</v>
      </c>
      <c r="N46" s="1181">
        <f t="shared" si="16"/>
        <v>44652</v>
      </c>
      <c r="O46" s="1181">
        <f t="shared" si="16"/>
        <v>44621</v>
      </c>
      <c r="P46" s="2772"/>
      <c r="Q46" s="2737"/>
      <c r="R46" s="2737"/>
      <c r="S46" s="2737"/>
      <c r="T46" s="2737"/>
      <c r="U46" s="2737"/>
      <c r="V46" s="2737"/>
      <c r="W46" s="2737"/>
      <c r="X46" s="2737"/>
      <c r="Y46" s="2737"/>
      <c r="Z46" s="2737"/>
      <c r="AA46" s="2737"/>
      <c r="AB46" s="2737"/>
      <c r="AC46" s="2737"/>
      <c r="AD46" s="2737"/>
    </row>
    <row r="47" spans="1:30" s="108" customFormat="1">
      <c r="A47" s="457"/>
      <c r="B47" s="458"/>
      <c r="C47" s="1179">
        <v>100</v>
      </c>
      <c r="D47" s="460"/>
      <c r="E47" s="460"/>
      <c r="F47" s="460"/>
      <c r="G47" s="460"/>
      <c r="H47" s="460"/>
      <c r="I47" s="460"/>
      <c r="J47" s="460"/>
      <c r="K47" s="460"/>
      <c r="L47" s="460"/>
      <c r="M47" s="461"/>
      <c r="N47" s="460"/>
      <c r="O47" s="462"/>
      <c r="P47" s="2735"/>
      <c r="Q47" s="2657"/>
      <c r="R47" s="2657"/>
      <c r="S47" s="2657"/>
      <c r="T47" s="2657"/>
      <c r="U47" s="2657"/>
      <c r="V47" s="2657"/>
      <c r="W47" s="2657"/>
      <c r="X47" s="2657"/>
      <c r="Y47" s="2657"/>
      <c r="Z47" s="2657"/>
      <c r="AA47" s="2657"/>
      <c r="AB47" s="2657"/>
      <c r="AC47" s="2657"/>
      <c r="AD47" s="2657"/>
    </row>
    <row r="48" spans="1:30" s="108" customFormat="1" ht="15" thickBot="1">
      <c r="A48" s="463" t="s">
        <v>1716</v>
      </c>
      <c r="B48" s="464"/>
      <c r="C48" s="465"/>
      <c r="D48" s="466"/>
      <c r="E48" s="466"/>
      <c r="F48" s="466"/>
      <c r="G48" s="466"/>
      <c r="H48" s="466"/>
      <c r="I48" s="466"/>
      <c r="J48" s="466"/>
      <c r="K48" s="466"/>
      <c r="L48" s="466"/>
      <c r="M48" s="467"/>
      <c r="N48" s="466"/>
      <c r="O48" s="468"/>
      <c r="P48" s="2735"/>
      <c r="Q48" s="2735"/>
      <c r="R48" s="2657"/>
      <c r="S48" s="2657"/>
      <c r="T48" s="2657"/>
      <c r="U48" s="2657"/>
      <c r="V48" s="2657"/>
      <c r="W48" s="2657"/>
      <c r="X48" s="2657"/>
      <c r="Y48" s="2657"/>
      <c r="Z48" s="2657"/>
      <c r="AA48" s="2657"/>
      <c r="AB48" s="2657"/>
      <c r="AC48" s="2657"/>
      <c r="AD48" s="2657"/>
    </row>
    <row r="49" spans="1:30" s="108" customFormat="1" ht="14.4">
      <c r="A49" s="469" t="s">
        <v>1681</v>
      </c>
      <c r="B49" s="458"/>
      <c r="C49" s="470" t="s">
        <v>1776</v>
      </c>
      <c r="D49" s="471"/>
      <c r="E49" s="471"/>
      <c r="F49" s="471"/>
      <c r="G49" s="471"/>
      <c r="H49" s="471"/>
      <c r="I49" s="471"/>
      <c r="J49" s="471"/>
      <c r="K49" s="471"/>
      <c r="L49" s="472"/>
      <c r="M49" s="473"/>
      <c r="N49" s="2748"/>
      <c r="O49" s="2748"/>
      <c r="P49" s="2773"/>
      <c r="Q49" s="2735"/>
      <c r="R49" s="2657"/>
      <c r="S49" s="2657"/>
      <c r="T49" s="2657"/>
      <c r="U49" s="2657"/>
      <c r="V49" s="2657"/>
      <c r="W49" s="2657"/>
      <c r="X49" s="2657"/>
      <c r="Y49" s="2657"/>
      <c r="Z49" s="2657"/>
      <c r="AA49" s="2657"/>
      <c r="AB49" s="2657"/>
      <c r="AC49" s="2657"/>
      <c r="AD49" s="2657"/>
    </row>
    <row r="50" spans="1:30" s="108" customFormat="1" ht="14.4" thickBot="1">
      <c r="A50" s="469"/>
      <c r="B50" s="458"/>
      <c r="C50" s="586">
        <v>100</v>
      </c>
      <c r="D50" s="460"/>
      <c r="E50" s="460"/>
      <c r="F50" s="460"/>
      <c r="G50" s="460"/>
      <c r="H50" s="460"/>
      <c r="I50" s="460"/>
      <c r="J50" s="460"/>
      <c r="K50" s="460"/>
      <c r="L50" s="460"/>
      <c r="M50" s="462"/>
      <c r="N50" s="2748"/>
      <c r="O50" s="2748"/>
      <c r="P50" s="2735"/>
      <c r="Q50" s="2735"/>
      <c r="R50" s="2657"/>
      <c r="S50" s="2657"/>
      <c r="T50" s="2657"/>
      <c r="U50" s="2657"/>
      <c r="V50" s="2657"/>
      <c r="W50" s="2657"/>
      <c r="X50" s="2657"/>
      <c r="Y50" s="2657"/>
      <c r="Z50" s="2657"/>
      <c r="AA50" s="2657"/>
      <c r="AB50" s="2657"/>
      <c r="AC50" s="2657"/>
      <c r="AD50" s="2657"/>
    </row>
    <row r="51" spans="1:30" ht="14.4">
      <c r="A51" s="475" t="s">
        <v>1719</v>
      </c>
      <c r="B51" s="476" t="s">
        <v>1685</v>
      </c>
      <c r="C51" s="477">
        <f>C9</f>
        <v>0</v>
      </c>
      <c r="D51" s="478"/>
      <c r="E51" s="478"/>
      <c r="F51" s="478"/>
      <c r="G51" s="478"/>
      <c r="H51" s="478"/>
      <c r="I51" s="478"/>
      <c r="J51" s="478"/>
      <c r="K51" s="479"/>
      <c r="L51" s="480"/>
      <c r="M51" s="481"/>
      <c r="N51" s="2749"/>
      <c r="O51" s="2749"/>
      <c r="P51" s="2774"/>
      <c r="Q51" s="2735"/>
      <c r="R51" s="2721"/>
      <c r="S51" s="2721"/>
      <c r="T51" s="2721"/>
      <c r="U51" s="2721"/>
      <c r="V51" s="2721"/>
      <c r="W51" s="2721"/>
      <c r="X51" s="2721"/>
      <c r="Y51" s="2721"/>
      <c r="Z51" s="2721"/>
      <c r="AA51" s="2721"/>
      <c r="AB51" s="2721"/>
      <c r="AC51" s="2721"/>
      <c r="AD51" s="2721"/>
    </row>
    <row r="52" spans="1:30" ht="14.4" thickBot="1">
      <c r="A52" s="482"/>
      <c r="B52" s="483"/>
      <c r="C52" s="484">
        <v>100</v>
      </c>
      <c r="D52" s="484"/>
      <c r="E52" s="484"/>
      <c r="F52" s="484"/>
      <c r="G52" s="484"/>
      <c r="H52" s="484"/>
      <c r="I52" s="484"/>
      <c r="J52" s="484"/>
      <c r="K52" s="484"/>
      <c r="L52" s="484"/>
      <c r="M52" s="485"/>
      <c r="N52" s="2750"/>
      <c r="O52" s="2750"/>
      <c r="P52" s="2774"/>
      <c r="Q52" s="2735"/>
      <c r="R52" s="2721"/>
      <c r="S52" s="2721"/>
      <c r="T52" s="2721"/>
      <c r="U52" s="2721"/>
      <c r="V52" s="2721"/>
      <c r="W52" s="2721"/>
      <c r="X52" s="2721"/>
      <c r="Y52" s="2721"/>
      <c r="Z52" s="2721"/>
      <c r="AA52" s="2721"/>
      <c r="AB52" s="2721"/>
      <c r="AC52" s="2721"/>
      <c r="AD52" s="2721"/>
    </row>
    <row r="53" spans="1:30" ht="29.4" thickTop="1">
      <c r="A53" s="482"/>
      <c r="B53" s="486" t="s">
        <v>1688</v>
      </c>
      <c r="C53" s="531"/>
      <c r="D53" s="531"/>
      <c r="E53" s="531"/>
      <c r="F53" s="531"/>
      <c r="G53" s="531"/>
      <c r="H53" s="531"/>
      <c r="I53" s="531"/>
      <c r="J53" s="531"/>
      <c r="K53" s="532"/>
      <c r="L53" s="533"/>
      <c r="M53" s="534"/>
      <c r="N53" s="2749"/>
      <c r="O53" s="2749"/>
      <c r="P53" s="2774"/>
      <c r="Q53" s="2735"/>
      <c r="R53" s="2721"/>
      <c r="S53" s="2721"/>
      <c r="T53" s="2721"/>
      <c r="U53" s="2721"/>
      <c r="V53" s="2721"/>
      <c r="W53" s="2721"/>
      <c r="X53" s="2721"/>
      <c r="Y53" s="2721"/>
      <c r="Z53" s="2721"/>
      <c r="AA53" s="2721"/>
      <c r="AB53" s="2721"/>
      <c r="AC53" s="2721"/>
      <c r="AD53" s="2721"/>
    </row>
    <row r="54" spans="1:30" ht="14.4" thickBot="1">
      <c r="A54" s="482"/>
      <c r="B54" s="491"/>
      <c r="C54" s="484"/>
      <c r="D54" s="484"/>
      <c r="E54" s="484"/>
      <c r="F54" s="484"/>
      <c r="G54" s="484"/>
      <c r="H54" s="484"/>
      <c r="I54" s="484"/>
      <c r="J54" s="484"/>
      <c r="K54" s="484"/>
      <c r="L54" s="484"/>
      <c r="M54" s="485"/>
      <c r="N54" s="2750"/>
      <c r="O54" s="2750"/>
      <c r="P54" s="2774"/>
      <c r="Q54" s="2735"/>
      <c r="R54" s="2721"/>
      <c r="S54" s="2721"/>
      <c r="T54" s="2721"/>
      <c r="U54" s="2721"/>
      <c r="V54" s="2721"/>
      <c r="W54" s="2721"/>
      <c r="X54" s="2721"/>
      <c r="Y54" s="2721"/>
      <c r="Z54" s="2721"/>
      <c r="AA54" s="2721"/>
      <c r="AB54" s="2721"/>
      <c r="AC54" s="2721"/>
      <c r="AD54" s="2721"/>
    </row>
    <row r="55" spans="1:30" ht="14.4" thickTop="1">
      <c r="A55" s="482"/>
      <c r="B55" s="607">
        <f>B11</f>
        <v>111</v>
      </c>
      <c r="C55" s="497"/>
      <c r="D55" s="497"/>
      <c r="E55" s="497"/>
      <c r="F55" s="497"/>
      <c r="G55" s="497"/>
      <c r="H55" s="497"/>
      <c r="I55" s="497"/>
      <c r="J55" s="497"/>
      <c r="K55" s="498"/>
      <c r="L55" s="499"/>
      <c r="M55" s="500"/>
      <c r="N55" s="2749"/>
      <c r="O55" s="2749"/>
      <c r="P55" s="2774"/>
      <c r="Q55" s="2735"/>
      <c r="R55" s="2721"/>
      <c r="S55" s="2721"/>
      <c r="T55" s="2721"/>
      <c r="U55" s="2721"/>
      <c r="V55" s="2721"/>
      <c r="W55" s="2721"/>
      <c r="X55" s="2721"/>
      <c r="Y55" s="2721"/>
      <c r="Z55" s="2721"/>
      <c r="AA55" s="2721"/>
      <c r="AB55" s="2721"/>
      <c r="AC55" s="2721"/>
      <c r="AD55" s="2721"/>
    </row>
    <row r="56" spans="1:30" ht="14.4" thickBot="1">
      <c r="A56" s="482"/>
      <c r="B56" s="483"/>
      <c r="C56" s="508"/>
      <c r="D56" s="484"/>
      <c r="E56" s="484"/>
      <c r="F56" s="484"/>
      <c r="G56" s="484"/>
      <c r="H56" s="484"/>
      <c r="I56" s="484"/>
      <c r="J56" s="484"/>
      <c r="K56" s="484"/>
      <c r="L56" s="484"/>
      <c r="M56" s="485"/>
      <c r="N56" s="2750"/>
      <c r="O56" s="2750"/>
      <c r="P56" s="2774"/>
      <c r="Q56" s="2735"/>
      <c r="R56" s="2721"/>
      <c r="S56" s="2721"/>
      <c r="T56" s="2721"/>
      <c r="U56" s="2721"/>
      <c r="V56" s="2721"/>
      <c r="W56" s="2721"/>
      <c r="X56" s="2721"/>
      <c r="Y56" s="2721"/>
      <c r="Z56" s="2721"/>
      <c r="AA56" s="2721"/>
      <c r="AB56" s="2721"/>
      <c r="AC56" s="2721"/>
      <c r="AD56" s="2721"/>
    </row>
    <row r="57" spans="1:30" s="421" customFormat="1" ht="14.4" thickTop="1">
      <c r="A57" s="501"/>
      <c r="B57" s="486">
        <f>B12</f>
        <v>111</v>
      </c>
      <c r="C57" s="497"/>
      <c r="D57" s="497"/>
      <c r="E57" s="497"/>
      <c r="F57" s="497"/>
      <c r="G57" s="502"/>
      <c r="H57" s="503"/>
      <c r="I57" s="503"/>
      <c r="J57" s="503"/>
      <c r="K57" s="503"/>
      <c r="L57" s="504"/>
      <c r="M57" s="505"/>
      <c r="N57" s="2751"/>
      <c r="O57" s="2751"/>
      <c r="P57" s="2775"/>
      <c r="Q57" s="2742"/>
      <c r="R57" s="2743"/>
      <c r="S57" s="2743"/>
      <c r="T57" s="2743"/>
      <c r="U57" s="2743"/>
      <c r="V57" s="2743"/>
      <c r="W57" s="2743"/>
      <c r="X57" s="2743"/>
      <c r="Y57" s="2743"/>
      <c r="Z57" s="2743"/>
      <c r="AA57" s="2743"/>
      <c r="AB57" s="2743"/>
      <c r="AC57" s="2743"/>
      <c r="AD57" s="2743"/>
    </row>
    <row r="58" spans="1:30" s="421" customFormat="1" ht="14.4" thickBot="1">
      <c r="A58" s="501"/>
      <c r="B58" s="491"/>
      <c r="C58" s="508"/>
      <c r="D58" s="484"/>
      <c r="E58" s="484"/>
      <c r="F58" s="484"/>
      <c r="G58" s="484"/>
      <c r="H58" s="484"/>
      <c r="I58" s="484"/>
      <c r="J58" s="484"/>
      <c r="K58" s="484"/>
      <c r="L58" s="484"/>
      <c r="M58" s="485"/>
      <c r="N58" s="2750"/>
      <c r="O58" s="2750"/>
      <c r="P58" s="2775"/>
      <c r="Q58" s="2742"/>
      <c r="R58" s="2743"/>
      <c r="S58" s="2743"/>
      <c r="T58" s="2743"/>
      <c r="U58" s="2743"/>
      <c r="V58" s="2743"/>
      <c r="W58" s="2743"/>
      <c r="X58" s="2743"/>
      <c r="Y58" s="2743"/>
      <c r="Z58" s="2743"/>
      <c r="AA58" s="2743"/>
      <c r="AB58" s="2743"/>
      <c r="AC58" s="2743"/>
      <c r="AD58" s="2743"/>
    </row>
    <row r="59" spans="1:30" s="421" customFormat="1" ht="14.4" thickTop="1">
      <c r="A59" s="501"/>
      <c r="B59" s="486">
        <f>B13</f>
        <v>111</v>
      </c>
      <c r="C59" s="497"/>
      <c r="D59" s="497"/>
      <c r="E59" s="497"/>
      <c r="F59" s="497"/>
      <c r="G59" s="502"/>
      <c r="H59" s="503"/>
      <c r="I59" s="503"/>
      <c r="J59" s="503"/>
      <c r="K59" s="503"/>
      <c r="L59" s="504"/>
      <c r="M59" s="505"/>
      <c r="N59" s="2751"/>
      <c r="O59" s="2751"/>
      <c r="P59" s="2719"/>
      <c r="Q59" s="2745"/>
      <c r="R59" s="2743"/>
      <c r="S59" s="2743"/>
      <c r="T59" s="2743"/>
      <c r="U59" s="2743"/>
      <c r="V59" s="2743"/>
      <c r="W59" s="2743"/>
      <c r="X59" s="2743"/>
      <c r="Y59" s="2743"/>
      <c r="Z59" s="2743"/>
      <c r="AA59" s="2743"/>
      <c r="AB59" s="2743"/>
      <c r="AC59" s="2743"/>
      <c r="AD59" s="2743"/>
    </row>
    <row r="60" spans="1:30" s="421" customFormat="1" ht="14.4" thickBot="1">
      <c r="A60" s="501"/>
      <c r="B60" s="491"/>
      <c r="C60" s="508"/>
      <c r="D60" s="508"/>
      <c r="E60" s="508"/>
      <c r="F60" s="508"/>
      <c r="G60" s="508"/>
      <c r="H60" s="510"/>
      <c r="I60" s="510"/>
      <c r="J60" s="510"/>
      <c r="K60" s="510"/>
      <c r="L60" s="510"/>
      <c r="M60" s="511"/>
      <c r="N60" s="2751"/>
      <c r="O60" s="2751"/>
      <c r="P60" s="2775"/>
      <c r="Q60" s="2742"/>
      <c r="R60" s="2743"/>
      <c r="S60" s="2743"/>
      <c r="T60" s="2743"/>
      <c r="U60" s="2743"/>
      <c r="V60" s="2743"/>
      <c r="W60" s="2743"/>
      <c r="X60" s="2743"/>
      <c r="Y60" s="2743"/>
      <c r="Z60" s="2743"/>
      <c r="AA60" s="2743"/>
      <c r="AB60" s="2743"/>
      <c r="AC60" s="2743"/>
      <c r="AD60" s="2743"/>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9"/>
      <c r="O61" s="2749"/>
      <c r="P61" s="2776"/>
      <c r="Q61" s="2735"/>
      <c r="R61" s="2721"/>
      <c r="S61" s="2721"/>
      <c r="T61" s="2721"/>
      <c r="U61" s="2721"/>
      <c r="V61" s="2721"/>
      <c r="W61" s="2721"/>
      <c r="X61" s="2721"/>
      <c r="Y61" s="2721"/>
      <c r="Z61" s="2721"/>
      <c r="AA61" s="2721"/>
      <c r="AB61" s="2721"/>
      <c r="AC61" s="2721"/>
      <c r="AD61" s="2721"/>
    </row>
    <row r="62" spans="1:30" ht="14.4" thickBot="1">
      <c r="A62" s="482"/>
      <c r="B62" s="491"/>
      <c r="C62" s="492">
        <v>100</v>
      </c>
      <c r="D62" s="492">
        <f>C62-$K14</f>
        <v>100</v>
      </c>
      <c r="E62" s="492">
        <f>D62-$K14</f>
        <v>100</v>
      </c>
      <c r="F62" s="492">
        <f>E62-$K14</f>
        <v>100</v>
      </c>
      <c r="G62" s="492">
        <f>F62-$K14</f>
        <v>100</v>
      </c>
      <c r="H62" s="492"/>
      <c r="I62" s="492"/>
      <c r="J62" s="492"/>
      <c r="K62" s="492"/>
      <c r="L62" s="492"/>
      <c r="M62" s="493"/>
      <c r="N62" s="2750"/>
      <c r="O62" s="2750"/>
      <c r="P62" s="2774"/>
      <c r="Q62" s="2735"/>
      <c r="R62" s="2721"/>
      <c r="S62" s="2721"/>
      <c r="T62" s="2721"/>
      <c r="U62" s="2721"/>
      <c r="V62" s="2721"/>
      <c r="W62" s="2721"/>
      <c r="X62" s="2721"/>
      <c r="Y62" s="2721"/>
      <c r="Z62" s="2721"/>
      <c r="AA62" s="2721"/>
      <c r="AB62" s="2721"/>
      <c r="AC62" s="2721"/>
      <c r="AD62" s="2721"/>
    </row>
    <row r="63" spans="1:30" ht="29.4" thickTop="1">
      <c r="A63" s="482"/>
      <c r="B63" s="486" t="s">
        <v>1863</v>
      </c>
      <c r="C63" s="526" t="s">
        <v>1721</v>
      </c>
      <c r="D63" s="526" t="s">
        <v>1722</v>
      </c>
      <c r="E63" s="526" t="s">
        <v>1723</v>
      </c>
      <c r="F63" s="526" t="s">
        <v>1724</v>
      </c>
      <c r="G63" s="526" t="s">
        <v>1725</v>
      </c>
      <c r="H63" s="487"/>
      <c r="I63" s="487"/>
      <c r="J63" s="487"/>
      <c r="K63" s="488"/>
      <c r="L63" s="489"/>
      <c r="M63" s="490"/>
      <c r="N63" s="2749"/>
      <c r="O63" s="2749"/>
      <c r="P63" s="2774"/>
      <c r="Q63" s="2735"/>
      <c r="R63" s="2721"/>
      <c r="S63" s="2721"/>
      <c r="T63" s="2721"/>
      <c r="U63" s="2721"/>
      <c r="V63" s="2721"/>
      <c r="W63" s="2721"/>
      <c r="X63" s="2721"/>
      <c r="Y63" s="2721"/>
      <c r="Z63" s="2721"/>
      <c r="AA63" s="2721"/>
      <c r="AB63" s="2721"/>
      <c r="AC63" s="2721"/>
      <c r="AD63" s="2721"/>
    </row>
    <row r="64" spans="1:30" ht="14.4" thickBot="1">
      <c r="A64" s="482"/>
      <c r="B64" s="491"/>
      <c r="C64" s="492">
        <v>100</v>
      </c>
      <c r="D64" s="492">
        <f>C64-$K16</f>
        <v>100</v>
      </c>
      <c r="E64" s="492">
        <f>D64-$K16</f>
        <v>100</v>
      </c>
      <c r="F64" s="492">
        <f>E64-$K16</f>
        <v>100</v>
      </c>
      <c r="G64" s="492">
        <f>F64-$K16</f>
        <v>100</v>
      </c>
      <c r="H64" s="492"/>
      <c r="I64" s="492"/>
      <c r="J64" s="492"/>
      <c r="K64" s="492"/>
      <c r="L64" s="492"/>
      <c r="M64" s="493"/>
      <c r="N64" s="2750"/>
      <c r="O64" s="2750"/>
      <c r="P64" s="2774"/>
      <c r="Q64" s="2735"/>
      <c r="R64" s="2721"/>
      <c r="S64" s="2721"/>
      <c r="T64" s="2721"/>
      <c r="U64" s="2721"/>
      <c r="V64" s="2721"/>
      <c r="W64" s="2721"/>
      <c r="X64" s="2721"/>
      <c r="Y64" s="2721"/>
      <c r="Z64" s="2721"/>
      <c r="AA64" s="2721"/>
      <c r="AB64" s="2721"/>
      <c r="AC64" s="2721"/>
      <c r="AD64" s="2721"/>
    </row>
    <row r="65" spans="1:30" ht="15" thickTop="1">
      <c r="A65" s="482"/>
      <c r="B65" s="494" t="s">
        <v>1813</v>
      </c>
      <c r="C65" s="607" t="s">
        <v>1799</v>
      </c>
      <c r="D65" s="607" t="s">
        <v>1800</v>
      </c>
      <c r="E65" s="607" t="s">
        <v>1801</v>
      </c>
      <c r="F65" s="607" t="s">
        <v>1802</v>
      </c>
      <c r="G65" s="607" t="s">
        <v>1803</v>
      </c>
      <c r="H65" s="487"/>
      <c r="I65" s="487"/>
      <c r="J65" s="487"/>
      <c r="K65" s="487"/>
      <c r="L65" s="487"/>
      <c r="M65" s="1125"/>
      <c r="N65" s="2750"/>
      <c r="O65" s="2750"/>
      <c r="P65" s="2774"/>
      <c r="Q65" s="2735"/>
      <c r="R65" s="2721"/>
      <c r="S65" s="2721"/>
      <c r="T65" s="2721"/>
      <c r="U65" s="2721"/>
      <c r="V65" s="2721"/>
      <c r="W65" s="2721"/>
      <c r="X65" s="2721"/>
      <c r="Y65" s="2721"/>
      <c r="Z65" s="2721"/>
      <c r="AA65" s="2721"/>
      <c r="AB65" s="2721"/>
      <c r="AC65" s="2721"/>
      <c r="AD65" s="2721"/>
    </row>
    <row r="66" spans="1:30" ht="14.4" thickBot="1">
      <c r="A66" s="482"/>
      <c r="B66" s="494"/>
      <c r="C66" s="492">
        <v>100</v>
      </c>
      <c r="D66" s="492">
        <f>C66-$K18</f>
        <v>100</v>
      </c>
      <c r="E66" s="492">
        <f>D66-$K18</f>
        <v>100</v>
      </c>
      <c r="F66" s="492">
        <f>E66-$K18</f>
        <v>100</v>
      </c>
      <c r="G66" s="492">
        <f>F66-$K18</f>
        <v>100</v>
      </c>
      <c r="H66" s="607"/>
      <c r="I66" s="607"/>
      <c r="J66" s="607"/>
      <c r="K66" s="607"/>
      <c r="L66" s="607"/>
      <c r="M66" s="400"/>
      <c r="N66" s="2750"/>
      <c r="O66" s="2750"/>
      <c r="P66" s="2774"/>
      <c r="Q66" s="2735"/>
      <c r="R66" s="2721"/>
      <c r="S66" s="2721"/>
      <c r="T66" s="2721"/>
      <c r="U66" s="2721"/>
      <c r="V66" s="2721"/>
      <c r="W66" s="2721"/>
      <c r="X66" s="2721"/>
      <c r="Y66" s="2721"/>
      <c r="Z66" s="2721"/>
      <c r="AA66" s="2721"/>
      <c r="AB66" s="2721"/>
      <c r="AC66" s="2721"/>
      <c r="AD66" s="2721"/>
    </row>
    <row r="67" spans="1:30" ht="15" thickTop="1">
      <c r="A67" s="482"/>
      <c r="B67" s="486" t="s">
        <v>1733</v>
      </c>
      <c r="C67" s="526" t="s">
        <v>1721</v>
      </c>
      <c r="D67" s="526" t="s">
        <v>1722</v>
      </c>
      <c r="E67" s="526" t="s">
        <v>1723</v>
      </c>
      <c r="F67" s="526" t="s">
        <v>1724</v>
      </c>
      <c r="G67" s="526" t="s">
        <v>1725</v>
      </c>
      <c r="H67" s="487"/>
      <c r="I67" s="487"/>
      <c r="J67" s="487"/>
      <c r="K67" s="488"/>
      <c r="L67" s="489"/>
      <c r="M67" s="490"/>
      <c r="N67" s="2749"/>
      <c r="O67" s="2749"/>
      <c r="P67" s="2774"/>
      <c r="Q67" s="2735"/>
      <c r="R67" s="2721"/>
      <c r="S67" s="2721"/>
      <c r="T67" s="2721"/>
      <c r="U67" s="2721"/>
      <c r="V67" s="2721"/>
      <c r="W67" s="2721"/>
      <c r="X67" s="2721"/>
      <c r="Y67" s="2721"/>
      <c r="Z67" s="2721"/>
      <c r="AA67" s="2721"/>
      <c r="AB67" s="2721"/>
      <c r="AC67" s="2721"/>
      <c r="AD67" s="2721"/>
    </row>
    <row r="68" spans="1:30" ht="14.4" thickBot="1">
      <c r="A68" s="482"/>
      <c r="B68" s="491"/>
      <c r="C68" s="492">
        <v>100</v>
      </c>
      <c r="D68" s="492">
        <f>C68-$K20</f>
        <v>100</v>
      </c>
      <c r="E68" s="492">
        <f>D68-$K20</f>
        <v>100</v>
      </c>
      <c r="F68" s="492">
        <f>E68-$K20</f>
        <v>100</v>
      </c>
      <c r="G68" s="492">
        <f>F68-$K20</f>
        <v>100</v>
      </c>
      <c r="H68" s="492"/>
      <c r="I68" s="492"/>
      <c r="J68" s="492"/>
      <c r="K68" s="492"/>
      <c r="L68" s="492"/>
      <c r="M68" s="493"/>
      <c r="N68" s="2750"/>
      <c r="O68" s="2750"/>
      <c r="P68" s="2774"/>
      <c r="Q68" s="2735"/>
      <c r="R68" s="2721"/>
      <c r="S68" s="2721"/>
      <c r="T68" s="2721"/>
      <c r="U68" s="2721"/>
      <c r="V68" s="2721"/>
      <c r="W68" s="2721"/>
      <c r="X68" s="2721"/>
      <c r="Y68" s="2721"/>
      <c r="Z68" s="2721"/>
      <c r="AA68" s="2721"/>
      <c r="AB68" s="2721"/>
      <c r="AC68" s="2721"/>
      <c r="AD68" s="2721"/>
    </row>
    <row r="69" spans="1:30" ht="15" thickTop="1">
      <c r="A69" s="482"/>
      <c r="B69" s="486" t="s">
        <v>1852</v>
      </c>
      <c r="C69" s="502"/>
      <c r="D69" s="502"/>
      <c r="E69" s="502"/>
      <c r="F69" s="502"/>
      <c r="G69" s="502"/>
      <c r="H69" s="531"/>
      <c r="I69" s="531"/>
      <c r="J69" s="531"/>
      <c r="K69" s="532"/>
      <c r="L69" s="533"/>
      <c r="M69" s="534"/>
      <c r="N69" s="2749"/>
      <c r="O69" s="2749"/>
      <c r="P69" s="2774"/>
      <c r="Q69" s="2735"/>
      <c r="R69" s="2721"/>
      <c r="S69" s="2721"/>
      <c r="T69" s="2721"/>
      <c r="U69" s="2721"/>
      <c r="V69" s="2721"/>
      <c r="W69" s="2721"/>
      <c r="X69" s="2721"/>
      <c r="Y69" s="2721"/>
      <c r="Z69" s="2721"/>
      <c r="AA69" s="2721"/>
      <c r="AB69" s="2721"/>
      <c r="AC69" s="2721"/>
      <c r="AD69" s="2721"/>
    </row>
    <row r="70" spans="1:30" ht="14.4" thickBot="1">
      <c r="A70" s="482"/>
      <c r="B70" s="491"/>
      <c r="C70" s="492">
        <v>100</v>
      </c>
      <c r="D70" s="492">
        <f>C70-$K22</f>
        <v>100</v>
      </c>
      <c r="E70" s="492"/>
      <c r="F70" s="492"/>
      <c r="G70" s="492"/>
      <c r="H70" s="492"/>
      <c r="I70" s="492"/>
      <c r="J70" s="492"/>
      <c r="K70" s="492"/>
      <c r="L70" s="492"/>
      <c r="M70" s="493"/>
      <c r="N70" s="2750"/>
      <c r="O70" s="2750"/>
      <c r="P70" s="2774"/>
      <c r="Q70" s="2735"/>
      <c r="R70" s="2721"/>
      <c r="S70" s="2721"/>
      <c r="T70" s="2721"/>
      <c r="U70" s="2721"/>
      <c r="V70" s="2721"/>
      <c r="W70" s="2721"/>
      <c r="X70" s="2721"/>
      <c r="Y70" s="2721"/>
      <c r="Z70" s="2721"/>
      <c r="AA70" s="2721"/>
      <c r="AB70" s="2721"/>
      <c r="AC70" s="2721"/>
      <c r="AD70" s="2721"/>
    </row>
    <row r="71" spans="1:30" s="108" customFormat="1" ht="14.4" thickTop="1">
      <c r="A71" s="527"/>
      <c r="B71" s="486">
        <f>B23</f>
        <v>111</v>
      </c>
      <c r="C71" s="497"/>
      <c r="D71" s="497"/>
      <c r="E71" s="497"/>
      <c r="F71" s="497"/>
      <c r="G71" s="502"/>
      <c r="H71" s="502"/>
      <c r="I71" s="502"/>
      <c r="J71" s="502"/>
      <c r="K71" s="502"/>
      <c r="L71" s="528"/>
      <c r="M71" s="529"/>
      <c r="N71" s="2748"/>
      <c r="O71" s="2748"/>
      <c r="P71" s="2774"/>
      <c r="Q71" s="2735"/>
      <c r="R71" s="2657"/>
      <c r="S71" s="2657"/>
      <c r="T71" s="2657"/>
      <c r="U71" s="2657"/>
      <c r="V71" s="2657"/>
      <c r="W71" s="2657"/>
      <c r="X71" s="2657"/>
      <c r="Y71" s="2657"/>
      <c r="Z71" s="2657"/>
      <c r="AA71" s="2657"/>
      <c r="AB71" s="2657"/>
      <c r="AC71" s="2657"/>
      <c r="AD71" s="2657"/>
    </row>
    <row r="72" spans="1:30" s="108" customFormat="1" ht="14.4" thickBot="1">
      <c r="A72" s="527"/>
      <c r="B72" s="491"/>
      <c r="C72" s="508"/>
      <c r="D72" s="484"/>
      <c r="E72" s="484"/>
      <c r="F72" s="484"/>
      <c r="G72" s="484"/>
      <c r="H72" s="484"/>
      <c r="I72" s="484"/>
      <c r="J72" s="484"/>
      <c r="K72" s="484"/>
      <c r="L72" s="484"/>
      <c r="M72" s="485"/>
      <c r="N72" s="2750"/>
      <c r="O72" s="2750"/>
      <c r="P72" s="2774"/>
      <c r="Q72" s="2735"/>
      <c r="R72" s="2657"/>
      <c r="S72" s="2657"/>
      <c r="T72" s="2657"/>
      <c r="U72" s="2657"/>
      <c r="V72" s="2657"/>
      <c r="W72" s="2657"/>
      <c r="X72" s="2657"/>
      <c r="Y72" s="2657"/>
      <c r="Z72" s="2657"/>
      <c r="AA72" s="2657"/>
      <c r="AB72" s="2657"/>
      <c r="AC72" s="2657"/>
      <c r="AD72" s="2657"/>
    </row>
    <row r="73" spans="1:30" s="108" customFormat="1" ht="14.4" thickTop="1">
      <c r="A73" s="527"/>
      <c r="B73" s="486">
        <f>B24</f>
        <v>111</v>
      </c>
      <c r="C73" s="497"/>
      <c r="D73" s="497"/>
      <c r="E73" s="497"/>
      <c r="F73" s="497"/>
      <c r="G73" s="502"/>
      <c r="H73" s="502"/>
      <c r="I73" s="502"/>
      <c r="J73" s="502"/>
      <c r="K73" s="502"/>
      <c r="L73" s="502"/>
      <c r="M73" s="529"/>
      <c r="N73" s="2748"/>
      <c r="O73" s="2748"/>
      <c r="P73" s="2774"/>
      <c r="Q73" s="2735"/>
      <c r="R73" s="2657"/>
      <c r="S73" s="2657"/>
      <c r="T73" s="2657"/>
      <c r="U73" s="2657"/>
      <c r="V73" s="2657"/>
      <c r="W73" s="2657"/>
      <c r="X73" s="2657"/>
      <c r="Y73" s="2657"/>
      <c r="Z73" s="2657"/>
      <c r="AA73" s="2657"/>
      <c r="AB73" s="2657"/>
      <c r="AC73" s="2657"/>
      <c r="AD73" s="2657"/>
    </row>
    <row r="74" spans="1:30" s="108" customFormat="1" ht="14.4" thickBot="1">
      <c r="A74" s="527"/>
      <c r="B74" s="491"/>
      <c r="C74" s="508"/>
      <c r="D74" s="484"/>
      <c r="E74" s="484"/>
      <c r="F74" s="484"/>
      <c r="G74" s="484"/>
      <c r="H74" s="484"/>
      <c r="I74" s="484"/>
      <c r="J74" s="484"/>
      <c r="K74" s="484"/>
      <c r="L74" s="484"/>
      <c r="M74" s="485"/>
      <c r="N74" s="2750"/>
      <c r="O74" s="2750"/>
      <c r="P74" s="2774"/>
      <c r="Q74" s="2735"/>
      <c r="R74" s="2657"/>
      <c r="S74" s="2657"/>
      <c r="T74" s="2657"/>
      <c r="U74" s="2657"/>
      <c r="V74" s="2657"/>
      <c r="W74" s="2657"/>
      <c r="X74" s="2657"/>
      <c r="Y74" s="2657"/>
      <c r="Z74" s="2657"/>
      <c r="AA74" s="2657"/>
      <c r="AB74" s="2657"/>
      <c r="AC74" s="2657"/>
      <c r="AD74" s="2657"/>
    </row>
    <row r="75" spans="1:30" s="421" customFormat="1" ht="14.4" thickTop="1">
      <c r="A75" s="501"/>
      <c r="B75" s="486">
        <f>B25</f>
        <v>111</v>
      </c>
      <c r="C75" s="497"/>
      <c r="D75" s="497"/>
      <c r="E75" s="497"/>
      <c r="F75" s="497"/>
      <c r="G75" s="502"/>
      <c r="H75" s="503"/>
      <c r="I75" s="503"/>
      <c r="J75" s="503"/>
      <c r="K75" s="503"/>
      <c r="L75" s="504"/>
      <c r="M75" s="505"/>
      <c r="N75" s="2751"/>
      <c r="O75" s="2751"/>
      <c r="P75" s="2775"/>
      <c r="Q75" s="2742"/>
      <c r="R75" s="2743"/>
      <c r="S75" s="2743"/>
      <c r="T75" s="2743"/>
      <c r="U75" s="2743"/>
      <c r="V75" s="2743"/>
      <c r="W75" s="2743"/>
      <c r="X75" s="2743"/>
      <c r="Y75" s="2743"/>
      <c r="Z75" s="2743"/>
      <c r="AA75" s="2743"/>
      <c r="AB75" s="2743"/>
      <c r="AC75" s="2743"/>
      <c r="AD75" s="2743"/>
    </row>
    <row r="76" spans="1:30" s="421" customFormat="1" ht="14.4" thickBot="1">
      <c r="A76" s="501"/>
      <c r="B76" s="491"/>
      <c r="C76" s="508"/>
      <c r="D76" s="508"/>
      <c r="E76" s="508"/>
      <c r="F76" s="508"/>
      <c r="G76" s="484"/>
      <c r="H76" s="484"/>
      <c r="I76" s="484"/>
      <c r="J76" s="484"/>
      <c r="K76" s="484"/>
      <c r="L76" s="484"/>
      <c r="M76" s="485"/>
      <c r="N76" s="2751"/>
      <c r="O76" s="2751"/>
      <c r="P76" s="2775"/>
      <c r="Q76" s="2742"/>
      <c r="R76" s="2743"/>
      <c r="S76" s="2743"/>
      <c r="T76" s="2743"/>
      <c r="U76" s="2743"/>
      <c r="V76" s="2743"/>
      <c r="W76" s="2743"/>
      <c r="X76" s="2743"/>
      <c r="Y76" s="2743"/>
      <c r="Z76" s="2743"/>
      <c r="AA76" s="2743"/>
      <c r="AB76" s="2743"/>
      <c r="AC76" s="2743"/>
      <c r="AD76" s="2743"/>
    </row>
    <row r="77" spans="1:30" ht="15" thickTop="1">
      <c r="A77" s="475" t="s">
        <v>1694</v>
      </c>
      <c r="B77" s="476" t="s">
        <v>1740</v>
      </c>
      <c r="C77" s="502"/>
      <c r="D77" s="502"/>
      <c r="E77" s="478"/>
      <c r="F77" s="478"/>
      <c r="G77" s="478"/>
      <c r="H77" s="478"/>
      <c r="I77" s="478"/>
      <c r="J77" s="478"/>
      <c r="K77" s="479"/>
      <c r="L77" s="480"/>
      <c r="M77" s="481"/>
      <c r="N77" s="2749"/>
      <c r="O77" s="2749"/>
      <c r="P77" s="2774"/>
      <c r="Q77" s="2735"/>
      <c r="R77" s="2721"/>
      <c r="S77" s="2721"/>
      <c r="T77" s="2721"/>
      <c r="U77" s="2721"/>
      <c r="V77" s="2721"/>
      <c r="W77" s="2721"/>
      <c r="X77" s="2721"/>
      <c r="Y77" s="2721"/>
      <c r="Z77" s="2721"/>
      <c r="AA77" s="2721"/>
      <c r="AB77" s="2721"/>
      <c r="AC77" s="2721"/>
      <c r="AD77" s="2721"/>
    </row>
    <row r="78" spans="1:30" ht="14.4"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0"/>
      <c r="O78" s="2750"/>
      <c r="P78" s="2774"/>
      <c r="Q78" s="2735"/>
      <c r="R78" s="2721"/>
      <c r="S78" s="2721"/>
      <c r="T78" s="2721"/>
      <c r="U78" s="2721"/>
      <c r="V78" s="2721"/>
      <c r="W78" s="2721"/>
      <c r="X78" s="2721"/>
      <c r="Y78" s="2721"/>
      <c r="Z78" s="2721"/>
      <c r="AA78" s="2721"/>
      <c r="AB78" s="2721"/>
      <c r="AC78" s="2721"/>
      <c r="AD78" s="2721"/>
    </row>
    <row r="79" spans="1:30" ht="1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8"/>
      <c r="O79" s="2748"/>
      <c r="P79" s="2774"/>
      <c r="Q79" s="2735"/>
      <c r="R79" s="2721"/>
      <c r="S79" s="2721"/>
      <c r="T79" s="2721"/>
      <c r="U79" s="2721"/>
      <c r="V79" s="2721"/>
      <c r="W79" s="2721"/>
      <c r="X79" s="2721"/>
      <c r="Y79" s="2721"/>
      <c r="Z79" s="2721"/>
      <c r="AA79" s="2721"/>
      <c r="AB79" s="2721"/>
      <c r="AC79" s="2721"/>
      <c r="AD79" s="2721"/>
    </row>
    <row r="80" spans="1:30">
      <c r="A80" s="482"/>
      <c r="B80" s="494"/>
      <c r="C80" s="551">
        <v>0.5</v>
      </c>
      <c r="D80" s="551">
        <v>0.6</v>
      </c>
      <c r="E80" s="551">
        <v>0.7</v>
      </c>
      <c r="F80" s="551">
        <v>0.8</v>
      </c>
      <c r="G80" s="551">
        <v>0.9</v>
      </c>
      <c r="H80" s="551">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1" customFormat="1" ht="14.4"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7"/>
      <c r="B82" s="494" t="s">
        <v>1856</v>
      </c>
      <c r="C82" s="502"/>
      <c r="D82" s="502"/>
      <c r="E82" s="531"/>
      <c r="F82" s="531"/>
      <c r="G82" s="531"/>
      <c r="H82" s="531"/>
      <c r="I82" s="531"/>
      <c r="J82" s="531"/>
      <c r="K82" s="532"/>
      <c r="L82" s="533"/>
      <c r="M82" s="534"/>
      <c r="N82" s="2749"/>
      <c r="O82" s="2749"/>
      <c r="P82" s="2774"/>
      <c r="Q82" s="2735"/>
      <c r="R82" s="2721"/>
      <c r="S82" s="2721"/>
      <c r="T82" s="2721"/>
      <c r="U82" s="2721"/>
      <c r="V82" s="2721"/>
      <c r="W82" s="2721"/>
      <c r="X82" s="2721"/>
      <c r="Y82" s="2721"/>
      <c r="Z82" s="2721"/>
      <c r="AA82" s="2721"/>
      <c r="AB82" s="2721"/>
      <c r="AC82" s="2721"/>
      <c r="AD82" s="2721"/>
    </row>
    <row r="83" spans="1:30" ht="14.4"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7"/>
      <c r="B84" s="486" t="s">
        <v>1864</v>
      </c>
      <c r="C84" s="502"/>
      <c r="D84" s="502"/>
      <c r="E84" s="502"/>
      <c r="F84" s="502"/>
      <c r="G84" s="502"/>
      <c r="H84" s="502"/>
      <c r="I84" s="531"/>
      <c r="J84" s="531"/>
      <c r="K84" s="532"/>
      <c r="L84" s="533"/>
      <c r="M84" s="534"/>
      <c r="N84" s="2749"/>
      <c r="O84" s="2749"/>
      <c r="P84" s="2774"/>
      <c r="Q84" s="2735"/>
      <c r="R84" s="2721"/>
      <c r="S84" s="2721"/>
      <c r="T84" s="2721"/>
      <c r="U84" s="2721"/>
      <c r="V84" s="2721"/>
      <c r="W84" s="2721"/>
      <c r="X84" s="2721"/>
      <c r="Y84" s="2721"/>
      <c r="Z84" s="2721"/>
      <c r="AA84" s="2721"/>
      <c r="AB84" s="2721"/>
      <c r="AC84" s="2721"/>
      <c r="AD84" s="2721"/>
    </row>
    <row r="85" spans="1:30" ht="14.4"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7"/>
      <c r="B87" s="494"/>
      <c r="C87" s="543"/>
      <c r="D87" s="543"/>
      <c r="E87" s="543"/>
      <c r="F87" s="543"/>
      <c r="G87" s="543"/>
      <c r="H87" s="543"/>
      <c r="I87" s="543"/>
      <c r="J87" s="544"/>
      <c r="K87" s="544"/>
      <c r="L87" s="545"/>
      <c r="M87" s="546"/>
      <c r="N87" s="2749"/>
      <c r="O87" s="2749"/>
      <c r="P87" s="2774"/>
      <c r="Q87" s="2735"/>
      <c r="R87" s="2721"/>
      <c r="S87" s="2721"/>
      <c r="T87" s="2721"/>
      <c r="U87" s="2721"/>
      <c r="V87" s="2721"/>
      <c r="W87" s="2721"/>
      <c r="X87" s="2721"/>
      <c r="Y87" s="2721"/>
      <c r="Z87" s="2721"/>
      <c r="AA87" s="2721"/>
      <c r="AB87" s="2721"/>
      <c r="AC87" s="2721"/>
      <c r="AD87" s="2721"/>
    </row>
    <row r="88" spans="1:30" ht="14.4" thickBot="1">
      <c r="A88" s="482"/>
      <c r="B88" s="491"/>
      <c r="C88" s="508"/>
      <c r="D88" s="484"/>
      <c r="E88" s="484"/>
      <c r="F88" s="484"/>
      <c r="G88" s="484"/>
      <c r="H88" s="484"/>
      <c r="I88" s="484"/>
      <c r="J88" s="484"/>
      <c r="K88" s="484"/>
      <c r="L88" s="484"/>
      <c r="M88" s="484"/>
      <c r="N88" s="2750"/>
      <c r="O88" s="2750"/>
      <c r="P88" s="2774"/>
      <c r="Q88" s="2735"/>
      <c r="R88" s="2721"/>
      <c r="S88" s="2721"/>
      <c r="T88" s="2721"/>
      <c r="U88" s="2721"/>
      <c r="V88" s="2721"/>
      <c r="W88" s="2721"/>
      <c r="X88" s="2721"/>
      <c r="Y88" s="2721"/>
      <c r="Z88" s="2721"/>
      <c r="AA88" s="2721"/>
      <c r="AB88" s="2721"/>
      <c r="AC88" s="2721"/>
      <c r="AD88" s="2721"/>
    </row>
    <row r="89" spans="1:30" s="421" customFormat="1" ht="15" thickTop="1">
      <c r="A89" s="541"/>
      <c r="B89" s="486" t="s">
        <v>1866</v>
      </c>
      <c r="C89" s="502"/>
      <c r="D89" s="502"/>
      <c r="E89" s="502"/>
      <c r="F89" s="502"/>
      <c r="G89" s="502"/>
      <c r="H89" s="502"/>
      <c r="I89" s="502"/>
      <c r="J89" s="502"/>
      <c r="K89" s="502"/>
      <c r="L89" s="502"/>
      <c r="M89" s="529"/>
      <c r="N89" s="2751"/>
      <c r="O89" s="2751"/>
      <c r="P89" s="2775"/>
      <c r="Q89" s="2742"/>
      <c r="R89" s="2743"/>
      <c r="S89" s="2743"/>
      <c r="T89" s="2743"/>
      <c r="U89" s="2743"/>
      <c r="V89" s="2743"/>
      <c r="W89" s="2743"/>
      <c r="X89" s="2743"/>
      <c r="Y89" s="2743"/>
      <c r="Z89" s="2743"/>
      <c r="AA89" s="2743"/>
      <c r="AB89" s="2743"/>
      <c r="AC89" s="2743"/>
      <c r="AD89" s="2743"/>
    </row>
    <row r="90" spans="1:30" s="421" customFormat="1" ht="14.4" thickBot="1">
      <c r="A90" s="501"/>
      <c r="B90" s="491"/>
      <c r="C90" s="508"/>
      <c r="D90" s="484"/>
      <c r="E90" s="484"/>
      <c r="F90" s="484"/>
      <c r="G90" s="484"/>
      <c r="H90" s="484"/>
      <c r="I90" s="484"/>
      <c r="J90" s="484"/>
      <c r="K90" s="484"/>
      <c r="L90" s="484"/>
      <c r="M90" s="485"/>
      <c r="N90" s="2751"/>
      <c r="O90" s="2751"/>
      <c r="P90" s="2775"/>
      <c r="Q90" s="2742"/>
      <c r="R90" s="2743"/>
      <c r="S90" s="2743"/>
      <c r="T90" s="2743"/>
      <c r="U90" s="2743"/>
      <c r="V90" s="2743"/>
      <c r="W90" s="2743"/>
      <c r="X90" s="2743"/>
      <c r="Y90" s="2743"/>
      <c r="Z90" s="2743"/>
      <c r="AA90" s="2743"/>
      <c r="AB90" s="2743"/>
      <c r="AC90" s="2743"/>
      <c r="AD90" s="2743"/>
    </row>
    <row r="91" spans="1:30" ht="14.4" thickTop="1">
      <c r="A91" s="547"/>
      <c r="B91" s="486">
        <f>B32</f>
        <v>111</v>
      </c>
      <c r="C91" s="497"/>
      <c r="D91" s="497"/>
      <c r="E91" s="497"/>
      <c r="F91" s="497"/>
      <c r="G91" s="502"/>
      <c r="H91" s="503"/>
      <c r="I91" s="503"/>
      <c r="J91" s="503"/>
      <c r="K91" s="503"/>
      <c r="L91" s="504"/>
      <c r="M91" s="505"/>
      <c r="N91" s="2749"/>
      <c r="O91" s="2749"/>
      <c r="P91" s="2774"/>
      <c r="Q91" s="2735"/>
      <c r="R91" s="2721"/>
      <c r="S91" s="2721"/>
      <c r="T91" s="2721"/>
      <c r="U91" s="2721"/>
      <c r="V91" s="2721"/>
      <c r="W91" s="2721"/>
      <c r="X91" s="2721"/>
      <c r="Y91" s="2721"/>
      <c r="Z91" s="2721"/>
      <c r="AA91" s="2721"/>
      <c r="AB91" s="2721"/>
      <c r="AC91" s="2721"/>
      <c r="AD91" s="2721"/>
    </row>
    <row r="92" spans="1:30" ht="14.4" thickBot="1">
      <c r="A92" s="482"/>
      <c r="B92" s="491"/>
      <c r="C92" s="508"/>
      <c r="D92" s="484"/>
      <c r="E92" s="484"/>
      <c r="F92" s="484"/>
      <c r="G92" s="508"/>
      <c r="H92" s="510"/>
      <c r="I92" s="510"/>
      <c r="J92" s="510"/>
      <c r="K92" s="510"/>
      <c r="L92" s="510"/>
      <c r="M92" s="511"/>
      <c r="N92" s="2750"/>
      <c r="O92" s="2750"/>
      <c r="P92" s="2774"/>
      <c r="Q92" s="2735"/>
      <c r="R92" s="2721"/>
      <c r="S92" s="2721"/>
      <c r="T92" s="2721"/>
      <c r="U92" s="2721"/>
      <c r="V92" s="2721"/>
      <c r="W92" s="2721"/>
      <c r="X92" s="2721"/>
      <c r="Y92" s="2721"/>
      <c r="Z92" s="2721"/>
      <c r="AA92" s="2721"/>
      <c r="AB92" s="2721"/>
      <c r="AC92" s="2721"/>
      <c r="AD92" s="2721"/>
    </row>
    <row r="93" spans="1:30" ht="14.4" thickTop="1">
      <c r="A93" s="547"/>
      <c r="B93" s="486">
        <f>B33</f>
        <v>111</v>
      </c>
      <c r="C93" s="497"/>
      <c r="D93" s="497"/>
      <c r="E93" s="497"/>
      <c r="F93" s="497"/>
      <c r="G93" s="502"/>
      <c r="H93" s="503"/>
      <c r="I93" s="503"/>
      <c r="J93" s="503"/>
      <c r="K93" s="503"/>
      <c r="L93" s="504"/>
      <c r="M93" s="505"/>
      <c r="N93" s="2749"/>
      <c r="O93" s="2749"/>
      <c r="P93" s="2774"/>
      <c r="Q93" s="2735"/>
      <c r="R93" s="2721"/>
      <c r="S93" s="2721"/>
      <c r="T93" s="2721"/>
      <c r="U93" s="2721"/>
      <c r="V93" s="2721"/>
      <c r="W93" s="2721"/>
      <c r="X93" s="2721"/>
      <c r="Y93" s="2721"/>
      <c r="Z93" s="2721"/>
      <c r="AA93" s="2721"/>
      <c r="AB93" s="2721"/>
      <c r="AC93" s="2721"/>
      <c r="AD93" s="2721"/>
    </row>
    <row r="94" spans="1:30" ht="14.4" thickBot="1">
      <c r="A94" s="482"/>
      <c r="B94" s="491"/>
      <c r="C94" s="508"/>
      <c r="D94" s="484"/>
      <c r="E94" s="484"/>
      <c r="F94" s="484"/>
      <c r="G94" s="508"/>
      <c r="H94" s="510"/>
      <c r="I94" s="510"/>
      <c r="J94" s="510"/>
      <c r="K94" s="510"/>
      <c r="L94" s="510"/>
      <c r="M94" s="511"/>
      <c r="N94" s="2750"/>
      <c r="O94" s="2750"/>
      <c r="P94" s="2774"/>
      <c r="Q94" s="2735"/>
      <c r="R94" s="2721"/>
      <c r="S94" s="2721"/>
      <c r="T94" s="2721"/>
      <c r="U94" s="2721"/>
      <c r="V94" s="2721"/>
      <c r="W94" s="2721"/>
      <c r="X94" s="2721"/>
      <c r="Y94" s="2721"/>
      <c r="Z94" s="2721"/>
      <c r="AA94" s="2721"/>
      <c r="AB94" s="2721"/>
      <c r="AC94" s="2721"/>
      <c r="AD94" s="2721"/>
    </row>
    <row r="95" spans="1:30" ht="14.4" thickTop="1">
      <c r="A95" s="547"/>
      <c r="B95" s="583">
        <f>B34</f>
        <v>111</v>
      </c>
      <c r="C95" s="497"/>
      <c r="D95" s="497"/>
      <c r="E95" s="497"/>
      <c r="F95" s="497"/>
      <c r="G95" s="502"/>
      <c r="H95" s="503"/>
      <c r="I95" s="503"/>
      <c r="J95" s="503"/>
      <c r="K95" s="503"/>
      <c r="L95" s="504"/>
      <c r="M95" s="505"/>
      <c r="N95" s="2750"/>
      <c r="O95" s="2750"/>
      <c r="P95" s="2777"/>
      <c r="Q95" s="2764"/>
      <c r="R95" s="2721"/>
      <c r="S95" s="2721"/>
      <c r="T95" s="2721"/>
      <c r="U95" s="2721"/>
      <c r="V95" s="2721"/>
      <c r="W95" s="2721"/>
      <c r="X95" s="2721"/>
      <c r="Y95" s="2721"/>
      <c r="Z95" s="2721"/>
      <c r="AA95" s="2721"/>
      <c r="AB95" s="2721"/>
      <c r="AC95" s="2721"/>
      <c r="AD95" s="2721"/>
    </row>
    <row r="96" spans="1:30" ht="14.4" thickBot="1">
      <c r="A96" s="482"/>
      <c r="B96" s="491"/>
      <c r="C96" s="508"/>
      <c r="D96" s="508"/>
      <c r="E96" s="508"/>
      <c r="F96" s="508"/>
      <c r="G96" s="508"/>
      <c r="H96" s="510"/>
      <c r="I96" s="510"/>
      <c r="J96" s="510"/>
      <c r="K96" s="510"/>
      <c r="L96" s="510"/>
      <c r="M96" s="511"/>
      <c r="N96" s="2750"/>
      <c r="O96" s="2750"/>
      <c r="P96" s="2774"/>
      <c r="Q96" s="2735"/>
      <c r="R96" s="2721"/>
      <c r="S96" s="2721"/>
      <c r="T96" s="2721"/>
      <c r="U96" s="2721"/>
      <c r="V96" s="2721"/>
      <c r="W96" s="2721"/>
      <c r="X96" s="2721"/>
      <c r="Y96" s="2721"/>
      <c r="Z96" s="2721"/>
      <c r="AA96" s="2721"/>
      <c r="AB96" s="2721"/>
      <c r="AC96" s="2721"/>
      <c r="AD96" s="2721"/>
    </row>
    <row r="97" spans="1:30" ht="14.4" thickTop="1">
      <c r="N97" s="2721"/>
      <c r="O97" s="2721"/>
      <c r="P97" s="2721"/>
      <c r="Q97" s="2721"/>
      <c r="R97" s="2721"/>
      <c r="S97" s="2721"/>
      <c r="T97" s="2721"/>
      <c r="U97" s="2721"/>
      <c r="V97" s="2721"/>
      <c r="W97" s="2721"/>
      <c r="X97" s="2721"/>
      <c r="Y97" s="2721"/>
      <c r="Z97" s="2721"/>
      <c r="AA97" s="2721"/>
      <c r="AB97" s="2721"/>
      <c r="AC97" s="2721"/>
      <c r="AD97" s="2721"/>
    </row>
    <row r="98" spans="1:30">
      <c r="A98" s="932"/>
      <c r="B98" s="932"/>
      <c r="C98" s="932"/>
      <c r="D98" s="932"/>
      <c r="E98" s="932"/>
      <c r="F98" s="932"/>
      <c r="G98" s="932"/>
      <c r="H98" s="932"/>
      <c r="I98" s="932"/>
      <c r="J98" s="932"/>
      <c r="K98" s="933"/>
      <c r="L98" s="934"/>
      <c r="M98" s="932"/>
      <c r="N98" s="2721"/>
      <c r="O98" s="2721"/>
      <c r="P98" s="2721"/>
      <c r="Q98" s="2721"/>
      <c r="R98" s="2721"/>
      <c r="S98" s="2721"/>
      <c r="T98" s="2721"/>
      <c r="U98" s="2721"/>
      <c r="V98" s="2721"/>
      <c r="W98" s="2721"/>
      <c r="X98" s="2721"/>
      <c r="Y98" s="2721"/>
      <c r="Z98" s="2721"/>
      <c r="AA98" s="2721"/>
      <c r="AB98" s="2721"/>
      <c r="AC98" s="2721"/>
      <c r="AD98" s="2721"/>
    </row>
    <row r="99" spans="1:30">
      <c r="A99" s="932"/>
      <c r="B99" s="932"/>
      <c r="C99" s="932"/>
      <c r="D99" s="932"/>
      <c r="E99" s="932"/>
      <c r="F99" s="932"/>
      <c r="G99" s="932"/>
      <c r="H99" s="932"/>
      <c r="I99" s="932"/>
      <c r="J99" s="932"/>
      <c r="K99" s="933"/>
      <c r="L99" s="934"/>
      <c r="M99" s="932"/>
      <c r="N99" s="2721"/>
      <c r="O99" s="2721"/>
      <c r="P99" s="2721"/>
      <c r="Q99" s="2721"/>
      <c r="R99" s="2721"/>
      <c r="S99" s="2721"/>
      <c r="T99" s="2721"/>
      <c r="U99" s="2721"/>
      <c r="V99" s="2721"/>
      <c r="W99" s="2721"/>
      <c r="X99" s="2721"/>
      <c r="Y99" s="2721"/>
      <c r="Z99" s="2721"/>
      <c r="AA99" s="2721"/>
      <c r="AB99" s="2721"/>
      <c r="AC99" s="2721"/>
      <c r="AD99" s="2721"/>
    </row>
    <row r="100" spans="1:30">
      <c r="A100" s="932"/>
      <c r="B100" s="932"/>
      <c r="C100" s="932"/>
      <c r="D100" s="932"/>
      <c r="E100" s="932"/>
      <c r="F100" s="932"/>
      <c r="G100" s="932"/>
      <c r="H100" s="932"/>
      <c r="I100" s="932"/>
      <c r="J100" s="932"/>
      <c r="K100" s="933"/>
      <c r="L100" s="934"/>
      <c r="M100" s="932"/>
      <c r="N100" s="2721"/>
      <c r="O100" s="2721"/>
      <c r="P100" s="2721"/>
      <c r="Q100" s="2721"/>
      <c r="R100" s="2721"/>
      <c r="S100" s="2721"/>
      <c r="T100" s="2721"/>
      <c r="U100" s="2721"/>
      <c r="V100" s="2721"/>
      <c r="W100" s="2721"/>
      <c r="X100" s="2721"/>
      <c r="Y100" s="2721"/>
      <c r="Z100" s="2721"/>
      <c r="AA100" s="2721"/>
      <c r="AB100" s="2721"/>
      <c r="AC100" s="2721"/>
      <c r="AD100" s="2721"/>
    </row>
    <row r="101" spans="1:30">
      <c r="A101" s="932"/>
      <c r="B101" s="932"/>
      <c r="C101" s="932"/>
      <c r="D101" s="932"/>
      <c r="E101" s="932"/>
      <c r="F101" s="932"/>
      <c r="G101" s="932"/>
      <c r="H101" s="932"/>
      <c r="I101" s="932"/>
      <c r="J101" s="932"/>
      <c r="K101" s="933"/>
      <c r="L101" s="934"/>
      <c r="M101" s="932"/>
      <c r="N101" s="2721"/>
      <c r="O101" s="2721"/>
      <c r="P101" s="2721"/>
      <c r="Q101" s="2721"/>
      <c r="R101" s="2721"/>
      <c r="S101" s="2721"/>
      <c r="T101" s="2721"/>
      <c r="U101" s="2721"/>
      <c r="V101" s="2721"/>
      <c r="W101" s="2721"/>
      <c r="X101" s="2721"/>
      <c r="Y101" s="2721"/>
      <c r="Z101" s="2721"/>
      <c r="AA101" s="2721"/>
      <c r="AB101" s="2721"/>
      <c r="AC101" s="2721"/>
      <c r="AD101" s="2721"/>
    </row>
    <row r="102" spans="1:30">
      <c r="A102" s="932"/>
      <c r="B102" s="932"/>
      <c r="C102" s="932"/>
      <c r="D102" s="932"/>
      <c r="E102" s="932"/>
      <c r="F102" s="932"/>
      <c r="G102" s="932"/>
      <c r="H102" s="932"/>
      <c r="I102" s="932"/>
      <c r="J102" s="932"/>
      <c r="K102" s="933"/>
      <c r="L102" s="934"/>
      <c r="M102" s="932"/>
      <c r="N102" s="2721"/>
      <c r="O102" s="2721"/>
      <c r="P102" s="2721"/>
      <c r="Q102" s="2721"/>
      <c r="R102" s="2721"/>
      <c r="S102" s="2721"/>
      <c r="T102" s="2721"/>
      <c r="U102" s="2721"/>
      <c r="V102" s="2721"/>
      <c r="W102" s="2721"/>
      <c r="X102" s="2721"/>
      <c r="Y102" s="2721"/>
      <c r="Z102" s="2721"/>
      <c r="AA102" s="2721"/>
      <c r="AB102" s="2721"/>
      <c r="AC102" s="2721"/>
      <c r="AD102" s="2721"/>
    </row>
    <row r="103" spans="1:30">
      <c r="A103" s="932"/>
      <c r="B103" s="932"/>
      <c r="C103" s="932"/>
      <c r="D103" s="932"/>
      <c r="E103" s="932"/>
      <c r="F103" s="932"/>
      <c r="G103" s="932"/>
      <c r="H103" s="932"/>
      <c r="I103" s="932"/>
      <c r="J103" s="932"/>
      <c r="K103" s="933"/>
      <c r="L103" s="934"/>
      <c r="M103" s="932"/>
      <c r="N103" s="932"/>
      <c r="O103" s="932"/>
      <c r="P103" s="2721"/>
      <c r="Q103" s="2721"/>
      <c r="R103" s="2721"/>
      <c r="S103" s="2721"/>
      <c r="T103" s="2721"/>
      <c r="U103" s="2721"/>
      <c r="V103" s="2721"/>
      <c r="W103" s="2721"/>
      <c r="X103" s="2721"/>
      <c r="Y103" s="2721"/>
      <c r="Z103" s="2721"/>
      <c r="AA103" s="2721"/>
      <c r="AB103" s="2721"/>
      <c r="AC103" s="2721"/>
      <c r="AD103" s="2721"/>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6" customWidth="1"/>
    <col min="2" max="2" width="15.77734375" style="356" customWidth="1"/>
    <col min="3" max="3" width="14.33203125" style="356" customWidth="1"/>
    <col min="4" max="4" width="14.1093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3"/>
      <c r="D2" s="903"/>
      <c r="E2" s="904"/>
      <c r="F2" s="905"/>
      <c r="G2" s="904"/>
      <c r="H2" s="904"/>
      <c r="I2" s="904"/>
      <c r="J2" s="904"/>
      <c r="K2" s="906"/>
      <c r="L2" s="2730"/>
      <c r="M2" s="2731"/>
      <c r="N2" s="2731"/>
      <c r="O2" s="2731"/>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89"/>
      <c r="E3" s="904"/>
      <c r="F3" s="905"/>
      <c r="G3" s="904"/>
      <c r="H3" s="904"/>
      <c r="I3" s="904"/>
      <c r="J3" s="904"/>
      <c r="K3" s="906"/>
      <c r="L3" s="2730"/>
      <c r="M3" s="2731"/>
      <c r="N3" s="2731"/>
      <c r="O3" s="2731"/>
      <c r="P3" s="697"/>
      <c r="Q3" s="697"/>
      <c r="R3" s="697"/>
      <c r="S3" s="697"/>
      <c r="T3" s="697"/>
      <c r="U3" s="697"/>
      <c r="V3" s="697"/>
      <c r="W3" s="697"/>
      <c r="X3" s="697"/>
      <c r="Y3" s="697"/>
      <c r="Z3" s="697"/>
      <c r="AA3" s="697"/>
      <c r="AB3" s="714"/>
      <c r="AC3" s="711"/>
    </row>
    <row r="4" spans="1:30" ht="14.4">
      <c r="A4" s="354" t="s">
        <v>1769</v>
      </c>
      <c r="B4" s="355"/>
      <c r="C4" s="3724" t="s">
        <v>1770</v>
      </c>
      <c r="D4" s="3725"/>
      <c r="E4" s="3726" t="s">
        <v>1771</v>
      </c>
      <c r="F4" s="3727"/>
      <c r="G4" s="3724" t="s">
        <v>1772</v>
      </c>
      <c r="H4" s="3725"/>
      <c r="I4" s="3724" t="s">
        <v>1773</v>
      </c>
      <c r="J4" s="3725"/>
      <c r="K4" s="558" t="s">
        <v>1774</v>
      </c>
      <c r="L4" s="2711"/>
      <c r="M4" s="2712"/>
      <c r="N4" s="2712"/>
      <c r="O4" s="2712"/>
      <c r="P4" s="3728" t="s">
        <v>1775</v>
      </c>
      <c r="Q4" s="3729"/>
      <c r="R4" s="3711" t="s">
        <v>1771</v>
      </c>
      <c r="S4" s="3712"/>
      <c r="T4" s="3711" t="s">
        <v>1772</v>
      </c>
      <c r="U4" s="3712"/>
      <c r="V4" s="3736" t="s">
        <v>1773</v>
      </c>
      <c r="W4" s="3736"/>
      <c r="X4" s="1351"/>
      <c r="Y4" s="3711" t="s">
        <v>1775</v>
      </c>
      <c r="Z4" s="3712"/>
      <c r="AA4" s="3706" t="s">
        <v>1771</v>
      </c>
      <c r="AB4" s="3707" t="s">
        <v>1772</v>
      </c>
      <c r="AC4" s="3706" t="s">
        <v>1773</v>
      </c>
    </row>
    <row r="5" spans="1:30">
      <c r="A5" s="357"/>
      <c r="B5" s="358"/>
      <c r="C5" s="3717" t="s">
        <v>1673</v>
      </c>
      <c r="D5" s="3718"/>
      <c r="E5" s="3715" t="s">
        <v>1674</v>
      </c>
      <c r="F5" s="3716"/>
      <c r="G5" s="3717" t="s">
        <v>1675</v>
      </c>
      <c r="H5" s="3718"/>
      <c r="I5" s="3717" t="s">
        <v>1676</v>
      </c>
      <c r="J5" s="3718"/>
      <c r="K5" s="558"/>
      <c r="L5" s="2711"/>
      <c r="M5" s="2712"/>
      <c r="N5" s="2712"/>
      <c r="O5" s="2712"/>
      <c r="P5" s="3730"/>
      <c r="Q5" s="3731"/>
      <c r="R5" s="3713"/>
      <c r="S5" s="3714"/>
      <c r="T5" s="3713"/>
      <c r="U5" s="3714"/>
      <c r="V5" s="3736"/>
      <c r="W5" s="3736"/>
      <c r="X5" s="1351"/>
      <c r="Y5" s="3713"/>
      <c r="Z5" s="3714"/>
      <c r="AA5" s="3707"/>
      <c r="AB5" s="3707"/>
      <c r="AC5" s="3707"/>
    </row>
    <row r="6" spans="1:30" ht="15" thickBot="1">
      <c r="A6" s="359"/>
      <c r="B6" s="360"/>
      <c r="C6" s="3719" t="s">
        <v>1677</v>
      </c>
      <c r="D6" s="3720"/>
      <c r="E6" s="3721" t="s">
        <v>1677</v>
      </c>
      <c r="F6" s="3722"/>
      <c r="G6" s="3719" t="s">
        <v>1677</v>
      </c>
      <c r="H6" s="3720"/>
      <c r="I6" s="3719" t="s">
        <v>1677</v>
      </c>
      <c r="J6" s="3720"/>
      <c r="K6" s="558" t="s">
        <v>1678</v>
      </c>
      <c r="L6" s="2711"/>
      <c r="M6" s="2712"/>
      <c r="N6" s="2712"/>
      <c r="O6" s="2712"/>
      <c r="P6" s="3732"/>
      <c r="Q6" s="3733"/>
      <c r="R6" s="3713"/>
      <c r="S6" s="3714"/>
      <c r="T6" s="3734"/>
      <c r="U6" s="3735"/>
      <c r="V6" s="3736"/>
      <c r="W6" s="3736"/>
      <c r="X6" s="1351"/>
      <c r="Y6" s="3734"/>
      <c r="Z6" s="3735"/>
      <c r="AA6" s="3708"/>
      <c r="AB6" s="3708"/>
      <c r="AC6" s="3708"/>
    </row>
    <row r="7" spans="1:30" s="108" customFormat="1" ht="15" thickBot="1">
      <c r="A7" s="361" t="s">
        <v>1679</v>
      </c>
      <c r="B7" s="362"/>
      <c r="C7" s="363">
        <f>'数据-取费表'!B2</f>
        <v>44995</v>
      </c>
      <c r="D7" s="364">
        <v>100</v>
      </c>
      <c r="E7" s="365"/>
      <c r="F7" s="366">
        <f>SUMIF(69:69,YEAR(E7)&amp;"-"&amp;INT((MONTH(E7)+2)/3),70:70)</f>
        <v>0</v>
      </c>
      <c r="G7" s="1970"/>
      <c r="H7" s="364">
        <f>SUMIF(69:69,YEAR(G7)&amp;"-"&amp;INT((MONTH(G7)+2)/3),70:70)</f>
        <v>0</v>
      </c>
      <c r="I7" s="1970"/>
      <c r="J7" s="364">
        <f>SUMIF(69:69,YEAR(I7)&amp;"-"&amp;INT((MONTH(I7)+2)/3),70:70)</f>
        <v>0</v>
      </c>
      <c r="K7" s="559"/>
      <c r="L7" s="2713"/>
      <c r="M7" s="2714"/>
      <c r="N7" s="2714"/>
      <c r="O7" s="2714"/>
      <c r="P7" s="3709" t="s">
        <v>1680</v>
      </c>
      <c r="Q7" s="3737"/>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30" s="108" customFormat="1" ht="1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3"/>
      <c r="M8" s="2714"/>
      <c r="N8" s="2714"/>
      <c r="O8" s="2714"/>
      <c r="P8" s="3709" t="s">
        <v>1683</v>
      </c>
      <c r="Q8" s="3710"/>
      <c r="R8" s="699" t="s">
        <v>14</v>
      </c>
      <c r="S8" s="700">
        <f t="shared" si="0"/>
        <v>0</v>
      </c>
      <c r="T8" s="699" t="s">
        <v>14</v>
      </c>
      <c r="U8" s="700">
        <f t="shared" si="1"/>
        <v>0</v>
      </c>
      <c r="V8" s="699" t="s">
        <v>14</v>
      </c>
      <c r="W8" s="700">
        <f t="shared" si="2"/>
        <v>0</v>
      </c>
      <c r="X8" s="701"/>
      <c r="Y8" s="3709" t="s">
        <v>1683</v>
      </c>
      <c r="Z8" s="3710"/>
      <c r="AA8" s="702" t="e">
        <f t="shared" ref="AA8:AA45" si="3">D8/F8</f>
        <v>#DIV/0!</v>
      </c>
      <c r="AB8" s="702" t="e">
        <f t="shared" ref="AB8:AB45" si="4">D8/H8</f>
        <v>#DIV/0!</v>
      </c>
      <c r="AC8" s="702" t="e">
        <f t="shared" ref="AC8:AC45" si="5">D8/J8</f>
        <v>#DIV/0!</v>
      </c>
    </row>
    <row r="9" spans="1:30" s="108" customFormat="1" ht="14.4">
      <c r="A9" s="368" t="s">
        <v>1684</v>
      </c>
      <c r="B9" s="63" t="s">
        <v>1685</v>
      </c>
      <c r="C9" s="1973"/>
      <c r="D9" s="125">
        <v>100</v>
      </c>
      <c r="E9" s="1973"/>
      <c r="F9" s="125">
        <f>SUMIF(74:74,E9,75:75)-SUMIF(74:74,C9,75:75)+100</f>
        <v>100</v>
      </c>
      <c r="G9" s="1973"/>
      <c r="H9" s="125">
        <f>SUMIF(74:74,G9,75:75)-SUMIF(74:74,C9,75:75)+100</f>
        <v>100</v>
      </c>
      <c r="I9" s="1973"/>
      <c r="J9" s="125">
        <f>SUMIF(74:74,I9,75:75)-SUMIF(74:74,C9,75:75)+100</f>
        <v>100</v>
      </c>
      <c r="K9" s="559"/>
      <c r="L9" s="2713"/>
      <c r="M9" s="2714"/>
      <c r="N9" s="2714"/>
      <c r="O9" s="2768"/>
      <c r="P9" s="3741"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702">
        <f t="shared" si="5"/>
        <v>1</v>
      </c>
    </row>
    <row r="10" spans="1:30" s="377" customFormat="1" ht="28.8">
      <c r="A10" s="373"/>
      <c r="B10" s="374" t="s">
        <v>1688</v>
      </c>
      <c r="C10" s="382"/>
      <c r="D10" s="126">
        <v>100</v>
      </c>
      <c r="E10" s="415"/>
      <c r="F10" s="126">
        <f>ROUND(100/'数据-取费表'!G16,0)</f>
        <v>112</v>
      </c>
      <c r="G10" s="413"/>
      <c r="H10" s="126">
        <f>ROUND(100/'数据-取费表'!G16,0)</f>
        <v>112</v>
      </c>
      <c r="I10" s="413"/>
      <c r="J10" s="126">
        <f>ROUND(100/'数据-取费表'!G16,0)</f>
        <v>112</v>
      </c>
      <c r="K10" s="619"/>
      <c r="L10" s="2715"/>
      <c r="M10" s="2716"/>
      <c r="N10" s="2716"/>
      <c r="O10" s="2769"/>
      <c r="P10" s="3741"/>
      <c r="Q10" s="1339" t="str">
        <f t="shared" si="6"/>
        <v>土地使用年限（年）</v>
      </c>
      <c r="R10" s="699" t="s">
        <v>14</v>
      </c>
      <c r="S10" s="700">
        <f t="shared" si="0"/>
        <v>112</v>
      </c>
      <c r="T10" s="699" t="s">
        <v>14</v>
      </c>
      <c r="U10" s="700">
        <f t="shared" si="1"/>
        <v>112</v>
      </c>
      <c r="V10" s="699" t="s">
        <v>14</v>
      </c>
      <c r="W10" s="700">
        <f t="shared" si="2"/>
        <v>112</v>
      </c>
      <c r="X10" s="701"/>
      <c r="Y10" s="3634"/>
      <c r="Z10" s="52" t="str">
        <f t="shared" si="7"/>
        <v>土地使用年限（年）</v>
      </c>
      <c r="AA10" s="702">
        <f t="shared" si="3"/>
        <v>0.8928571428571429</v>
      </c>
      <c r="AB10" s="702">
        <f t="shared" si="4"/>
        <v>0.8928571428571429</v>
      </c>
      <c r="AC10" s="702">
        <f t="shared" si="5"/>
        <v>0.8928571428571429</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7"/>
      <c r="M11" s="2712"/>
      <c r="N11" s="2712"/>
      <c r="O11" s="2770"/>
      <c r="P11" s="3741"/>
      <c r="Q11" s="1339" t="str">
        <f t="shared" si="6"/>
        <v>容积率</v>
      </c>
      <c r="R11" s="699" t="s">
        <v>14</v>
      </c>
      <c r="S11" s="700" t="e">
        <f t="shared" si="0"/>
        <v>#N/A</v>
      </c>
      <c r="T11" s="699" t="s">
        <v>14</v>
      </c>
      <c r="U11" s="700" t="e">
        <f t="shared" si="1"/>
        <v>#N/A</v>
      </c>
      <c r="V11" s="699" t="s">
        <v>14</v>
      </c>
      <c r="W11" s="700" t="e">
        <f t="shared" si="2"/>
        <v>#N/A</v>
      </c>
      <c r="X11" s="701"/>
      <c r="Y11" s="3634"/>
      <c r="Z11" s="52" t="str">
        <f t="shared" si="7"/>
        <v>容积率</v>
      </c>
      <c r="AA11" s="702" t="e">
        <f t="shared" si="3"/>
        <v>#N/A</v>
      </c>
      <c r="AB11" s="702" t="e">
        <f t="shared" si="4"/>
        <v>#N/A</v>
      </c>
      <c r="AC11" s="702" t="e">
        <f t="shared" si="5"/>
        <v>#N/A</v>
      </c>
    </row>
    <row r="12" spans="1:30" s="108" customFormat="1" ht="15">
      <c r="A12" s="381"/>
      <c r="B12" s="1889" t="s">
        <v>1870</v>
      </c>
      <c r="C12" s="382"/>
      <c r="D12" s="383">
        <v>100</v>
      </c>
      <c r="E12" s="415"/>
      <c r="F12" s="126">
        <f>SUMIF(81:81,E12,82:82)-SUMIF(81:81,C12,82:82)+100</f>
        <v>100</v>
      </c>
      <c r="G12" s="413"/>
      <c r="H12" s="126">
        <f>SUMIF(81:81,G12,82:82)-SUMIF(81:81,C12,82:82)+100</f>
        <v>100</v>
      </c>
      <c r="I12" s="415"/>
      <c r="J12" s="126">
        <f>SUMIF(81:81,I12,82:82)-SUMIF(81:81,C12,82:82)+100</f>
        <v>100</v>
      </c>
      <c r="K12" s="619"/>
      <c r="L12" s="2713"/>
      <c r="M12" s="2714"/>
      <c r="N12" s="2714"/>
      <c r="O12" s="2768"/>
      <c r="P12" s="3741"/>
      <c r="Q12" s="1339" t="str">
        <f t="shared" si="6"/>
        <v>配建</v>
      </c>
      <c r="R12" s="699" t="s">
        <v>14</v>
      </c>
      <c r="S12" s="700">
        <f t="shared" si="0"/>
        <v>100</v>
      </c>
      <c r="T12" s="699" t="s">
        <v>14</v>
      </c>
      <c r="U12" s="700">
        <f t="shared" si="1"/>
        <v>100</v>
      </c>
      <c r="V12" s="699" t="s">
        <v>14</v>
      </c>
      <c r="W12" s="700">
        <f t="shared" si="2"/>
        <v>100</v>
      </c>
      <c r="X12" s="701"/>
      <c r="Y12" s="3634"/>
      <c r="Z12" s="52" t="str">
        <f t="shared" si="7"/>
        <v>配建</v>
      </c>
      <c r="AA12" s="702">
        <f>D12/F12</f>
        <v>1</v>
      </c>
      <c r="AB12" s="702">
        <f>D12/H12</f>
        <v>1</v>
      </c>
      <c r="AC12" s="702">
        <f>D12/J12</f>
        <v>1</v>
      </c>
    </row>
    <row r="13" spans="1:30" ht="15">
      <c r="A13" s="378"/>
      <c r="B13" s="1889">
        <v>111</v>
      </c>
      <c r="C13" s="384"/>
      <c r="D13" s="385">
        <v>100</v>
      </c>
      <c r="E13" s="497"/>
      <c r="F13" s="126">
        <f>SUMIF(83:83,E13,84:84)-SUMIF(83:83,C13,84:84)+100</f>
        <v>100</v>
      </c>
      <c r="G13" s="621"/>
      <c r="H13" s="385">
        <f>SUMIF(83:83,G13,84:84)-SUMIF(83:83,C13,84:84)+100</f>
        <v>100</v>
      </c>
      <c r="I13" s="621"/>
      <c r="J13" s="385">
        <f>SUMIF(83:83,I13,84:84)-SUMIF(83:83,C13,84:84)+100</f>
        <v>100</v>
      </c>
      <c r="K13" s="619"/>
      <c r="L13" s="2718"/>
      <c r="M13" s="2712"/>
      <c r="N13" s="2712"/>
      <c r="O13" s="2770"/>
      <c r="P13" s="3741"/>
      <c r="Q13" s="1339">
        <f t="shared" si="6"/>
        <v>111</v>
      </c>
      <c r="R13" s="699" t="s">
        <v>14</v>
      </c>
      <c r="S13" s="700">
        <f t="shared" si="0"/>
        <v>100</v>
      </c>
      <c r="T13" s="699" t="s">
        <v>14</v>
      </c>
      <c r="U13" s="700">
        <f t="shared" si="1"/>
        <v>100</v>
      </c>
      <c r="V13" s="699" t="s">
        <v>14</v>
      </c>
      <c r="W13" s="700">
        <f t="shared" si="2"/>
        <v>100</v>
      </c>
      <c r="X13" s="701"/>
      <c r="Y13" s="3634"/>
      <c r="Z13" s="52">
        <f t="shared" si="7"/>
        <v>111</v>
      </c>
      <c r="AA13" s="702">
        <f>D13/F13</f>
        <v>1</v>
      </c>
      <c r="AB13" s="702">
        <f>D13/H13</f>
        <v>1</v>
      </c>
      <c r="AC13" s="702">
        <f>D13/J13</f>
        <v>1</v>
      </c>
    </row>
    <row r="14" spans="1:30" ht="15.6" thickBot="1">
      <c r="A14" s="386"/>
      <c r="B14" s="1891">
        <v>111</v>
      </c>
      <c r="C14" s="387"/>
      <c r="D14" s="388">
        <v>100</v>
      </c>
      <c r="E14" s="497"/>
      <c r="F14" s="388">
        <f>SUMIF(85:85,E14,86:86)-SUMIF(85:85,C14,86:86)+100</f>
        <v>100</v>
      </c>
      <c r="G14" s="621"/>
      <c r="H14" s="388">
        <f>SUMIF(85:85,G14,86:86)-SUMIF(85:85,C14,86:86)+100</f>
        <v>100</v>
      </c>
      <c r="I14" s="621"/>
      <c r="J14" s="388">
        <f>SUMIF(85:85,I14,86:86)-SUMIF(85:85,C14,86:86)+100</f>
        <v>100</v>
      </c>
      <c r="K14" s="619"/>
      <c r="L14" s="2718"/>
      <c r="M14" s="2712"/>
      <c r="N14" s="2712"/>
      <c r="O14" s="2770"/>
      <c r="P14" s="3741"/>
      <c r="Q14" s="1339">
        <f t="shared" si="6"/>
        <v>111</v>
      </c>
      <c r="R14" s="699" t="s">
        <v>14</v>
      </c>
      <c r="S14" s="700">
        <f t="shared" si="0"/>
        <v>100</v>
      </c>
      <c r="T14" s="699" t="s">
        <v>14</v>
      </c>
      <c r="U14" s="700">
        <f t="shared" si="1"/>
        <v>100</v>
      </c>
      <c r="V14" s="699" t="s">
        <v>14</v>
      </c>
      <c r="W14" s="700">
        <f t="shared" si="2"/>
        <v>100</v>
      </c>
      <c r="X14" s="701"/>
      <c r="Y14" s="3634"/>
      <c r="Z14" s="52">
        <f t="shared" si="7"/>
        <v>111</v>
      </c>
      <c r="AA14" s="702">
        <f>D14/F14</f>
        <v>1</v>
      </c>
      <c r="AB14" s="702">
        <f>D14/H14</f>
        <v>1</v>
      </c>
      <c r="AC14" s="702">
        <f>D14/J14</f>
        <v>1</v>
      </c>
    </row>
    <row r="15" spans="1:30" ht="96.6">
      <c r="A15" s="390" t="s">
        <v>1690</v>
      </c>
      <c r="B15" s="61" t="s">
        <v>1257</v>
      </c>
      <c r="C15" s="1892"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8"/>
      <c r="M15" s="2712"/>
      <c r="N15" s="2712"/>
      <c r="O15" s="2770"/>
      <c r="P15" s="3743" t="s">
        <v>1691</v>
      </c>
      <c r="Q15" s="1348" t="str">
        <f t="shared" si="6"/>
        <v>居住社区成熟度</v>
      </c>
      <c r="R15" s="703" t="s">
        <v>14</v>
      </c>
      <c r="S15" s="704">
        <f t="shared" si="0"/>
        <v>100</v>
      </c>
      <c r="T15" s="703" t="s">
        <v>14</v>
      </c>
      <c r="U15" s="704">
        <f t="shared" si="1"/>
        <v>100</v>
      </c>
      <c r="V15" s="703" t="s">
        <v>14</v>
      </c>
      <c r="W15" s="704">
        <f t="shared" si="2"/>
        <v>100</v>
      </c>
      <c r="X15" s="1351"/>
      <c r="Y15" s="3743" t="s">
        <v>1691</v>
      </c>
      <c r="Z15" s="1352" t="str">
        <f t="shared" si="7"/>
        <v>居住社区成熟度</v>
      </c>
      <c r="AA15" s="1349">
        <f t="shared" si="3"/>
        <v>1</v>
      </c>
      <c r="AB15" s="1349">
        <f t="shared" si="4"/>
        <v>1</v>
      </c>
      <c r="AC15" s="1349">
        <f t="shared" si="5"/>
        <v>1</v>
      </c>
    </row>
    <row r="16" spans="1:30" ht="15">
      <c r="A16" s="378"/>
      <c r="B16" s="396"/>
      <c r="C16" s="397"/>
      <c r="D16" s="398"/>
      <c r="E16" s="1894"/>
      <c r="F16" s="398"/>
      <c r="G16" s="1894"/>
      <c r="H16" s="400"/>
      <c r="I16" s="1893"/>
      <c r="J16" s="398"/>
      <c r="K16" s="619"/>
      <c r="L16" s="2718"/>
      <c r="M16" s="2712"/>
      <c r="N16" s="2712"/>
      <c r="O16" s="2770"/>
      <c r="P16" s="3744"/>
      <c r="Q16" s="1348"/>
      <c r="R16" s="703"/>
      <c r="S16" s="704"/>
      <c r="T16" s="703"/>
      <c r="U16" s="704"/>
      <c r="V16" s="703"/>
      <c r="W16" s="704"/>
      <c r="X16" s="1351"/>
      <c r="Y16" s="3744"/>
      <c r="Z16" s="1352"/>
      <c r="AA16" s="1349">
        <v>1</v>
      </c>
      <c r="AB16" s="1349">
        <v>1</v>
      </c>
      <c r="AC16" s="1349">
        <v>1</v>
      </c>
    </row>
    <row r="17" spans="1:29" ht="82.8">
      <c r="A17" s="378"/>
      <c r="B17" s="401" t="s">
        <v>1777</v>
      </c>
      <c r="C17" s="1951"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8"/>
      <c r="M17" s="2712"/>
      <c r="N17" s="2712"/>
      <c r="O17" s="2770"/>
      <c r="P17" s="3744"/>
      <c r="Q17" s="1348" t="str">
        <f>B17</f>
        <v>商业繁华度</v>
      </c>
      <c r="R17" s="703" t="s">
        <v>14</v>
      </c>
      <c r="S17" s="704">
        <f>F17</f>
        <v>100</v>
      </c>
      <c r="T17" s="703" t="s">
        <v>14</v>
      </c>
      <c r="U17" s="704">
        <f>H17</f>
        <v>100</v>
      </c>
      <c r="V17" s="703" t="s">
        <v>14</v>
      </c>
      <c r="W17" s="704">
        <f>J17</f>
        <v>100</v>
      </c>
      <c r="X17" s="1351"/>
      <c r="Y17" s="3744"/>
      <c r="Z17" s="1352" t="str">
        <f>Q17</f>
        <v>商业繁华度</v>
      </c>
      <c r="AA17" s="1349">
        <f t="shared" si="3"/>
        <v>1</v>
      </c>
      <c r="AB17" s="1349">
        <f t="shared" si="4"/>
        <v>1</v>
      </c>
      <c r="AC17" s="1349">
        <f t="shared" si="5"/>
        <v>1</v>
      </c>
    </row>
    <row r="18" spans="1:29" ht="15">
      <c r="A18" s="378"/>
      <c r="B18" s="406"/>
      <c r="C18" s="1897"/>
      <c r="D18" s="400"/>
      <c r="E18" s="1899"/>
      <c r="F18" s="400"/>
      <c r="G18" s="1899"/>
      <c r="H18" s="398"/>
      <c r="I18" s="1898"/>
      <c r="J18" s="398"/>
      <c r="K18" s="619"/>
      <c r="L18" s="2718"/>
      <c r="M18" s="2712"/>
      <c r="N18" s="2712"/>
      <c r="O18" s="2770"/>
      <c r="P18" s="3744"/>
      <c r="Q18" s="1348"/>
      <c r="R18" s="703"/>
      <c r="S18" s="704"/>
      <c r="T18" s="703"/>
      <c r="U18" s="704"/>
      <c r="V18" s="703"/>
      <c r="W18" s="704"/>
      <c r="X18" s="1351"/>
      <c r="Y18" s="3744"/>
      <c r="Z18" s="1352"/>
      <c r="AA18" s="1349">
        <v>1</v>
      </c>
      <c r="AB18" s="1349">
        <v>1</v>
      </c>
      <c r="AC18" s="1349">
        <v>1</v>
      </c>
    </row>
    <row r="19" spans="1:29" ht="82.8">
      <c r="A19" s="378"/>
      <c r="B19" s="401" t="s">
        <v>1811</v>
      </c>
      <c r="C19" s="1951"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8"/>
      <c r="M19" s="2712"/>
      <c r="N19" s="2712"/>
      <c r="O19" s="2770"/>
      <c r="P19" s="3744"/>
      <c r="Q19" s="1348" t="str">
        <f>B19</f>
        <v>办公集聚程度</v>
      </c>
      <c r="R19" s="703" t="s">
        <v>14</v>
      </c>
      <c r="S19" s="704">
        <f>F19</f>
        <v>100</v>
      </c>
      <c r="T19" s="703" t="s">
        <v>14</v>
      </c>
      <c r="U19" s="704">
        <f>H19</f>
        <v>100</v>
      </c>
      <c r="V19" s="703" t="s">
        <v>14</v>
      </c>
      <c r="W19" s="704">
        <f>J19</f>
        <v>100</v>
      </c>
      <c r="X19" s="1351"/>
      <c r="Y19" s="3744"/>
      <c r="Z19" s="1352" t="str">
        <f>Q19</f>
        <v>办公集聚程度</v>
      </c>
      <c r="AA19" s="1349">
        <f t="shared" si="3"/>
        <v>1</v>
      </c>
      <c r="AB19" s="1349">
        <f t="shared" si="4"/>
        <v>1</v>
      </c>
      <c r="AC19" s="1349">
        <f t="shared" si="5"/>
        <v>1</v>
      </c>
    </row>
    <row r="20" spans="1:29" ht="15">
      <c r="A20" s="378"/>
      <c r="B20" s="406"/>
      <c r="C20" s="397"/>
      <c r="D20" s="398"/>
      <c r="E20" s="1894"/>
      <c r="F20" s="398"/>
      <c r="G20" s="1894"/>
      <c r="H20" s="398"/>
      <c r="I20" s="1893"/>
      <c r="J20" s="398"/>
      <c r="K20" s="619"/>
      <c r="L20" s="2718"/>
      <c r="M20" s="2712"/>
      <c r="N20" s="2712"/>
      <c r="O20" s="2770"/>
      <c r="P20" s="3744"/>
      <c r="Q20" s="1348"/>
      <c r="R20" s="703"/>
      <c r="S20" s="704"/>
      <c r="T20" s="703"/>
      <c r="U20" s="704"/>
      <c r="V20" s="703"/>
      <c r="W20" s="704"/>
      <c r="X20" s="1351"/>
      <c r="Y20" s="3744"/>
      <c r="Z20" s="1352"/>
      <c r="AA20" s="1349">
        <v>1</v>
      </c>
      <c r="AB20" s="1349">
        <v>1</v>
      </c>
      <c r="AC20" s="1349">
        <v>1</v>
      </c>
    </row>
    <row r="21" spans="1:29" ht="96.6">
      <c r="A21" s="378"/>
      <c r="B21" s="401" t="s">
        <v>1833</v>
      </c>
      <c r="C21" s="1896"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8"/>
      <c r="M21" s="2712"/>
      <c r="N21" s="2712"/>
      <c r="O21" s="2770"/>
      <c r="P21" s="3744"/>
      <c r="Q21" s="1348" t="str">
        <f>B21</f>
        <v>交通便捷度</v>
      </c>
      <c r="R21" s="703" t="s">
        <v>14</v>
      </c>
      <c r="S21" s="704">
        <f>F21</f>
        <v>100</v>
      </c>
      <c r="T21" s="703" t="s">
        <v>14</v>
      </c>
      <c r="U21" s="704">
        <f>H21</f>
        <v>100</v>
      </c>
      <c r="V21" s="703" t="s">
        <v>14</v>
      </c>
      <c r="W21" s="704">
        <f>J21</f>
        <v>100</v>
      </c>
      <c r="X21" s="1351"/>
      <c r="Y21" s="3744"/>
      <c r="Z21" s="1352" t="str">
        <f>Q21</f>
        <v>交通便捷度</v>
      </c>
      <c r="AA21" s="1349">
        <f t="shared" si="3"/>
        <v>1</v>
      </c>
      <c r="AB21" s="1349">
        <f t="shared" si="4"/>
        <v>1</v>
      </c>
      <c r="AC21" s="1349">
        <f t="shared" si="5"/>
        <v>1</v>
      </c>
    </row>
    <row r="22" spans="1:29" ht="15">
      <c r="A22" s="378"/>
      <c r="B22" s="1127"/>
      <c r="C22" s="397"/>
      <c r="D22" s="400"/>
      <c r="E22" s="1894"/>
      <c r="F22" s="398"/>
      <c r="G22" s="1894"/>
      <c r="H22" s="398"/>
      <c r="I22" s="1893"/>
      <c r="J22" s="398"/>
      <c r="K22" s="619"/>
      <c r="L22" s="2718"/>
      <c r="M22" s="2712"/>
      <c r="N22" s="2712"/>
      <c r="O22" s="2770"/>
      <c r="P22" s="3744"/>
      <c r="Q22" s="1348"/>
      <c r="R22" s="703"/>
      <c r="S22" s="704"/>
      <c r="T22" s="703"/>
      <c r="U22" s="704"/>
      <c r="V22" s="703"/>
      <c r="W22" s="704"/>
      <c r="X22" s="1351"/>
      <c r="Y22" s="3744"/>
      <c r="Z22" s="1352"/>
      <c r="AA22" s="1349">
        <v>1</v>
      </c>
      <c r="AB22" s="1349">
        <v>1</v>
      </c>
      <c r="AC22" s="1349">
        <v>1</v>
      </c>
    </row>
    <row r="23" spans="1:29" ht="28.8">
      <c r="A23" s="357"/>
      <c r="B23" s="401" t="s">
        <v>1871</v>
      </c>
      <c r="C23" s="1132">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8"/>
      <c r="M23" s="2712"/>
      <c r="N23" s="2712"/>
      <c r="O23" s="2770"/>
      <c r="P23" s="3744"/>
      <c r="Q23" s="1348" t="str">
        <f t="shared" ref="Q23:Q37" si="8">B23</f>
        <v>区域土地利用方向</v>
      </c>
      <c r="R23" s="703" t="s">
        <v>14</v>
      </c>
      <c r="S23" s="704">
        <f>F23</f>
        <v>100</v>
      </c>
      <c r="T23" s="703" t="s">
        <v>14</v>
      </c>
      <c r="U23" s="704">
        <f>H23</f>
        <v>100</v>
      </c>
      <c r="V23" s="703" t="s">
        <v>14</v>
      </c>
      <c r="W23" s="704">
        <f>J23</f>
        <v>100</v>
      </c>
      <c r="X23" s="1351"/>
      <c r="Y23" s="3744"/>
      <c r="Z23" s="1352" t="str">
        <f>Q23</f>
        <v>区域土地利用方向</v>
      </c>
      <c r="AA23" s="1349">
        <f t="shared" si="3"/>
        <v>1</v>
      </c>
      <c r="AB23" s="1349">
        <f t="shared" si="4"/>
        <v>1</v>
      </c>
      <c r="AC23" s="1349">
        <f t="shared" si="5"/>
        <v>1</v>
      </c>
    </row>
    <row r="24" spans="1:29" ht="15">
      <c r="A24" s="357"/>
      <c r="B24" s="406"/>
      <c r="C24" s="564"/>
      <c r="D24" s="398"/>
      <c r="E24" s="1894"/>
      <c r="F24" s="398"/>
      <c r="G24" s="1893"/>
      <c r="H24" s="398"/>
      <c r="I24" s="1893"/>
      <c r="J24" s="398"/>
      <c r="K24" s="736"/>
      <c r="L24" s="2718"/>
      <c r="M24" s="2712"/>
      <c r="N24" s="2712"/>
      <c r="O24" s="2770"/>
      <c r="P24" s="3744"/>
      <c r="Q24" s="1348"/>
      <c r="R24" s="703"/>
      <c r="S24" s="704"/>
      <c r="T24" s="703"/>
      <c r="U24" s="704"/>
      <c r="V24" s="703"/>
      <c r="W24" s="704"/>
      <c r="X24" s="1351"/>
      <c r="Y24" s="3744"/>
      <c r="Z24" s="1352"/>
      <c r="AA24" s="1349"/>
      <c r="AB24" s="1349"/>
      <c r="AC24" s="1349"/>
    </row>
    <row r="25" spans="1:29" ht="55.2">
      <c r="A25" s="357"/>
      <c r="B25" s="1127" t="s">
        <v>1872</v>
      </c>
      <c r="C25" s="1951"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8"/>
      <c r="M25" s="2712"/>
      <c r="N25" s="2712"/>
      <c r="O25" s="2770"/>
      <c r="P25" s="3744"/>
      <c r="Q25" s="1348" t="str">
        <f t="shared" si="8"/>
        <v>自然及人文环境状况</v>
      </c>
      <c r="R25" s="703" t="s">
        <v>14</v>
      </c>
      <c r="S25" s="704">
        <f>F25</f>
        <v>100</v>
      </c>
      <c r="T25" s="703" t="s">
        <v>14</v>
      </c>
      <c r="U25" s="704">
        <f>H25</f>
        <v>100</v>
      </c>
      <c r="V25" s="703" t="s">
        <v>14</v>
      </c>
      <c r="W25" s="704">
        <f>J25</f>
        <v>100</v>
      </c>
      <c r="X25" s="1351"/>
      <c r="Y25" s="3744"/>
      <c r="Z25" s="1352" t="str">
        <f>Q25</f>
        <v>自然及人文环境状况</v>
      </c>
      <c r="AA25" s="1349">
        <f t="shared" si="3"/>
        <v>1</v>
      </c>
      <c r="AB25" s="1349">
        <f t="shared" si="4"/>
        <v>1</v>
      </c>
      <c r="AC25" s="1349">
        <f t="shared" si="5"/>
        <v>1</v>
      </c>
    </row>
    <row r="26" spans="1:29" ht="15">
      <c r="A26" s="357"/>
      <c r="B26" s="406"/>
      <c r="C26" s="397"/>
      <c r="D26" s="398"/>
      <c r="E26" s="1900"/>
      <c r="F26" s="398"/>
      <c r="G26" s="1900"/>
      <c r="H26" s="398"/>
      <c r="I26" s="397"/>
      <c r="J26" s="398"/>
      <c r="K26" s="619"/>
      <c r="L26" s="2718"/>
      <c r="M26" s="2712"/>
      <c r="N26" s="2712"/>
      <c r="O26" s="2770"/>
      <c r="P26" s="3744"/>
      <c r="Q26" s="1348"/>
      <c r="R26" s="703"/>
      <c r="S26" s="704"/>
      <c r="T26" s="703"/>
      <c r="U26" s="704"/>
      <c r="V26" s="703"/>
      <c r="W26" s="704"/>
      <c r="X26" s="1351"/>
      <c r="Y26" s="3744"/>
      <c r="Z26" s="1352"/>
      <c r="AA26" s="1349">
        <v>1</v>
      </c>
      <c r="AB26" s="1349">
        <v>1</v>
      </c>
      <c r="AC26" s="1349">
        <v>1</v>
      </c>
    </row>
    <row r="27" spans="1:29" s="108" customFormat="1" ht="41.4">
      <c r="A27" s="596"/>
      <c r="B27" s="1127" t="s">
        <v>1778</v>
      </c>
      <c r="C27" s="1896"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3"/>
      <c r="M27" s="2714"/>
      <c r="N27" s="2714"/>
      <c r="O27" s="2768"/>
      <c r="P27" s="3744"/>
      <c r="Q27" s="1339" t="str">
        <f t="shared" si="8"/>
        <v>公共配套设施</v>
      </c>
      <c r="R27" s="699" t="s">
        <v>14</v>
      </c>
      <c r="S27" s="700">
        <f>F27</f>
        <v>100</v>
      </c>
      <c r="T27" s="699" t="s">
        <v>14</v>
      </c>
      <c r="U27" s="700">
        <f>H27</f>
        <v>100</v>
      </c>
      <c r="V27" s="699" t="s">
        <v>14</v>
      </c>
      <c r="W27" s="700">
        <f>J27</f>
        <v>100</v>
      </c>
      <c r="X27" s="701"/>
      <c r="Y27" s="3744"/>
      <c r="Z27" s="52" t="str">
        <f>Q27</f>
        <v>公共配套设施</v>
      </c>
      <c r="AA27" s="1349">
        <f>D27/F27</f>
        <v>1</v>
      </c>
      <c r="AB27" s="1349">
        <f>D27/H27</f>
        <v>1</v>
      </c>
      <c r="AC27" s="1349">
        <f>D27/J27</f>
        <v>1</v>
      </c>
    </row>
    <row r="28" spans="1:29" s="108" customFormat="1" ht="15">
      <c r="A28" s="596"/>
      <c r="B28" s="406"/>
      <c r="C28" s="1974"/>
      <c r="D28" s="398"/>
      <c r="E28" s="1900"/>
      <c r="F28" s="398"/>
      <c r="G28" s="1900"/>
      <c r="H28" s="398"/>
      <c r="I28" s="397"/>
      <c r="J28" s="398"/>
      <c r="K28" s="619"/>
      <c r="L28" s="2713"/>
      <c r="M28" s="2714"/>
      <c r="N28" s="2714"/>
      <c r="O28" s="2768"/>
      <c r="P28" s="3744"/>
      <c r="Q28" s="1339"/>
      <c r="R28" s="699"/>
      <c r="S28" s="700"/>
      <c r="T28" s="699"/>
      <c r="U28" s="700"/>
      <c r="V28" s="699"/>
      <c r="W28" s="700"/>
      <c r="X28" s="701"/>
      <c r="Y28" s="3744"/>
      <c r="Z28" s="52"/>
      <c r="AA28" s="1349">
        <v>1</v>
      </c>
      <c r="AB28" s="1349">
        <v>1</v>
      </c>
      <c r="AC28" s="1349">
        <v>1</v>
      </c>
    </row>
    <row r="29" spans="1:29" s="108" customFormat="1" ht="41.4">
      <c r="A29" s="596"/>
      <c r="B29" s="1127" t="s">
        <v>1779</v>
      </c>
      <c r="C29" s="1896"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3"/>
      <c r="M29" s="2714"/>
      <c r="N29" s="2714"/>
      <c r="O29" s="2768"/>
      <c r="P29" s="3744"/>
      <c r="Q29" s="1339" t="str">
        <f t="shared" ref="Q29" si="9">B29</f>
        <v>基础设施水平</v>
      </c>
      <c r="R29" s="699" t="s">
        <v>14</v>
      </c>
      <c r="S29" s="700">
        <f>F29</f>
        <v>100</v>
      </c>
      <c r="T29" s="699" t="s">
        <v>14</v>
      </c>
      <c r="U29" s="700">
        <f>H29</f>
        <v>100</v>
      </c>
      <c r="V29" s="699" t="s">
        <v>14</v>
      </c>
      <c r="W29" s="700">
        <f>J29</f>
        <v>100</v>
      </c>
      <c r="X29" s="701"/>
      <c r="Y29" s="3744"/>
      <c r="Z29" s="52" t="str">
        <f>Q29</f>
        <v>基础设施水平</v>
      </c>
      <c r="AA29" s="1349">
        <f>D29/F29</f>
        <v>1</v>
      </c>
      <c r="AB29" s="1349">
        <f>D29/H29</f>
        <v>1</v>
      </c>
      <c r="AC29" s="1349">
        <f>D29/J29</f>
        <v>1</v>
      </c>
    </row>
    <row r="30" spans="1:29" s="108" customFormat="1" ht="15">
      <c r="A30" s="596"/>
      <c r="B30" s="406"/>
      <c r="C30" s="1974"/>
      <c r="D30" s="398"/>
      <c r="E30" s="1975"/>
      <c r="F30" s="398"/>
      <c r="G30" s="1975"/>
      <c r="H30" s="398"/>
      <c r="I30" s="1975"/>
      <c r="J30" s="398"/>
      <c r="K30" s="619"/>
      <c r="L30" s="2713"/>
      <c r="M30" s="2714"/>
      <c r="N30" s="2714"/>
      <c r="O30" s="2768"/>
      <c r="P30" s="3744"/>
      <c r="Q30" s="1339"/>
      <c r="R30" s="699"/>
      <c r="S30" s="700"/>
      <c r="T30" s="699"/>
      <c r="U30" s="700"/>
      <c r="V30" s="699"/>
      <c r="W30" s="700"/>
      <c r="X30" s="701"/>
      <c r="Y30" s="3744"/>
      <c r="Z30" s="52"/>
      <c r="AA30" s="1349">
        <v>1</v>
      </c>
      <c r="AB30" s="1349">
        <v>1</v>
      </c>
      <c r="AC30" s="1349">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8"/>
      <c r="M31" s="2712"/>
      <c r="N31" s="2712"/>
      <c r="O31" s="2770"/>
      <c r="P31" s="3744"/>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44"/>
      <c r="Z31" s="1352" t="str">
        <f t="shared" ref="Z31:Z45" si="13">Q31</f>
        <v>临街状况</v>
      </c>
      <c r="AA31" s="1349">
        <f t="shared" si="3"/>
        <v>1</v>
      </c>
      <c r="AB31" s="1349">
        <f t="shared" si="4"/>
        <v>1</v>
      </c>
      <c r="AC31" s="1349">
        <f t="shared" si="5"/>
        <v>1</v>
      </c>
    </row>
    <row r="32" spans="1:29" ht="28.8">
      <c r="A32" s="378"/>
      <c r="B32" s="1127"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8"/>
      <c r="M32" s="2712"/>
      <c r="N32" s="2712"/>
      <c r="O32" s="2770"/>
      <c r="P32" s="3744"/>
      <c r="Q32" s="1348" t="str">
        <f t="shared" si="8"/>
        <v>毗邻道路的类型与等级</v>
      </c>
      <c r="R32" s="703" t="s">
        <v>14</v>
      </c>
      <c r="S32" s="704">
        <f t="shared" si="10"/>
        <v>100</v>
      </c>
      <c r="T32" s="703" t="s">
        <v>14</v>
      </c>
      <c r="U32" s="704">
        <f t="shared" si="11"/>
        <v>100</v>
      </c>
      <c r="V32" s="703" t="s">
        <v>14</v>
      </c>
      <c r="W32" s="704">
        <f t="shared" si="12"/>
        <v>100</v>
      </c>
      <c r="X32" s="1351"/>
      <c r="Y32" s="3744"/>
      <c r="Z32" s="1352" t="str">
        <f t="shared" si="13"/>
        <v>毗邻道路的类型与等级</v>
      </c>
      <c r="AA32" s="1349">
        <f t="shared" si="3"/>
        <v>1</v>
      </c>
      <c r="AB32" s="1349">
        <f t="shared" si="4"/>
        <v>1</v>
      </c>
      <c r="AC32" s="1349">
        <f t="shared" si="5"/>
        <v>1</v>
      </c>
    </row>
    <row r="33" spans="1:29" ht="15">
      <c r="A33" s="378"/>
      <c r="B33" s="406"/>
      <c r="C33" s="397"/>
      <c r="D33" s="398"/>
      <c r="E33" s="1900"/>
      <c r="F33" s="398"/>
      <c r="G33" s="1900"/>
      <c r="H33" s="398"/>
      <c r="I33" s="397"/>
      <c r="J33" s="398"/>
      <c r="K33" s="561"/>
      <c r="L33" s="2718"/>
      <c r="M33" s="2712"/>
      <c r="N33" s="2712"/>
      <c r="O33" s="2770"/>
      <c r="P33" s="3744"/>
      <c r="Q33" s="1348"/>
      <c r="R33" s="703"/>
      <c r="S33" s="704"/>
      <c r="T33" s="703"/>
      <c r="U33" s="704"/>
      <c r="V33" s="703"/>
      <c r="W33" s="704"/>
      <c r="X33" s="1351"/>
      <c r="Y33" s="3744"/>
      <c r="Z33" s="1352"/>
      <c r="AA33" s="1349">
        <v>1</v>
      </c>
      <c r="AB33" s="1349">
        <v>1</v>
      </c>
      <c r="AC33" s="1349">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8"/>
      <c r="M34" s="2712"/>
      <c r="N34" s="2712"/>
      <c r="O34" s="2770"/>
      <c r="P34" s="3744"/>
      <c r="Q34" s="1348" t="str">
        <f t="shared" si="8"/>
        <v>土地级别</v>
      </c>
      <c r="R34" s="703" t="s">
        <v>14</v>
      </c>
      <c r="S34" s="704">
        <f t="shared" si="10"/>
        <v>100</v>
      </c>
      <c r="T34" s="703" t="s">
        <v>14</v>
      </c>
      <c r="U34" s="704">
        <f t="shared" si="11"/>
        <v>100</v>
      </c>
      <c r="V34" s="703" t="s">
        <v>14</v>
      </c>
      <c r="W34" s="704">
        <f t="shared" si="12"/>
        <v>100</v>
      </c>
      <c r="X34" s="1351"/>
      <c r="Y34" s="3744"/>
      <c r="Z34" s="1352" t="str">
        <f t="shared" si="13"/>
        <v>土地级别</v>
      </c>
      <c r="AA34" s="1349">
        <f t="shared" si="3"/>
        <v>1</v>
      </c>
      <c r="AB34" s="1349">
        <f t="shared" si="4"/>
        <v>1</v>
      </c>
      <c r="AC34" s="1349">
        <f t="shared" si="5"/>
        <v>1</v>
      </c>
    </row>
    <row r="35" spans="1:29" ht="15">
      <c r="A35" s="357"/>
      <c r="B35" s="1129">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8"/>
      <c r="M35" s="2712"/>
      <c r="N35" s="2712"/>
      <c r="O35" s="2770"/>
      <c r="P35" s="3744"/>
      <c r="Q35" s="1348">
        <f t="shared" si="8"/>
        <v>111</v>
      </c>
      <c r="R35" s="703" t="s">
        <v>14</v>
      </c>
      <c r="S35" s="704">
        <f t="shared" si="10"/>
        <v>100</v>
      </c>
      <c r="T35" s="703" t="s">
        <v>14</v>
      </c>
      <c r="U35" s="704">
        <f t="shared" si="11"/>
        <v>100</v>
      </c>
      <c r="V35" s="703" t="s">
        <v>14</v>
      </c>
      <c r="W35" s="704">
        <f t="shared" si="12"/>
        <v>100</v>
      </c>
      <c r="X35" s="1351"/>
      <c r="Y35" s="3744"/>
      <c r="Z35" s="1352">
        <f t="shared" si="13"/>
        <v>111</v>
      </c>
      <c r="AA35" s="1349">
        <f t="shared" si="3"/>
        <v>1</v>
      </c>
      <c r="AB35" s="1349">
        <f t="shared" si="4"/>
        <v>1</v>
      </c>
      <c r="AC35" s="1349">
        <f t="shared" si="5"/>
        <v>1</v>
      </c>
    </row>
    <row r="36" spans="1:29" ht="15">
      <c r="A36" s="622"/>
      <c r="B36" s="1130">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8"/>
      <c r="M36" s="2712"/>
      <c r="N36" s="2712"/>
      <c r="O36" s="2770"/>
      <c r="P36" s="3767" t="s">
        <v>1696</v>
      </c>
      <c r="Q36" s="1348">
        <f t="shared" si="8"/>
        <v>111</v>
      </c>
      <c r="R36" s="703" t="s">
        <v>14</v>
      </c>
      <c r="S36" s="704">
        <f t="shared" si="10"/>
        <v>100</v>
      </c>
      <c r="T36" s="703" t="s">
        <v>14</v>
      </c>
      <c r="U36" s="704">
        <f t="shared" si="11"/>
        <v>100</v>
      </c>
      <c r="V36" s="703" t="s">
        <v>14</v>
      </c>
      <c r="W36" s="704">
        <f t="shared" si="12"/>
        <v>100</v>
      </c>
      <c r="X36" s="1351"/>
      <c r="Y36" s="3748" t="s">
        <v>1696</v>
      </c>
      <c r="Z36" s="1352">
        <f t="shared" si="13"/>
        <v>111</v>
      </c>
      <c r="AA36" s="1349">
        <f t="shared" si="3"/>
        <v>1</v>
      </c>
      <c r="AB36" s="1349">
        <f t="shared" si="4"/>
        <v>1</v>
      </c>
      <c r="AC36" s="1349">
        <f t="shared" si="5"/>
        <v>1</v>
      </c>
    </row>
    <row r="37" spans="1:29" s="421" customFormat="1" ht="15.6" thickBot="1">
      <c r="A37" s="623"/>
      <c r="B37" s="1131">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7"/>
      <c r="M37" s="2719"/>
      <c r="N37" s="2719"/>
      <c r="O37" s="2771"/>
      <c r="P37" s="3748"/>
      <c r="Q37" s="1348">
        <f t="shared" si="8"/>
        <v>111</v>
      </c>
      <c r="R37" s="706" t="s">
        <v>14</v>
      </c>
      <c r="S37" s="707">
        <f t="shared" si="10"/>
        <v>100</v>
      </c>
      <c r="T37" s="706" t="s">
        <v>14</v>
      </c>
      <c r="U37" s="707">
        <f t="shared" si="11"/>
        <v>100</v>
      </c>
      <c r="V37" s="706" t="s">
        <v>14</v>
      </c>
      <c r="W37" s="707">
        <f t="shared" si="12"/>
        <v>100</v>
      </c>
      <c r="X37" s="708"/>
      <c r="Y37" s="3748"/>
      <c r="Z37" s="709">
        <f t="shared" si="13"/>
        <v>111</v>
      </c>
      <c r="AA37" s="1349">
        <f t="shared" si="3"/>
        <v>1</v>
      </c>
      <c r="AB37" s="1349">
        <f t="shared" si="4"/>
        <v>1</v>
      </c>
      <c r="AC37" s="1349">
        <f t="shared" si="5"/>
        <v>1</v>
      </c>
    </row>
    <row r="38" spans="1:29" ht="15.6">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8"/>
      <c r="M38" s="2712"/>
      <c r="N38" s="2712"/>
      <c r="O38" s="2770"/>
      <c r="P38" s="3748"/>
      <c r="Q38" s="1348" t="str">
        <f>B38</f>
        <v>宗地面积</v>
      </c>
      <c r="R38" s="703" t="s">
        <v>14</v>
      </c>
      <c r="S38" s="704" t="e">
        <f t="shared" si="10"/>
        <v>#N/A</v>
      </c>
      <c r="T38" s="703" t="s">
        <v>14</v>
      </c>
      <c r="U38" s="704" t="e">
        <f t="shared" si="11"/>
        <v>#N/A</v>
      </c>
      <c r="V38" s="703" t="s">
        <v>14</v>
      </c>
      <c r="W38" s="704" t="e">
        <f t="shared" si="12"/>
        <v>#N/A</v>
      </c>
      <c r="X38" s="1351"/>
      <c r="Y38" s="3748"/>
      <c r="Z38" s="1352" t="str">
        <f t="shared" si="13"/>
        <v>宗地面积</v>
      </c>
      <c r="AA38" s="1349" t="e">
        <f t="shared" si="3"/>
        <v>#N/A</v>
      </c>
      <c r="AB38" s="1349" t="e">
        <f t="shared" si="4"/>
        <v>#N/A</v>
      </c>
      <c r="AC38" s="1349" t="e">
        <f t="shared" si="5"/>
        <v>#N/A</v>
      </c>
    </row>
    <row r="39" spans="1:29" ht="15">
      <c r="A39" s="422"/>
      <c r="B39" s="374" t="s">
        <v>1875</v>
      </c>
      <c r="C39" s="1902"/>
      <c r="D39" s="385">
        <v>100</v>
      </c>
      <c r="E39" s="1902"/>
      <c r="F39" s="385">
        <f>SUMIF(118:118,E39,119:119)-SUMIF(118:118,C39,119:119)+100</f>
        <v>100</v>
      </c>
      <c r="G39" s="1902"/>
      <c r="H39" s="385">
        <f>SUMIF(118:118,G39,119:119)-SUMIF(118:118,C39,119:119)+100</f>
        <v>100</v>
      </c>
      <c r="I39" s="1902"/>
      <c r="J39" s="385">
        <f>SUMIF(118:118,I39,119:119)-SUMIF(118:118,C39,119:119)+100</f>
        <v>100</v>
      </c>
      <c r="K39" s="560"/>
      <c r="L39" s="2718"/>
      <c r="M39" s="2712"/>
      <c r="N39" s="2712"/>
      <c r="O39" s="2770"/>
      <c r="P39" s="3748"/>
      <c r="Q39" s="1348" t="str">
        <f t="shared" ref="Q39:Q45" si="14">B39</f>
        <v>宗地形状</v>
      </c>
      <c r="R39" s="703" t="s">
        <v>14</v>
      </c>
      <c r="S39" s="704">
        <f t="shared" si="10"/>
        <v>100</v>
      </c>
      <c r="T39" s="703" t="s">
        <v>14</v>
      </c>
      <c r="U39" s="704">
        <f t="shared" si="11"/>
        <v>100</v>
      </c>
      <c r="V39" s="703" t="s">
        <v>14</v>
      </c>
      <c r="W39" s="704">
        <f t="shared" si="12"/>
        <v>100</v>
      </c>
      <c r="X39" s="1351"/>
      <c r="Y39" s="3748"/>
      <c r="Z39" s="1352" t="str">
        <f t="shared" si="13"/>
        <v>宗地形状</v>
      </c>
      <c r="AA39" s="1349">
        <f t="shared" si="3"/>
        <v>1</v>
      </c>
      <c r="AB39" s="1349">
        <f t="shared" si="4"/>
        <v>1</v>
      </c>
      <c r="AC39" s="1349">
        <f t="shared" si="5"/>
        <v>1</v>
      </c>
    </row>
    <row r="40" spans="1:29" ht="15">
      <c r="A40" s="422"/>
      <c r="B40" s="374" t="s">
        <v>1876</v>
      </c>
      <c r="C40" s="1902"/>
      <c r="D40" s="385">
        <v>100</v>
      </c>
      <c r="E40" s="1902"/>
      <c r="F40" s="385">
        <f>SUMIF(120:120,E40,121:121)-SUMIF(120:120,C40,121:121)+100</f>
        <v>100</v>
      </c>
      <c r="G40" s="1902"/>
      <c r="H40" s="385">
        <f>SUMIF(120:120,G40,121:121)-SUMIF(120:120,C40,121:121)+100</f>
        <v>100</v>
      </c>
      <c r="I40" s="1902"/>
      <c r="J40" s="385">
        <f>SUMIF(120:120,I40,121:121)-SUMIF(120:120,C40,121:121)+100</f>
        <v>100</v>
      </c>
      <c r="K40" s="560"/>
      <c r="L40" s="2718"/>
      <c r="M40" s="2712"/>
      <c r="N40" s="2712"/>
      <c r="O40" s="2770"/>
      <c r="P40" s="3748"/>
      <c r="Q40" s="1348" t="str">
        <f t="shared" si="14"/>
        <v>临街宽度及深度</v>
      </c>
      <c r="R40" s="703" t="s">
        <v>14</v>
      </c>
      <c r="S40" s="704">
        <f t="shared" si="10"/>
        <v>100</v>
      </c>
      <c r="T40" s="703" t="s">
        <v>14</v>
      </c>
      <c r="U40" s="704">
        <f t="shared" si="11"/>
        <v>100</v>
      </c>
      <c r="V40" s="703" t="s">
        <v>14</v>
      </c>
      <c r="W40" s="704">
        <f t="shared" si="12"/>
        <v>100</v>
      </c>
      <c r="X40" s="1351"/>
      <c r="Y40" s="3748"/>
      <c r="Z40" s="1352" t="str">
        <f t="shared" si="13"/>
        <v>临街宽度及深度</v>
      </c>
      <c r="AA40" s="1349">
        <f t="shared" si="3"/>
        <v>1</v>
      </c>
      <c r="AB40" s="1349">
        <f t="shared" si="4"/>
        <v>1</v>
      </c>
      <c r="AC40" s="1349">
        <f t="shared" si="5"/>
        <v>1</v>
      </c>
    </row>
    <row r="41" spans="1:29" s="108" customFormat="1" ht="15">
      <c r="A41" s="423"/>
      <c r="B41" s="374" t="s">
        <v>1877</v>
      </c>
      <c r="C41" s="1976"/>
      <c r="D41" s="126">
        <v>100</v>
      </c>
      <c r="E41" s="1976"/>
      <c r="F41" s="385">
        <f>SUMIF(122:122,E41,123:123)-SUMIF(122:122,C41,123:123)+100</f>
        <v>100</v>
      </c>
      <c r="G41" s="1976"/>
      <c r="H41" s="385">
        <f>SUMIF(122:122,G41,123:123)-SUMIF(122:122,C41,123:123)+100</f>
        <v>100</v>
      </c>
      <c r="I41" s="1976"/>
      <c r="J41" s="385">
        <f>SUMIF(122:122,I41,123:123)-SUMIF(122:122,C41,123:123)+100</f>
        <v>100</v>
      </c>
      <c r="K41" s="560"/>
      <c r="L41" s="2713"/>
      <c r="M41" s="2714"/>
      <c r="N41" s="2714"/>
      <c r="O41" s="2768"/>
      <c r="P41" s="3748"/>
      <c r="Q41" s="1348" t="str">
        <f t="shared" si="14"/>
        <v>宗地开发程度</v>
      </c>
      <c r="R41" s="699" t="s">
        <v>14</v>
      </c>
      <c r="S41" s="700">
        <f t="shared" si="10"/>
        <v>100</v>
      </c>
      <c r="T41" s="699" t="s">
        <v>14</v>
      </c>
      <c r="U41" s="700">
        <f t="shared" si="11"/>
        <v>100</v>
      </c>
      <c r="V41" s="699" t="s">
        <v>14</v>
      </c>
      <c r="W41" s="700">
        <f t="shared" si="12"/>
        <v>100</v>
      </c>
      <c r="X41" s="701"/>
      <c r="Y41" s="3748"/>
      <c r="Z41" s="52" t="str">
        <f t="shared" si="13"/>
        <v>宗地开发程度</v>
      </c>
      <c r="AA41" s="702">
        <f t="shared" si="3"/>
        <v>1</v>
      </c>
      <c r="AB41" s="702">
        <f t="shared" si="4"/>
        <v>1</v>
      </c>
      <c r="AC41" s="702">
        <f t="shared" si="5"/>
        <v>1</v>
      </c>
    </row>
    <row r="42" spans="1:29" ht="15">
      <c r="A42" s="422"/>
      <c r="B42" s="374" t="s">
        <v>1878</v>
      </c>
      <c r="C42" s="1902"/>
      <c r="D42" s="385">
        <v>100</v>
      </c>
      <c r="E42" s="1902"/>
      <c r="F42" s="385">
        <f>SUMIF(124:124,E42,125:125)-SUMIF(124:124,C42,125:125)+100</f>
        <v>100</v>
      </c>
      <c r="G42" s="1902"/>
      <c r="H42" s="385">
        <f>SUMIF(124:124,G42,125:125)-SUMIF(124:124,C42,125:125)+100</f>
        <v>100</v>
      </c>
      <c r="I42" s="1902"/>
      <c r="J42" s="385">
        <f>SUMIF(124:124,I42,125:125)-SUMIF(124:124,C42,125:125)+100</f>
        <v>100</v>
      </c>
      <c r="K42" s="560"/>
      <c r="L42" s="2718"/>
      <c r="M42" s="2712"/>
      <c r="N42" s="2712"/>
      <c r="O42" s="2770"/>
      <c r="P42" s="3748" t="s">
        <v>1696</v>
      </c>
      <c r="Q42" s="1348" t="str">
        <f t="shared" si="14"/>
        <v>工程地质条件</v>
      </c>
      <c r="R42" s="703" t="s">
        <v>14</v>
      </c>
      <c r="S42" s="704">
        <f t="shared" si="10"/>
        <v>100</v>
      </c>
      <c r="T42" s="703" t="s">
        <v>14</v>
      </c>
      <c r="U42" s="704">
        <f t="shared" si="11"/>
        <v>100</v>
      </c>
      <c r="V42" s="703" t="s">
        <v>14</v>
      </c>
      <c r="W42" s="704">
        <f t="shared" si="12"/>
        <v>100</v>
      </c>
      <c r="X42" s="1351"/>
      <c r="Y42" s="3748" t="s">
        <v>1696</v>
      </c>
      <c r="Z42" s="1352" t="str">
        <f t="shared" si="13"/>
        <v>工程地质条件</v>
      </c>
      <c r="AA42" s="1349">
        <f t="shared" si="3"/>
        <v>1</v>
      </c>
      <c r="AB42" s="1349">
        <f t="shared" si="4"/>
        <v>1</v>
      </c>
      <c r="AC42" s="1349">
        <f t="shared" si="5"/>
        <v>1</v>
      </c>
    </row>
    <row r="43" spans="1:29" ht="15">
      <c r="A43" s="422"/>
      <c r="B43" s="1130">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8"/>
      <c r="M43" s="2712"/>
      <c r="N43" s="2712"/>
      <c r="O43" s="2770"/>
      <c r="P43" s="3748"/>
      <c r="Q43" s="1348">
        <f t="shared" si="14"/>
        <v>111</v>
      </c>
      <c r="R43" s="703" t="s">
        <v>14</v>
      </c>
      <c r="S43" s="704">
        <f t="shared" si="10"/>
        <v>100</v>
      </c>
      <c r="T43" s="703" t="s">
        <v>14</v>
      </c>
      <c r="U43" s="704">
        <f t="shared" si="11"/>
        <v>100</v>
      </c>
      <c r="V43" s="703" t="s">
        <v>14</v>
      </c>
      <c r="W43" s="704">
        <f t="shared" si="12"/>
        <v>100</v>
      </c>
      <c r="X43" s="1351"/>
      <c r="Y43" s="3748"/>
      <c r="Z43" s="1352">
        <f t="shared" si="13"/>
        <v>111</v>
      </c>
      <c r="AA43" s="1349">
        <f t="shared" si="3"/>
        <v>1</v>
      </c>
      <c r="AB43" s="1349">
        <f t="shared" si="4"/>
        <v>1</v>
      </c>
      <c r="AC43" s="1349">
        <f t="shared" si="5"/>
        <v>1</v>
      </c>
    </row>
    <row r="44" spans="1:29" ht="15">
      <c r="A44" s="422"/>
      <c r="B44" s="1130">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8"/>
      <c r="M44" s="2712"/>
      <c r="N44" s="2712"/>
      <c r="O44" s="2770"/>
      <c r="P44" s="3748"/>
      <c r="Q44" s="1348">
        <f t="shared" si="14"/>
        <v>111</v>
      </c>
      <c r="R44" s="703" t="s">
        <v>14</v>
      </c>
      <c r="S44" s="704">
        <f t="shared" si="10"/>
        <v>100</v>
      </c>
      <c r="T44" s="703" t="s">
        <v>14</v>
      </c>
      <c r="U44" s="704">
        <f t="shared" si="11"/>
        <v>100</v>
      </c>
      <c r="V44" s="703" t="s">
        <v>14</v>
      </c>
      <c r="W44" s="704">
        <f t="shared" si="12"/>
        <v>100</v>
      </c>
      <c r="X44" s="1351"/>
      <c r="Y44" s="3748"/>
      <c r="Z44" s="1352">
        <f t="shared" si="13"/>
        <v>111</v>
      </c>
      <c r="AA44" s="1349">
        <f t="shared" si="3"/>
        <v>1</v>
      </c>
      <c r="AB44" s="1349">
        <f t="shared" si="4"/>
        <v>1</v>
      </c>
      <c r="AC44" s="1349">
        <f t="shared" si="5"/>
        <v>1</v>
      </c>
    </row>
    <row r="45" spans="1:29" s="421" customFormat="1" ht="15.6" thickBot="1">
      <c r="A45" s="418"/>
      <c r="B45" s="1130">
        <v>111</v>
      </c>
      <c r="C45" s="1977"/>
      <c r="D45" s="627">
        <v>100</v>
      </c>
      <c r="E45" s="621"/>
      <c r="F45" s="388">
        <f>SUMIF(130:130,E45,131:131)-SUMIF(130:130,C45,131:131)+100</f>
        <v>100</v>
      </c>
      <c r="G45" s="621"/>
      <c r="H45" s="388">
        <f>SUMIF(130:130,G45,131:131)-SUMIF(130:130,C45,131:131)+100</f>
        <v>100</v>
      </c>
      <c r="I45" s="621"/>
      <c r="J45" s="388">
        <f>SUMIF(130:130,I45,131:131)-SUMIF(130:130,C45,131:131)+100</f>
        <v>100</v>
      </c>
      <c r="K45" s="628"/>
      <c r="L45" s="2717"/>
      <c r="M45" s="2719"/>
      <c r="N45" s="2719"/>
      <c r="O45" s="2771"/>
      <c r="P45" s="3748"/>
      <c r="Q45" s="1348">
        <f t="shared" si="14"/>
        <v>111</v>
      </c>
      <c r="R45" s="706" t="s">
        <v>14</v>
      </c>
      <c r="S45" s="707">
        <f t="shared" si="10"/>
        <v>100</v>
      </c>
      <c r="T45" s="706" t="s">
        <v>14</v>
      </c>
      <c r="U45" s="707">
        <f t="shared" si="11"/>
        <v>100</v>
      </c>
      <c r="V45" s="706" t="s">
        <v>14</v>
      </c>
      <c r="W45" s="707">
        <f t="shared" si="12"/>
        <v>100</v>
      </c>
      <c r="X45" s="708"/>
      <c r="Y45" s="3748"/>
      <c r="Z45" s="709">
        <f t="shared" si="13"/>
        <v>111</v>
      </c>
      <c r="AA45" s="1349">
        <f t="shared" si="3"/>
        <v>1</v>
      </c>
      <c r="AB45" s="1349">
        <f t="shared" si="4"/>
        <v>1</v>
      </c>
      <c r="AC45" s="1349">
        <f t="shared" si="5"/>
        <v>1</v>
      </c>
    </row>
    <row r="46" spans="1:29" ht="14.4">
      <c r="A46" s="429" t="s">
        <v>1844</v>
      </c>
      <c r="B46" s="1978" t="s">
        <v>1879</v>
      </c>
      <c r="C46" s="629" t="s">
        <v>0</v>
      </c>
      <c r="D46" s="431"/>
      <c r="E46" s="432"/>
      <c r="F46" s="433"/>
      <c r="G46" s="434"/>
      <c r="H46" s="435"/>
      <c r="I46" s="432"/>
      <c r="J46" s="435"/>
      <c r="K46" s="712"/>
      <c r="L46" s="2720"/>
      <c r="M46" s="2721"/>
      <c r="N46" s="2712"/>
      <c r="O46" s="2721"/>
      <c r="P46" s="3741" t="str">
        <f>A46</f>
        <v>成交单价</v>
      </c>
      <c r="Q46" s="3741"/>
      <c r="R46" s="3736">
        <f>E46</f>
        <v>0</v>
      </c>
      <c r="S46" s="3736"/>
      <c r="T46" s="3736">
        <f>G46</f>
        <v>0</v>
      </c>
      <c r="U46" s="3736"/>
      <c r="V46" s="3736">
        <f>I46</f>
        <v>0</v>
      </c>
      <c r="W46" s="3736"/>
      <c r="X46" s="688"/>
      <c r="Y46" s="710"/>
      <c r="Z46" s="688"/>
      <c r="AA46" s="688"/>
      <c r="AB46" s="688"/>
      <c r="AC46" s="688"/>
    </row>
    <row r="47" spans="1:29" ht="15" thickBot="1">
      <c r="A47" s="436" t="s">
        <v>1793</v>
      </c>
      <c r="B47" s="630"/>
      <c r="C47" s="439" t="e">
        <f>R48</f>
        <v>#DIV/0!</v>
      </c>
      <c r="D47" s="2313" t="s">
        <v>2138</v>
      </c>
      <c r="E47" s="439" t="e">
        <f>R47</f>
        <v>#DIV/0!</v>
      </c>
      <c r="F47" s="2314"/>
      <c r="G47" s="438" t="e">
        <f>T47</f>
        <v>#DIV/0!</v>
      </c>
      <c r="H47" s="2314"/>
      <c r="I47" s="439" t="e">
        <f>V47</f>
        <v>#DIV/0!</v>
      </c>
      <c r="J47" s="2314"/>
      <c r="K47" s="2316">
        <f>F47+H47+J47</f>
        <v>0</v>
      </c>
      <c r="L47" s="2720"/>
      <c r="M47" s="2721"/>
      <c r="N47" s="2721"/>
      <c r="O47" s="2721"/>
      <c r="P47" s="3741" t="str">
        <f>A47</f>
        <v>比较价值（元/平方米）</v>
      </c>
      <c r="Q47" s="3741"/>
      <c r="R47" s="3769" t="e">
        <f>ROUND(PRODUCT(R46,AA7:AA45),0)</f>
        <v>#DIV/0!</v>
      </c>
      <c r="S47" s="3769"/>
      <c r="T47" s="3769" t="e">
        <f>ROUND(PRODUCT(T46,AB7:AB45),0)</f>
        <v>#DIV/0!</v>
      </c>
      <c r="U47" s="3769"/>
      <c r="V47" s="3769" t="e">
        <f>ROUND(PRODUCT(V46,AC7:AC45),0)</f>
        <v>#DIV/0!</v>
      </c>
      <c r="W47" s="3769"/>
      <c r="X47" s="688"/>
      <c r="Y47" s="688"/>
      <c r="Z47" s="688"/>
      <c r="AA47" s="688"/>
      <c r="AB47" s="688"/>
      <c r="AC47" s="688"/>
    </row>
    <row r="48" spans="1:29" ht="15" thickBot="1">
      <c r="A48" s="440" t="s">
        <v>1880</v>
      </c>
      <c r="B48" s="441"/>
      <c r="C48" s="442" t="e">
        <f>R48</f>
        <v>#DIV/0!</v>
      </c>
      <c r="D48" s="442"/>
      <c r="E48" s="442"/>
      <c r="F48" s="442"/>
      <c r="G48" s="442"/>
      <c r="H48" s="442"/>
      <c r="I48" s="442"/>
      <c r="J48" s="442"/>
      <c r="K48" s="713"/>
      <c r="L48" s="2720"/>
      <c r="M48" s="2721"/>
      <c r="N48" s="2721"/>
      <c r="O48" s="2721"/>
      <c r="P48" s="3738" t="str">
        <f>A48</f>
        <v>估价对象XX用房的比较价值（楼面单价，元/平方米）</v>
      </c>
      <c r="Q48" s="3739"/>
      <c r="R48" s="3770" t="e">
        <f>ROUND(IF(D47="简单平均",AVERAGE(R47:W47),R47*F47+T47*H47+V47*J47),0)</f>
        <v>#DIV/0!</v>
      </c>
      <c r="S48" s="3770"/>
      <c r="T48" s="3770"/>
      <c r="U48" s="3770"/>
      <c r="V48" s="3770"/>
      <c r="W48" s="3770"/>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0" customFormat="1" ht="13.5" customHeight="1">
      <c r="A53" s="2724"/>
      <c r="B53" s="2724"/>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0" customFormat="1" ht="14.4"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1881</v>
      </c>
      <c r="B55" s="632" t="s">
        <v>1882</v>
      </c>
      <c r="C55" s="1979" t="s">
        <v>1883</v>
      </c>
      <c r="D55" s="1980" t="s">
        <v>1884</v>
      </c>
      <c r="E55" s="633" t="s">
        <v>1885</v>
      </c>
      <c r="F55" s="886" t="s">
        <v>1886</v>
      </c>
      <c r="G55" s="3724" t="s">
        <v>1887</v>
      </c>
      <c r="H55" s="3771"/>
      <c r="I55" s="134"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1890</v>
      </c>
      <c r="B56" s="636" t="e">
        <f>C48</f>
        <v>#DIV/0!</v>
      </c>
      <c r="C56" s="637">
        <v>1</v>
      </c>
      <c r="D56" s="940">
        <v>1</v>
      </c>
      <c r="E56" s="637">
        <f>'数据-汇总表'!E8+'数据-汇总表'!E9</f>
        <v>19830.27</v>
      </c>
      <c r="F56" s="882" t="e">
        <f t="shared" ref="F56:F64" si="15">ROUND(B56*E56/10000,0)</f>
        <v>#DIV/0!</v>
      </c>
      <c r="G56" s="3723"/>
      <c r="H56" s="3741"/>
      <c r="I56" s="887">
        <v>1</v>
      </c>
      <c r="J56" s="890">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1891</v>
      </c>
      <c r="B57" s="217" t="e">
        <f>ROUND($C$48*C57*D57,0)</f>
        <v>#DIV/0!</v>
      </c>
      <c r="C57" s="170">
        <f t="shared" ref="C57:C64" si="16">IF($C$55="北京市系数",I57,J57)</f>
        <v>0.6</v>
      </c>
      <c r="D57" s="941">
        <v>0.25</v>
      </c>
      <c r="E57" s="641"/>
      <c r="F57" s="882" t="e">
        <f t="shared" si="15"/>
        <v>#DIV/0!</v>
      </c>
      <c r="G57" s="3002" t="s">
        <v>1892</v>
      </c>
      <c r="H57" s="883" t="str">
        <f>项目基本情况!B37</f>
        <v>五级</v>
      </c>
      <c r="I57" s="887">
        <f>SUMIF(修正!A57:A68,H57,修正!B57:B68)</f>
        <v>0.6</v>
      </c>
      <c r="J57" s="891"/>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1893</v>
      </c>
      <c r="B58" s="217" t="e">
        <f t="shared" ref="B58:B64" si="17">ROUND($C$48*C58*D58,0)</f>
        <v>#DIV/0!</v>
      </c>
      <c r="C58" s="170">
        <f t="shared" si="16"/>
        <v>0.3</v>
      </c>
      <c r="D58" s="941">
        <v>0.25</v>
      </c>
      <c r="E58" s="641"/>
      <c r="F58" s="882" t="e">
        <f t="shared" si="15"/>
        <v>#DIV/0!</v>
      </c>
      <c r="G58" s="3003"/>
      <c r="H58" s="883" t="str">
        <f>项目基本情况!B37</f>
        <v>五级</v>
      </c>
      <c r="I58" s="887">
        <f>SUMIF(修正!A57:A68,H58,修正!C57:C68)</f>
        <v>0.3</v>
      </c>
      <c r="J58" s="891"/>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1894</v>
      </c>
      <c r="B59" s="217" t="e">
        <f t="shared" si="17"/>
        <v>#DIV/0!</v>
      </c>
      <c r="C59" s="170">
        <f t="shared" si="16"/>
        <v>0.25</v>
      </c>
      <c r="D59" s="941">
        <v>0.25</v>
      </c>
      <c r="E59" s="641"/>
      <c r="F59" s="882" t="e">
        <f t="shared" si="15"/>
        <v>#DIV/0!</v>
      </c>
      <c r="G59" s="3003"/>
      <c r="H59" s="883" t="str">
        <f>项目基本情况!B37</f>
        <v>五级</v>
      </c>
      <c r="I59" s="887">
        <f>SUMIF(修正!A57:A68,H59,修正!D57:D68)</f>
        <v>0.25</v>
      </c>
      <c r="J59" s="891"/>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1895</v>
      </c>
      <c r="B60" s="217" t="e">
        <f t="shared" si="17"/>
        <v>#DIV/0!</v>
      </c>
      <c r="C60" s="170">
        <f t="shared" si="16"/>
        <v>0</v>
      </c>
      <c r="D60" s="941">
        <v>0.25</v>
      </c>
      <c r="E60" s="216">
        <f>'数据-汇总表'!E11</f>
        <v>0</v>
      </c>
      <c r="F60" s="882" t="e">
        <f t="shared" si="15"/>
        <v>#DIV/0!</v>
      </c>
      <c r="G60" s="1983" t="s">
        <v>1896</v>
      </c>
      <c r="H60" s="883">
        <f>项目基本情况!C37</f>
        <v>0</v>
      </c>
      <c r="I60" s="887">
        <f>SUMIF(修正!A57:A68,H60,修正!E57:E68)</f>
        <v>0</v>
      </c>
      <c r="J60" s="891"/>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1897</v>
      </c>
      <c r="B61" s="217" t="e">
        <f t="shared" si="17"/>
        <v>#DIV/0!</v>
      </c>
      <c r="C61" s="170">
        <f t="shared" si="16"/>
        <v>0</v>
      </c>
      <c r="D61" s="941">
        <v>0.25</v>
      </c>
      <c r="E61" s="216">
        <f>'数据-汇总表'!E12</f>
        <v>0</v>
      </c>
      <c r="F61" s="882" t="e">
        <f t="shared" si="15"/>
        <v>#DIV/0!</v>
      </c>
      <c r="G61" s="888" t="s">
        <v>1898</v>
      </c>
      <c r="H61" s="883">
        <f>IF(G61="商业",项目基本情况!B37,IF(G61="办公",项目基本情况!C37,IF(G61="住宅",项目基本情况!D37,项目基本情况!E37)))</f>
        <v>0</v>
      </c>
      <c r="I61" s="887">
        <f>SUMIF(修正!A57:A68,H61,修正!F57:F68)</f>
        <v>0</v>
      </c>
      <c r="J61" s="891"/>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1899</v>
      </c>
      <c r="B62" s="217" t="e">
        <f t="shared" si="17"/>
        <v>#DIV/0!</v>
      </c>
      <c r="C62" s="170">
        <f t="shared" si="16"/>
        <v>0</v>
      </c>
      <c r="D62" s="941">
        <v>0.25</v>
      </c>
      <c r="E62" s="216">
        <f>'数据-汇总表'!E13</f>
        <v>0</v>
      </c>
      <c r="F62" s="882" t="e">
        <f t="shared" si="15"/>
        <v>#DIV/0!</v>
      </c>
      <c r="G62" s="888" t="s">
        <v>1900</v>
      </c>
      <c r="H62" s="883">
        <f>IF(G62="商业",项目基本情况!B37,IF(G62="办公",项目基本情况!C37,IF(G62="住宅",项目基本情况!D37,项目基本情况!E37)))</f>
        <v>0</v>
      </c>
      <c r="I62" s="887">
        <f>SUMIF(修正!A57:A68,H62,修正!G57:G68)</f>
        <v>0</v>
      </c>
      <c r="J62" s="891"/>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1901</v>
      </c>
      <c r="B63" s="217" t="e">
        <f t="shared" si="17"/>
        <v>#DIV/0!</v>
      </c>
      <c r="C63" s="170">
        <f t="shared" si="16"/>
        <v>0.15</v>
      </c>
      <c r="D63" s="941">
        <v>0.25</v>
      </c>
      <c r="E63" s="216">
        <f>'数据-汇总表'!E14</f>
        <v>30659.07</v>
      </c>
      <c r="F63" s="882" t="e">
        <f t="shared" si="15"/>
        <v>#DIV/0!</v>
      </c>
      <c r="G63" s="1983" t="s">
        <v>1892</v>
      </c>
      <c r="H63" s="883" t="str">
        <f>项目基本情况!B37</f>
        <v>五级</v>
      </c>
      <c r="I63" s="887">
        <f>SUMIF(修正!A57:A68,H63,修正!G57:G68)</f>
        <v>0.15</v>
      </c>
      <c r="J63" s="891"/>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4.4" thickBot="1">
      <c r="A64" s="640" t="s">
        <v>1902</v>
      </c>
      <c r="B64" s="217" t="e">
        <f t="shared" si="17"/>
        <v>#DIV/0!</v>
      </c>
      <c r="C64" s="170">
        <f t="shared" si="16"/>
        <v>0</v>
      </c>
      <c r="D64" s="941">
        <v>0.25</v>
      </c>
      <c r="E64" s="216">
        <f>'数据-汇总表'!E15</f>
        <v>0</v>
      </c>
      <c r="F64" s="882" t="e">
        <f t="shared" si="15"/>
        <v>#DIV/0!</v>
      </c>
      <c r="G64" s="1984" t="s">
        <v>1896</v>
      </c>
      <c r="H64" s="893">
        <f>项目基本情况!C37</f>
        <v>0</v>
      </c>
      <c r="I64" s="889">
        <f>SUMIF(修正!A57:A68,H64,修正!G57:G68)</f>
        <v>0</v>
      </c>
      <c r="J64" s="892"/>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thickBot="1">
      <c r="A65" s="642" t="s">
        <v>1903</v>
      </c>
      <c r="B65" s="643" t="s">
        <v>22</v>
      </c>
      <c r="C65" s="643" t="s">
        <v>23</v>
      </c>
      <c r="D65" s="643" t="s">
        <v>392</v>
      </c>
      <c r="E65" s="643">
        <f>IF(B46="楼面地价",SUM(E56:E64),'数据-汇总表'!D3)</f>
        <v>50489.34</v>
      </c>
      <c r="F65" s="644"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3"/>
      <c r="K66" s="884"/>
      <c r="L66" s="885"/>
      <c r="M66" s="923"/>
      <c r="N66" s="923"/>
      <c r="O66" s="923"/>
      <c r="P66" s="2721"/>
      <c r="Q66" s="2721"/>
      <c r="R66" s="2721"/>
      <c r="S66" s="2721"/>
      <c r="T66" s="2721"/>
      <c r="U66" s="2721"/>
      <c r="V66" s="2721"/>
      <c r="W66" s="2721"/>
      <c r="X66" s="2721"/>
      <c r="Y66" s="2721"/>
      <c r="Z66" s="2721"/>
      <c r="AA66" s="2721"/>
      <c r="AB66" s="2721"/>
      <c r="AC66" s="2721"/>
    </row>
    <row r="67" spans="1:29">
      <c r="A67" s="688"/>
      <c r="B67" s="690"/>
      <c r="C67" s="690" t="str">
        <f>YEAR(C7)&amp;"-"&amp;MONTH(C7)&amp;"-1"</f>
        <v>2023-3-1</v>
      </c>
      <c r="D67" s="690">
        <f>EDATE(C67,-3)</f>
        <v>44896</v>
      </c>
      <c r="E67" s="690">
        <f>EDATE(D67,-3)</f>
        <v>44805</v>
      </c>
      <c r="F67" s="690">
        <f t="shared" ref="F67:O67" si="18">EDATE(E67,-3)</f>
        <v>44713</v>
      </c>
      <c r="G67" s="690">
        <f t="shared" si="18"/>
        <v>44621</v>
      </c>
      <c r="H67" s="690">
        <f t="shared" si="18"/>
        <v>44531</v>
      </c>
      <c r="I67" s="690">
        <f t="shared" si="18"/>
        <v>44440</v>
      </c>
      <c r="J67" s="690">
        <f t="shared" si="18"/>
        <v>44348</v>
      </c>
      <c r="K67" s="690">
        <f t="shared" si="18"/>
        <v>44256</v>
      </c>
      <c r="L67" s="690">
        <f t="shared" si="18"/>
        <v>44166</v>
      </c>
      <c r="M67" s="690">
        <f t="shared" si="18"/>
        <v>44075</v>
      </c>
      <c r="N67" s="690">
        <f t="shared" si="18"/>
        <v>43983</v>
      </c>
      <c r="O67" s="690">
        <f t="shared" si="18"/>
        <v>43891</v>
      </c>
      <c r="P67" s="2721"/>
      <c r="Q67" s="2721"/>
      <c r="R67" s="2721"/>
      <c r="S67" s="2721"/>
      <c r="T67" s="2721"/>
      <c r="U67" s="2721"/>
      <c r="V67" s="2721"/>
      <c r="W67" s="2721"/>
      <c r="X67" s="2721"/>
      <c r="Y67" s="2721"/>
      <c r="Z67" s="2721"/>
      <c r="AA67" s="2721"/>
      <c r="AB67" s="2721"/>
      <c r="AC67" s="2721"/>
    </row>
    <row r="68" spans="1:29" ht="22.2" thickBot="1">
      <c r="A68" s="692" t="s">
        <v>1798</v>
      </c>
      <c r="B68" s="688"/>
      <c r="C68" s="693"/>
      <c r="D68" s="693"/>
      <c r="E68" s="693"/>
      <c r="F68" s="694"/>
      <c r="G68" s="694"/>
      <c r="H68" s="693"/>
      <c r="I68" s="693"/>
      <c r="J68" s="936"/>
      <c r="K68" s="937"/>
      <c r="L68" s="938"/>
      <c r="M68" s="936"/>
      <c r="N68" s="2765"/>
      <c r="O68" s="2765"/>
      <c r="P68" s="2765"/>
      <c r="Q68" s="2735"/>
      <c r="R68" s="2721"/>
      <c r="S68" s="2721"/>
      <c r="T68" s="2721"/>
      <c r="U68" s="2721"/>
      <c r="V68" s="2721"/>
      <c r="W68" s="2721"/>
      <c r="X68" s="2721"/>
      <c r="Y68" s="2721"/>
      <c r="Z68" s="2721"/>
      <c r="AA68" s="2721"/>
      <c r="AB68" s="2721"/>
      <c r="AC68" s="2721"/>
    </row>
    <row r="69" spans="1:29" s="456" customFormat="1" ht="14.4">
      <c r="A69" s="1985" t="s">
        <v>1904</v>
      </c>
      <c r="B69" s="1105"/>
      <c r="C69" s="1178" t="str">
        <f>YEAR(C67)&amp;"-"&amp;ROUNDUP(MONTH(C67)/3,0)</f>
        <v>2023-1</v>
      </c>
      <c r="D69" s="1178" t="str">
        <f>YEAR(D67)&amp;"-"&amp;ROUNDUP(MONTH(D67)/3,0)</f>
        <v>2022-4</v>
      </c>
      <c r="E69" s="1178" t="str">
        <f t="shared" ref="E69:O69" si="19">YEAR(E67)&amp;"-"&amp;ROUNDUP(MONTH(E67)/3,0)</f>
        <v>2022-3</v>
      </c>
      <c r="F69" s="1178" t="str">
        <f t="shared" si="19"/>
        <v>2022-2</v>
      </c>
      <c r="G69" s="1178" t="str">
        <f t="shared" si="19"/>
        <v>2022-1</v>
      </c>
      <c r="H69" s="1178" t="str">
        <f t="shared" si="19"/>
        <v>2021-4</v>
      </c>
      <c r="I69" s="1178" t="str">
        <f t="shared" si="19"/>
        <v>2021-3</v>
      </c>
      <c r="J69" s="1178" t="str">
        <f t="shared" si="19"/>
        <v>2021-2</v>
      </c>
      <c r="K69" s="1178" t="str">
        <f t="shared" si="19"/>
        <v>2021-1</v>
      </c>
      <c r="L69" s="1178" t="str">
        <f t="shared" si="19"/>
        <v>2020-4</v>
      </c>
      <c r="M69" s="1178" t="str">
        <f t="shared" si="19"/>
        <v>2020-3</v>
      </c>
      <c r="N69" s="1178" t="str">
        <f t="shared" si="19"/>
        <v>2020-2</v>
      </c>
      <c r="O69" s="1178" t="str">
        <f t="shared" si="19"/>
        <v>2020-1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4"/>
      <c r="N70" s="543"/>
      <c r="O70" s="1175"/>
      <c r="P70" s="2735"/>
      <c r="Q70" s="2657"/>
      <c r="R70" s="2657"/>
      <c r="S70" s="2657"/>
      <c r="T70" s="2657"/>
      <c r="U70" s="2657"/>
      <c r="V70" s="2657"/>
      <c r="W70" s="2657"/>
      <c r="X70" s="2657"/>
      <c r="Y70" s="2657"/>
      <c r="Z70" s="2657"/>
      <c r="AA70" s="2657"/>
      <c r="AB70" s="2657"/>
      <c r="AC70" s="2657"/>
    </row>
    <row r="71" spans="1:29" s="108" customFormat="1" ht="15" thickBot="1">
      <c r="A71" s="463" t="s">
        <v>1716</v>
      </c>
      <c r="B71" s="464"/>
      <c r="C71" s="465"/>
      <c r="D71" s="466"/>
      <c r="E71" s="466"/>
      <c r="F71" s="466"/>
      <c r="G71" s="466"/>
      <c r="H71" s="466"/>
      <c r="I71" s="466"/>
      <c r="J71" s="466"/>
      <c r="K71" s="466"/>
      <c r="L71" s="466"/>
      <c r="M71" s="467"/>
      <c r="N71" s="466"/>
      <c r="O71" s="939"/>
      <c r="P71" s="2735"/>
      <c r="Q71" s="2735"/>
      <c r="R71" s="2657"/>
      <c r="S71" s="2657"/>
      <c r="T71" s="2657"/>
      <c r="U71" s="2657"/>
      <c r="V71" s="2657"/>
      <c r="W71" s="2657"/>
      <c r="X71" s="2657"/>
      <c r="Y71" s="2657"/>
      <c r="Z71" s="2657"/>
      <c r="AA71" s="2657"/>
      <c r="AB71" s="2657"/>
      <c r="AC71" s="2657"/>
    </row>
    <row r="72" spans="1:29" s="108" customFormat="1" ht="14.4">
      <c r="A72" s="469" t="s">
        <v>1681</v>
      </c>
      <c r="B72" s="458"/>
      <c r="C72" s="470" t="s">
        <v>1776</v>
      </c>
      <c r="D72" s="471"/>
      <c r="E72" s="471"/>
      <c r="F72" s="471"/>
      <c r="G72" s="471"/>
      <c r="H72" s="471"/>
      <c r="I72" s="471"/>
      <c r="J72" s="471"/>
      <c r="K72" s="471"/>
      <c r="L72" s="472"/>
      <c r="M72" s="473"/>
      <c r="N72" s="2748"/>
      <c r="O72" s="2748"/>
      <c r="P72" s="2773"/>
      <c r="Q72" s="2735"/>
      <c r="R72" s="2657"/>
      <c r="S72" s="2657"/>
      <c r="T72" s="2657"/>
      <c r="U72" s="2657"/>
      <c r="V72" s="2657"/>
      <c r="W72" s="2657"/>
      <c r="X72" s="2657"/>
      <c r="Y72" s="2657"/>
      <c r="Z72" s="2657"/>
      <c r="AA72" s="2657"/>
      <c r="AB72" s="2657"/>
      <c r="AC72" s="2657"/>
    </row>
    <row r="73" spans="1:29" s="108" customFormat="1" ht="14.4" thickBot="1">
      <c r="A73" s="469"/>
      <c r="B73" s="458"/>
      <c r="C73" s="586">
        <v>100</v>
      </c>
      <c r="D73" s="460"/>
      <c r="E73" s="460"/>
      <c r="F73" s="460"/>
      <c r="G73" s="460"/>
      <c r="H73" s="460"/>
      <c r="I73" s="460"/>
      <c r="J73" s="460"/>
      <c r="K73" s="460"/>
      <c r="L73" s="460"/>
      <c r="M73" s="462"/>
      <c r="N73" s="2748"/>
      <c r="O73" s="2748"/>
      <c r="P73" s="2735"/>
      <c r="Q73" s="2735"/>
      <c r="R73" s="2657"/>
      <c r="S73" s="2657"/>
      <c r="T73" s="2657"/>
      <c r="U73" s="2657"/>
      <c r="V73" s="2657"/>
      <c r="W73" s="2657"/>
      <c r="X73" s="2657"/>
      <c r="Y73" s="2657"/>
      <c r="Z73" s="2657"/>
      <c r="AA73" s="2657"/>
      <c r="AB73" s="2657"/>
      <c r="AC73" s="2657"/>
    </row>
    <row r="74" spans="1:29" ht="14.4">
      <c r="A74" s="475" t="s">
        <v>1719</v>
      </c>
      <c r="B74" s="476" t="s">
        <v>1685</v>
      </c>
      <c r="C74" s="478"/>
      <c r="D74" s="478"/>
      <c r="E74" s="478"/>
      <c r="F74" s="478"/>
      <c r="G74" s="478"/>
      <c r="H74" s="478"/>
      <c r="I74" s="478"/>
      <c r="J74" s="478"/>
      <c r="K74" s="479"/>
      <c r="L74" s="480"/>
      <c r="M74" s="481"/>
      <c r="N74" s="2749"/>
      <c r="O74" s="2749"/>
      <c r="P74" s="2774"/>
      <c r="Q74" s="2735"/>
      <c r="R74" s="2721"/>
      <c r="S74" s="2721"/>
      <c r="T74" s="2721"/>
      <c r="U74" s="2721"/>
      <c r="V74" s="2721"/>
      <c r="W74" s="2721"/>
      <c r="X74" s="2721"/>
      <c r="Y74" s="2721"/>
      <c r="Z74" s="2721"/>
      <c r="AA74" s="2721"/>
      <c r="AB74" s="2721"/>
      <c r="AC74" s="2721"/>
    </row>
    <row r="75" spans="1:29" ht="14.4" thickBot="1">
      <c r="A75" s="482"/>
      <c r="B75" s="483"/>
      <c r="C75" s="484"/>
      <c r="D75" s="484"/>
      <c r="E75" s="484"/>
      <c r="F75" s="484"/>
      <c r="G75" s="484"/>
      <c r="H75" s="484"/>
      <c r="I75" s="484"/>
      <c r="J75" s="484"/>
      <c r="K75" s="484"/>
      <c r="L75" s="484"/>
      <c r="M75" s="485"/>
      <c r="N75" s="2750"/>
      <c r="O75" s="2750"/>
      <c r="P75" s="2774"/>
      <c r="Q75" s="2735"/>
      <c r="R75" s="2721"/>
      <c r="S75" s="2721"/>
      <c r="T75" s="2721"/>
      <c r="U75" s="2721"/>
      <c r="V75" s="2721"/>
      <c r="W75" s="2721"/>
      <c r="X75" s="2721"/>
      <c r="Y75" s="2721"/>
      <c r="Z75" s="2721"/>
      <c r="AA75" s="2721"/>
      <c r="AB75" s="2721"/>
      <c r="AC75" s="2721"/>
    </row>
    <row r="76" spans="1:29" ht="29.4" thickTop="1">
      <c r="A76" s="482"/>
      <c r="B76" s="486" t="s">
        <v>1688</v>
      </c>
      <c r="C76" s="487"/>
      <c r="D76" s="487"/>
      <c r="E76" s="487"/>
      <c r="F76" s="487"/>
      <c r="G76" s="487"/>
      <c r="H76" s="487"/>
      <c r="I76" s="487"/>
      <c r="J76" s="487"/>
      <c r="K76" s="488"/>
      <c r="L76" s="489"/>
      <c r="M76" s="490"/>
      <c r="N76" s="2749"/>
      <c r="O76" s="2749"/>
      <c r="P76" s="2774"/>
      <c r="Q76" s="2735"/>
      <c r="R76" s="2721"/>
      <c r="S76" s="2721"/>
      <c r="T76" s="2721"/>
      <c r="U76" s="2721"/>
      <c r="V76" s="2721"/>
      <c r="W76" s="2721"/>
      <c r="X76" s="2721"/>
      <c r="Y76" s="2721"/>
      <c r="Z76" s="2721"/>
      <c r="AA76" s="2721"/>
      <c r="AB76" s="2721"/>
      <c r="AC76" s="2721"/>
    </row>
    <row r="77" spans="1:29" ht="14.4" thickBot="1">
      <c r="A77" s="482"/>
      <c r="B77" s="491"/>
      <c r="C77" s="492"/>
      <c r="D77" s="492"/>
      <c r="E77" s="492"/>
      <c r="F77" s="492"/>
      <c r="G77" s="492"/>
      <c r="H77" s="492"/>
      <c r="I77" s="492"/>
      <c r="J77" s="492"/>
      <c r="K77" s="492"/>
      <c r="L77" s="492"/>
      <c r="M77" s="493"/>
      <c r="N77" s="2750"/>
      <c r="O77" s="2750"/>
      <c r="P77" s="2774"/>
      <c r="Q77" s="2735"/>
      <c r="R77" s="2721"/>
      <c r="S77" s="2721"/>
      <c r="T77" s="2721"/>
      <c r="U77" s="2721"/>
      <c r="V77" s="2721"/>
      <c r="W77" s="2721"/>
      <c r="X77" s="2721"/>
      <c r="Y77" s="2721"/>
      <c r="Z77" s="2721"/>
      <c r="AA77" s="2721"/>
      <c r="AB77" s="2721"/>
      <c r="AC77" s="2721"/>
    </row>
    <row r="78" spans="1:29" ht="1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0"/>
      <c r="O78" s="2750"/>
      <c r="P78" s="2774"/>
      <c r="Q78" s="2735"/>
      <c r="R78" s="2721"/>
      <c r="S78" s="2721"/>
      <c r="T78" s="2721"/>
      <c r="U78" s="2721"/>
      <c r="V78" s="2721"/>
      <c r="W78" s="2721"/>
      <c r="X78" s="2721"/>
      <c r="Y78" s="2721"/>
      <c r="Z78" s="2721"/>
      <c r="AA78" s="2721"/>
      <c r="AB78" s="2721"/>
      <c r="AC78" s="2721"/>
    </row>
    <row r="79" spans="1:29">
      <c r="A79" s="482"/>
      <c r="B79" s="496"/>
      <c r="C79" s="497"/>
      <c r="D79" s="497"/>
      <c r="E79" s="497"/>
      <c r="F79" s="497"/>
      <c r="G79" s="497"/>
      <c r="H79" s="497"/>
      <c r="I79" s="497"/>
      <c r="J79" s="497"/>
      <c r="K79" s="498"/>
      <c r="L79" s="499"/>
      <c r="M79" s="500"/>
      <c r="N79" s="2749"/>
      <c r="O79" s="2749"/>
      <c r="P79" s="2774"/>
      <c r="Q79" s="2735"/>
      <c r="R79" s="2721"/>
      <c r="S79" s="2721"/>
      <c r="T79" s="2721"/>
      <c r="U79" s="2721"/>
      <c r="V79" s="2721"/>
      <c r="W79" s="2721"/>
      <c r="X79" s="2721"/>
      <c r="Y79" s="2721"/>
      <c r="Z79" s="2721"/>
      <c r="AA79" s="2721"/>
      <c r="AB79" s="2721"/>
      <c r="AC79" s="2721"/>
    </row>
    <row r="80" spans="1:29" ht="14.4"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0"/>
      <c r="O80" s="2750"/>
      <c r="P80" s="2774"/>
      <c r="Q80" s="2735"/>
      <c r="R80" s="2721"/>
      <c r="S80" s="2721"/>
      <c r="T80" s="2721"/>
      <c r="U80" s="2721"/>
      <c r="V80" s="2721"/>
      <c r="W80" s="2721"/>
      <c r="X80" s="2721"/>
      <c r="Y80" s="2721"/>
      <c r="Z80" s="2721"/>
      <c r="AA80" s="2721"/>
      <c r="AB80" s="2721"/>
      <c r="AC80" s="2721"/>
    </row>
    <row r="81" spans="1:29" s="421" customFormat="1" ht="14.4" thickTop="1">
      <c r="A81" s="501"/>
      <c r="B81" s="486" t="str">
        <f>B12</f>
        <v>配建</v>
      </c>
      <c r="C81" s="502"/>
      <c r="D81" s="502"/>
      <c r="E81" s="502"/>
      <c r="F81" s="502"/>
      <c r="G81" s="502"/>
      <c r="H81" s="503"/>
      <c r="I81" s="503"/>
      <c r="J81" s="503"/>
      <c r="K81" s="503"/>
      <c r="L81" s="504"/>
      <c r="M81" s="505"/>
      <c r="N81" s="2751"/>
      <c r="O81" s="2751"/>
      <c r="P81" s="2775"/>
      <c r="Q81" s="2742"/>
      <c r="R81" s="2743"/>
      <c r="S81" s="2743"/>
      <c r="T81" s="2743"/>
      <c r="U81" s="2743"/>
      <c r="V81" s="2743"/>
      <c r="W81" s="2743"/>
      <c r="X81" s="2743"/>
      <c r="Y81" s="2743"/>
      <c r="Z81" s="2743"/>
      <c r="AA81" s="2743"/>
      <c r="AB81" s="2743"/>
      <c r="AC81" s="2743"/>
    </row>
    <row r="82" spans="1:29" s="421" customFormat="1" ht="14.4" thickBot="1">
      <c r="A82" s="501"/>
      <c r="B82" s="491"/>
      <c r="C82" s="508"/>
      <c r="D82" s="484"/>
      <c r="E82" s="484"/>
      <c r="F82" s="484"/>
      <c r="G82" s="484"/>
      <c r="H82" s="484"/>
      <c r="I82" s="484"/>
      <c r="J82" s="484"/>
      <c r="K82" s="484"/>
      <c r="L82" s="484"/>
      <c r="M82" s="485"/>
      <c r="N82" s="2750"/>
      <c r="O82" s="2750"/>
      <c r="P82" s="2775"/>
      <c r="Q82" s="2742"/>
      <c r="R82" s="2743"/>
      <c r="S82" s="2743"/>
      <c r="T82" s="2743"/>
      <c r="U82" s="2743"/>
      <c r="V82" s="2743"/>
      <c r="W82" s="2743"/>
      <c r="X82" s="2743"/>
      <c r="Y82" s="2743"/>
      <c r="Z82" s="2743"/>
      <c r="AA82" s="2743"/>
      <c r="AB82" s="2743"/>
      <c r="AC82" s="2743"/>
    </row>
    <row r="83" spans="1:29" s="421" customFormat="1" ht="14.4" thickTop="1">
      <c r="A83" s="501"/>
      <c r="B83" s="486">
        <f>B13</f>
        <v>111</v>
      </c>
      <c r="C83" s="502"/>
      <c r="D83" s="502"/>
      <c r="E83" s="502"/>
      <c r="F83" s="502"/>
      <c r="G83" s="502"/>
      <c r="H83" s="503"/>
      <c r="I83" s="503"/>
      <c r="J83" s="503"/>
      <c r="K83" s="503"/>
      <c r="L83" s="504"/>
      <c r="M83" s="505"/>
      <c r="N83" s="2751"/>
      <c r="O83" s="2751"/>
      <c r="P83" s="2719"/>
      <c r="Q83" s="2745"/>
      <c r="R83" s="2743"/>
      <c r="S83" s="2743"/>
      <c r="T83" s="2743"/>
      <c r="U83" s="2743"/>
      <c r="V83" s="2743"/>
      <c r="W83" s="2743"/>
      <c r="X83" s="2743"/>
      <c r="Y83" s="2743"/>
      <c r="Z83" s="2743"/>
      <c r="AA83" s="2743"/>
      <c r="AB83" s="2743"/>
      <c r="AC83" s="2743"/>
    </row>
    <row r="84" spans="1:29" s="421" customFormat="1" ht="14.4" thickBot="1">
      <c r="A84" s="501"/>
      <c r="B84" s="491"/>
      <c r="C84" s="508"/>
      <c r="D84" s="508"/>
      <c r="E84" s="508"/>
      <c r="F84" s="508"/>
      <c r="G84" s="508"/>
      <c r="H84" s="510"/>
      <c r="I84" s="510"/>
      <c r="J84" s="510"/>
      <c r="K84" s="510"/>
      <c r="L84" s="510"/>
      <c r="M84" s="511"/>
      <c r="N84" s="2751"/>
      <c r="O84" s="2751"/>
      <c r="P84" s="2775"/>
      <c r="Q84" s="2742"/>
      <c r="R84" s="2743"/>
      <c r="S84" s="2743"/>
      <c r="T84" s="2743"/>
      <c r="U84" s="2743"/>
      <c r="V84" s="2743"/>
      <c r="W84" s="2743"/>
      <c r="X84" s="2743"/>
      <c r="Y84" s="2743"/>
      <c r="Z84" s="2743"/>
      <c r="AA84" s="2743"/>
      <c r="AB84" s="2743"/>
      <c r="AC84" s="2743"/>
    </row>
    <row r="85" spans="1:29" s="421" customFormat="1" ht="14.4" thickTop="1">
      <c r="A85" s="501"/>
      <c r="B85" s="494">
        <f>B14</f>
        <v>111</v>
      </c>
      <c r="C85" s="471"/>
      <c r="D85" s="471"/>
      <c r="E85" s="471"/>
      <c r="F85" s="471"/>
      <c r="G85" s="471"/>
      <c r="H85" s="512"/>
      <c r="I85" s="512"/>
      <c r="J85" s="512"/>
      <c r="K85" s="512"/>
      <c r="L85" s="513"/>
      <c r="M85" s="514"/>
      <c r="N85" s="2751"/>
      <c r="O85" s="2751"/>
      <c r="P85" s="2780"/>
      <c r="Q85" s="2742"/>
      <c r="R85" s="2743"/>
      <c r="S85" s="2743"/>
      <c r="T85" s="2743"/>
      <c r="U85" s="2743"/>
      <c r="V85" s="2743"/>
      <c r="W85" s="2743"/>
      <c r="X85" s="2743"/>
      <c r="Y85" s="2743"/>
      <c r="Z85" s="2743"/>
      <c r="AA85" s="2743"/>
      <c r="AB85" s="2743"/>
      <c r="AC85" s="2743"/>
    </row>
    <row r="86" spans="1:29" s="421" customFormat="1" ht="14.4" thickBot="1">
      <c r="A86" s="516"/>
      <c r="B86" s="517"/>
      <c r="C86" s="518"/>
      <c r="D86" s="518"/>
      <c r="E86" s="518"/>
      <c r="F86" s="518"/>
      <c r="G86" s="518"/>
      <c r="H86" s="519"/>
      <c r="I86" s="519"/>
      <c r="J86" s="519"/>
      <c r="K86" s="519"/>
      <c r="L86" s="519"/>
      <c r="M86" s="520"/>
      <c r="N86" s="2751"/>
      <c r="O86" s="2751"/>
      <c r="P86" s="2775"/>
      <c r="Q86" s="2742"/>
      <c r="R86" s="2743"/>
      <c r="S86" s="2743"/>
      <c r="T86" s="2743"/>
      <c r="U86" s="2743"/>
      <c r="V86" s="2743"/>
      <c r="W86" s="2743"/>
      <c r="X86" s="2743"/>
      <c r="Y86" s="2743"/>
      <c r="Z86" s="2743"/>
      <c r="AA86" s="2743"/>
      <c r="AB86" s="2743"/>
      <c r="AC86" s="2743"/>
    </row>
    <row r="87" spans="1:29" ht="14.4">
      <c r="A87" s="475" t="s">
        <v>1690</v>
      </c>
      <c r="B87" s="476" t="s">
        <v>1720</v>
      </c>
      <c r="C87" s="521" t="s">
        <v>1721</v>
      </c>
      <c r="D87" s="521" t="s">
        <v>1722</v>
      </c>
      <c r="E87" s="521" t="s">
        <v>1723</v>
      </c>
      <c r="F87" s="521" t="s">
        <v>1724</v>
      </c>
      <c r="G87" s="521" t="s">
        <v>1725</v>
      </c>
      <c r="H87" s="477"/>
      <c r="I87" s="477"/>
      <c r="J87" s="477"/>
      <c r="K87" s="522"/>
      <c r="L87" s="523"/>
      <c r="M87" s="524"/>
      <c r="N87" s="2749"/>
      <c r="O87" s="2749"/>
      <c r="P87" s="2776"/>
      <c r="Q87" s="2735"/>
      <c r="R87" s="2721"/>
      <c r="S87" s="2721"/>
      <c r="T87" s="2721"/>
      <c r="U87" s="2721"/>
      <c r="V87" s="2721"/>
      <c r="W87" s="2721"/>
      <c r="X87" s="2721"/>
      <c r="Y87" s="2721"/>
      <c r="Z87" s="2721"/>
      <c r="AA87" s="2721"/>
      <c r="AB87" s="2721"/>
      <c r="AC87" s="2721"/>
    </row>
    <row r="88" spans="1:29" ht="14.4" thickBot="1">
      <c r="A88" s="482"/>
      <c r="B88" s="491"/>
      <c r="C88" s="492">
        <v>100</v>
      </c>
      <c r="D88" s="492">
        <f>C88-$K15</f>
        <v>100</v>
      </c>
      <c r="E88" s="492">
        <f>D88-$K15</f>
        <v>100</v>
      </c>
      <c r="F88" s="492">
        <f>E88-$K15</f>
        <v>100</v>
      </c>
      <c r="G88" s="492">
        <f>F88-$K15</f>
        <v>100</v>
      </c>
      <c r="H88" s="492"/>
      <c r="I88" s="492"/>
      <c r="J88" s="492"/>
      <c r="K88" s="492"/>
      <c r="L88" s="492"/>
      <c r="M88" s="493"/>
      <c r="N88" s="2750"/>
      <c r="O88" s="2750"/>
      <c r="P88" s="2774"/>
      <c r="Q88" s="2735"/>
      <c r="R88" s="2721"/>
      <c r="S88" s="2721"/>
      <c r="T88" s="2721"/>
      <c r="U88" s="2721"/>
      <c r="V88" s="2721"/>
      <c r="W88" s="2721"/>
      <c r="X88" s="2721"/>
      <c r="Y88" s="2721"/>
      <c r="Z88" s="2721"/>
      <c r="AA88" s="2721"/>
      <c r="AB88" s="2721"/>
      <c r="AC88" s="2721"/>
    </row>
    <row r="89" spans="1:29" ht="15" thickTop="1">
      <c r="A89" s="482"/>
      <c r="B89" s="486" t="s">
        <v>1906</v>
      </c>
      <c r="C89" s="526" t="s">
        <v>1721</v>
      </c>
      <c r="D89" s="526" t="s">
        <v>1722</v>
      </c>
      <c r="E89" s="526" t="s">
        <v>1723</v>
      </c>
      <c r="F89" s="526" t="s">
        <v>1724</v>
      </c>
      <c r="G89" s="526" t="s">
        <v>1725</v>
      </c>
      <c r="H89" s="487"/>
      <c r="I89" s="487"/>
      <c r="J89" s="487"/>
      <c r="K89" s="488"/>
      <c r="L89" s="489"/>
      <c r="M89" s="490"/>
      <c r="N89" s="2749"/>
      <c r="O89" s="2749"/>
      <c r="P89" s="2774"/>
      <c r="Q89" s="2735"/>
      <c r="R89" s="2721"/>
      <c r="S89" s="2721"/>
      <c r="T89" s="2721"/>
      <c r="U89" s="2721"/>
      <c r="V89" s="2721"/>
      <c r="W89" s="2721"/>
      <c r="X89" s="2721"/>
      <c r="Y89" s="2721"/>
      <c r="Z89" s="2721"/>
      <c r="AA89" s="2721"/>
      <c r="AB89" s="2721"/>
      <c r="AC89" s="2721"/>
    </row>
    <row r="90" spans="1:29" ht="14.4" thickBot="1">
      <c r="A90" s="482"/>
      <c r="B90" s="491"/>
      <c r="C90" s="492">
        <v>100</v>
      </c>
      <c r="D90" s="492">
        <f>C90-$K17</f>
        <v>100</v>
      </c>
      <c r="E90" s="492">
        <f>D90-$K17</f>
        <v>100</v>
      </c>
      <c r="F90" s="492">
        <f>E90-$K17</f>
        <v>100</v>
      </c>
      <c r="G90" s="492">
        <f>F90-$K17</f>
        <v>100</v>
      </c>
      <c r="H90" s="492"/>
      <c r="I90" s="492"/>
      <c r="J90" s="492"/>
      <c r="K90" s="492"/>
      <c r="L90" s="492"/>
      <c r="M90" s="493"/>
      <c r="N90" s="2750"/>
      <c r="O90" s="2750"/>
      <c r="P90" s="2774"/>
      <c r="Q90" s="2735"/>
      <c r="R90" s="2721"/>
      <c r="S90" s="2721"/>
      <c r="T90" s="2721"/>
      <c r="U90" s="2721"/>
      <c r="V90" s="2721"/>
      <c r="W90" s="2721"/>
      <c r="X90" s="2721"/>
      <c r="Y90" s="2721"/>
      <c r="Z90" s="2721"/>
      <c r="AA90" s="2721"/>
      <c r="AB90" s="2721"/>
      <c r="AC90" s="2721"/>
    </row>
    <row r="91" spans="1:29" ht="15" thickTop="1">
      <c r="A91" s="482"/>
      <c r="B91" s="486" t="s">
        <v>1821</v>
      </c>
      <c r="C91" s="526" t="s">
        <v>1721</v>
      </c>
      <c r="D91" s="526" t="s">
        <v>1722</v>
      </c>
      <c r="E91" s="526" t="s">
        <v>1723</v>
      </c>
      <c r="F91" s="526" t="s">
        <v>1724</v>
      </c>
      <c r="G91" s="526" t="s">
        <v>1725</v>
      </c>
      <c r="H91" s="487"/>
      <c r="I91" s="487"/>
      <c r="J91" s="487"/>
      <c r="K91" s="488"/>
      <c r="L91" s="489"/>
      <c r="M91" s="490"/>
      <c r="N91" s="2749"/>
      <c r="O91" s="2749"/>
      <c r="P91" s="2774"/>
      <c r="Q91" s="2735"/>
      <c r="R91" s="2721"/>
      <c r="S91" s="2721"/>
      <c r="T91" s="2721"/>
      <c r="U91" s="2721"/>
      <c r="V91" s="2721"/>
      <c r="W91" s="2721"/>
      <c r="X91" s="2721"/>
      <c r="Y91" s="2721"/>
      <c r="Z91" s="2721"/>
      <c r="AA91" s="2721"/>
      <c r="AB91" s="2721"/>
      <c r="AC91" s="2721"/>
    </row>
    <row r="92" spans="1:29" ht="14.4" thickBot="1">
      <c r="A92" s="482"/>
      <c r="B92" s="491"/>
      <c r="C92" s="492">
        <v>100</v>
      </c>
      <c r="D92" s="492">
        <f>C92-$K19</f>
        <v>100</v>
      </c>
      <c r="E92" s="492">
        <f>D92-$K19</f>
        <v>100</v>
      </c>
      <c r="F92" s="492">
        <f>E92-$K19</f>
        <v>100</v>
      </c>
      <c r="G92" s="492">
        <f>F92-$K19</f>
        <v>100</v>
      </c>
      <c r="H92" s="492"/>
      <c r="I92" s="492"/>
      <c r="J92" s="492"/>
      <c r="K92" s="492"/>
      <c r="L92" s="492"/>
      <c r="M92" s="493"/>
      <c r="N92" s="2750"/>
      <c r="O92" s="2750"/>
      <c r="P92" s="2774"/>
      <c r="Q92" s="2735"/>
      <c r="R92" s="2721"/>
      <c r="S92" s="2721"/>
      <c r="T92" s="2721"/>
      <c r="U92" s="2721"/>
      <c r="V92" s="2721"/>
      <c r="W92" s="2721"/>
      <c r="X92" s="2721"/>
      <c r="Y92" s="2721"/>
      <c r="Z92" s="2721"/>
      <c r="AA92" s="2721"/>
      <c r="AB92" s="2721"/>
      <c r="AC92" s="2721"/>
    </row>
    <row r="93" spans="1:29" ht="15" thickTop="1">
      <c r="A93" s="482"/>
      <c r="B93" s="486" t="s">
        <v>1726</v>
      </c>
      <c r="C93" s="526" t="s">
        <v>1721</v>
      </c>
      <c r="D93" s="526" t="s">
        <v>1722</v>
      </c>
      <c r="E93" s="526" t="s">
        <v>1723</v>
      </c>
      <c r="F93" s="526" t="s">
        <v>1724</v>
      </c>
      <c r="G93" s="526" t="s">
        <v>1725</v>
      </c>
      <c r="H93" s="487"/>
      <c r="I93" s="487"/>
      <c r="J93" s="487"/>
      <c r="K93" s="488"/>
      <c r="L93" s="489"/>
      <c r="M93" s="490"/>
      <c r="N93" s="2749"/>
      <c r="O93" s="2749"/>
      <c r="P93" s="2774"/>
      <c r="Q93" s="2735"/>
      <c r="R93" s="2721"/>
      <c r="S93" s="2721"/>
      <c r="T93" s="2721"/>
      <c r="U93" s="2721"/>
      <c r="V93" s="2721"/>
      <c r="W93" s="2721"/>
      <c r="X93" s="2721"/>
      <c r="Y93" s="2721"/>
      <c r="Z93" s="2721"/>
      <c r="AA93" s="2721"/>
      <c r="AB93" s="2721"/>
      <c r="AC93" s="2721"/>
    </row>
    <row r="94" spans="1:29" ht="14.4" thickBot="1">
      <c r="A94" s="482"/>
      <c r="B94" s="491"/>
      <c r="C94" s="492">
        <v>100</v>
      </c>
      <c r="D94" s="492">
        <f>C94-$K21</f>
        <v>100</v>
      </c>
      <c r="E94" s="492">
        <f>D94-$K21</f>
        <v>100</v>
      </c>
      <c r="F94" s="492">
        <f>E94-$K21</f>
        <v>100</v>
      </c>
      <c r="G94" s="492">
        <f>F94-$K21</f>
        <v>100</v>
      </c>
      <c r="H94" s="492"/>
      <c r="I94" s="492"/>
      <c r="J94" s="492"/>
      <c r="K94" s="492"/>
      <c r="L94" s="492"/>
      <c r="M94" s="493"/>
      <c r="N94" s="2750"/>
      <c r="O94" s="2750"/>
      <c r="P94" s="2774"/>
      <c r="Q94" s="2735"/>
      <c r="R94" s="2721"/>
      <c r="S94" s="2721"/>
      <c r="T94" s="2721"/>
      <c r="U94" s="2721"/>
      <c r="V94" s="2721"/>
      <c r="W94" s="2721"/>
      <c r="X94" s="2721"/>
      <c r="Y94" s="2721"/>
      <c r="Z94" s="2721"/>
      <c r="AA94" s="2721"/>
      <c r="AB94" s="2721"/>
      <c r="AC94" s="2721"/>
    </row>
    <row r="95" spans="1:29" s="108" customFormat="1" ht="29.4" thickTop="1">
      <c r="A95" s="527"/>
      <c r="B95" s="486" t="s">
        <v>1907</v>
      </c>
      <c r="C95" s="526" t="s">
        <v>1721</v>
      </c>
      <c r="D95" s="526" t="s">
        <v>1722</v>
      </c>
      <c r="E95" s="526" t="s">
        <v>1723</v>
      </c>
      <c r="F95" s="526" t="s">
        <v>1724</v>
      </c>
      <c r="G95" s="526" t="s">
        <v>1725</v>
      </c>
      <c r="H95" s="526"/>
      <c r="I95" s="526"/>
      <c r="J95" s="526"/>
      <c r="K95" s="526"/>
      <c r="L95" s="645"/>
      <c r="M95" s="569"/>
      <c r="N95" s="2748"/>
      <c r="O95" s="2748"/>
      <c r="P95" s="2774"/>
      <c r="Q95" s="2735"/>
      <c r="R95" s="2657"/>
      <c r="S95" s="2657"/>
      <c r="T95" s="2657"/>
      <c r="U95" s="2657"/>
      <c r="V95" s="2657"/>
      <c r="W95" s="2657"/>
      <c r="X95" s="2657"/>
      <c r="Y95" s="2657"/>
      <c r="Z95" s="2657"/>
      <c r="AA95" s="2657"/>
      <c r="AB95" s="2657"/>
      <c r="AC95" s="2657"/>
    </row>
    <row r="96" spans="1:29" s="108" customFormat="1" ht="14.4" thickBot="1">
      <c r="A96" s="527"/>
      <c r="B96" s="491"/>
      <c r="C96" s="530">
        <v>100</v>
      </c>
      <c r="D96" s="492">
        <f>C96-$K23</f>
        <v>100</v>
      </c>
      <c r="E96" s="492">
        <f>D96-$K23</f>
        <v>100</v>
      </c>
      <c r="F96" s="492">
        <f>E96-$K23</f>
        <v>100</v>
      </c>
      <c r="G96" s="492">
        <f>F96-$K23</f>
        <v>100</v>
      </c>
      <c r="H96" s="492"/>
      <c r="I96" s="492"/>
      <c r="J96" s="492"/>
      <c r="K96" s="492"/>
      <c r="L96" s="492"/>
      <c r="M96" s="493"/>
      <c r="N96" s="2750"/>
      <c r="O96" s="2750"/>
      <c r="P96" s="2774"/>
      <c r="Q96" s="2735"/>
      <c r="R96" s="2657"/>
      <c r="S96" s="2657"/>
      <c r="T96" s="2657"/>
      <c r="U96" s="2657"/>
      <c r="V96" s="2657"/>
      <c r="W96" s="2657"/>
      <c r="X96" s="2657"/>
      <c r="Y96" s="2657"/>
      <c r="Z96" s="2657"/>
      <c r="AA96" s="2657"/>
      <c r="AB96" s="2657"/>
      <c r="AC96" s="2657"/>
    </row>
    <row r="97" spans="1:29" s="108" customFormat="1" ht="29.4" thickTop="1">
      <c r="A97" s="527"/>
      <c r="B97" s="486" t="s">
        <v>1908</v>
      </c>
      <c r="C97" s="521" t="s">
        <v>1721</v>
      </c>
      <c r="D97" s="521" t="s">
        <v>1722</v>
      </c>
      <c r="E97" s="521" t="s">
        <v>1723</v>
      </c>
      <c r="F97" s="521" t="s">
        <v>1724</v>
      </c>
      <c r="G97" s="521" t="s">
        <v>1725</v>
      </c>
      <c r="H97" s="526"/>
      <c r="I97" s="526"/>
      <c r="J97" s="526"/>
      <c r="K97" s="526"/>
      <c r="L97" s="526"/>
      <c r="M97" s="569"/>
      <c r="N97" s="2748"/>
      <c r="O97" s="2748"/>
      <c r="P97" s="2774"/>
      <c r="Q97" s="2735"/>
      <c r="R97" s="2657"/>
      <c r="S97" s="2657"/>
      <c r="T97" s="2657"/>
      <c r="U97" s="2657"/>
      <c r="V97" s="2657"/>
      <c r="W97" s="2657"/>
      <c r="X97" s="2657"/>
      <c r="Y97" s="2657"/>
      <c r="Z97" s="2657"/>
      <c r="AA97" s="2657"/>
      <c r="AB97" s="2657"/>
      <c r="AC97" s="2657"/>
    </row>
    <row r="98" spans="1:29" s="108" customFormat="1" ht="14.4" thickBot="1">
      <c r="A98" s="527"/>
      <c r="B98" s="491"/>
      <c r="C98" s="492">
        <v>100</v>
      </c>
      <c r="D98" s="492">
        <f>C98-$K25</f>
        <v>100</v>
      </c>
      <c r="E98" s="492">
        <f>D98-$K25</f>
        <v>100</v>
      </c>
      <c r="F98" s="492">
        <f>E98-$K25</f>
        <v>100</v>
      </c>
      <c r="G98" s="492">
        <f>F98-$K25</f>
        <v>100</v>
      </c>
      <c r="H98" s="492"/>
      <c r="I98" s="492"/>
      <c r="J98" s="492"/>
      <c r="K98" s="492"/>
      <c r="L98" s="492"/>
      <c r="M98" s="493"/>
      <c r="N98" s="2750"/>
      <c r="O98" s="2750"/>
      <c r="P98" s="2774"/>
      <c r="Q98" s="2735"/>
      <c r="R98" s="2657"/>
      <c r="S98" s="2657"/>
      <c r="T98" s="2657"/>
      <c r="U98" s="2657"/>
      <c r="V98" s="2657"/>
      <c r="W98" s="2657"/>
      <c r="X98" s="2657"/>
      <c r="Y98" s="2657"/>
      <c r="Z98" s="2657"/>
      <c r="AA98" s="2657"/>
      <c r="AB98" s="2657"/>
      <c r="AC98" s="2657"/>
    </row>
    <row r="99" spans="1:29" s="421" customFormat="1" ht="15" thickTop="1">
      <c r="A99" s="501"/>
      <c r="B99" s="486" t="s">
        <v>1778</v>
      </c>
      <c r="C99" s="521" t="s">
        <v>1721</v>
      </c>
      <c r="D99" s="521" t="s">
        <v>1722</v>
      </c>
      <c r="E99" s="521" t="s">
        <v>1723</v>
      </c>
      <c r="F99" s="521" t="s">
        <v>1724</v>
      </c>
      <c r="G99" s="521" t="s">
        <v>1725</v>
      </c>
      <c r="H99" s="548"/>
      <c r="I99" s="548"/>
      <c r="J99" s="548"/>
      <c r="K99" s="548"/>
      <c r="L99" s="549"/>
      <c r="M99" s="550"/>
      <c r="N99" s="2751"/>
      <c r="O99" s="2751"/>
      <c r="P99" s="2775"/>
      <c r="Q99" s="2742"/>
      <c r="R99" s="2743"/>
      <c r="S99" s="2743"/>
      <c r="T99" s="2743"/>
      <c r="U99" s="2743"/>
      <c r="V99" s="2743"/>
      <c r="W99" s="2743"/>
      <c r="X99" s="2743"/>
      <c r="Y99" s="2743"/>
      <c r="Z99" s="2743"/>
      <c r="AA99" s="2743"/>
      <c r="AB99" s="2743"/>
      <c r="AC99" s="2743"/>
    </row>
    <row r="100" spans="1:29" s="421" customFormat="1" ht="14.4" thickBot="1">
      <c r="A100" s="501"/>
      <c r="B100" s="491"/>
      <c r="C100" s="492">
        <v>100</v>
      </c>
      <c r="D100" s="492">
        <f>C100-$K27</f>
        <v>100</v>
      </c>
      <c r="E100" s="492">
        <f>D100-$K27</f>
        <v>100</v>
      </c>
      <c r="F100" s="492">
        <f>E100-$K27</f>
        <v>100</v>
      </c>
      <c r="G100" s="492">
        <f>F100-$K27</f>
        <v>100</v>
      </c>
      <c r="H100" s="555"/>
      <c r="I100" s="555"/>
      <c r="J100" s="555"/>
      <c r="K100" s="555"/>
      <c r="L100" s="555"/>
      <c r="M100" s="556"/>
      <c r="N100" s="2751"/>
      <c r="O100" s="2751"/>
      <c r="P100" s="2775"/>
      <c r="Q100" s="2742"/>
      <c r="R100" s="2743"/>
      <c r="S100" s="2743"/>
      <c r="T100" s="2743"/>
      <c r="U100" s="2743"/>
      <c r="V100" s="2743"/>
      <c r="W100" s="2743"/>
      <c r="X100" s="2743"/>
      <c r="Y100" s="2743"/>
      <c r="Z100" s="2743"/>
      <c r="AA100" s="2743"/>
      <c r="AB100" s="2743"/>
      <c r="AC100" s="2743"/>
    </row>
    <row r="101" spans="1:29" s="421" customFormat="1" ht="15" thickTop="1">
      <c r="A101" s="501"/>
      <c r="B101" s="494" t="s">
        <v>1779</v>
      </c>
      <c r="C101" s="607" t="s">
        <v>1799</v>
      </c>
      <c r="D101" s="607" t="s">
        <v>1800</v>
      </c>
      <c r="E101" s="607" t="s">
        <v>1801</v>
      </c>
      <c r="F101" s="607" t="s">
        <v>1802</v>
      </c>
      <c r="G101" s="607" t="s">
        <v>1803</v>
      </c>
      <c r="H101" s="548"/>
      <c r="I101" s="548"/>
      <c r="J101" s="548"/>
      <c r="K101" s="548"/>
      <c r="L101" s="548"/>
      <c r="M101" s="1128"/>
      <c r="N101" s="2751"/>
      <c r="O101" s="2751"/>
      <c r="P101" s="2775"/>
      <c r="Q101" s="2742"/>
      <c r="R101" s="2743"/>
      <c r="S101" s="2743"/>
      <c r="T101" s="2743"/>
      <c r="U101" s="2743"/>
      <c r="V101" s="2743"/>
      <c r="W101" s="2743"/>
      <c r="X101" s="2743"/>
      <c r="Y101" s="2743"/>
      <c r="Z101" s="2743"/>
      <c r="AA101" s="2743"/>
      <c r="AB101" s="2743"/>
      <c r="AC101" s="2743"/>
    </row>
    <row r="102" spans="1:29" s="421" customFormat="1" ht="14.4" thickBot="1">
      <c r="A102" s="501"/>
      <c r="B102" s="494"/>
      <c r="C102" s="492">
        <v>100</v>
      </c>
      <c r="D102" s="492">
        <f>C102-$K29</f>
        <v>100</v>
      </c>
      <c r="E102" s="492">
        <f>D102-$K29</f>
        <v>100</v>
      </c>
      <c r="F102" s="492">
        <f>E102-$K29</f>
        <v>100</v>
      </c>
      <c r="G102" s="492">
        <f>F102-$K29</f>
        <v>100</v>
      </c>
      <c r="H102" s="496"/>
      <c r="I102" s="496"/>
      <c r="J102" s="496"/>
      <c r="K102" s="496"/>
      <c r="L102" s="496"/>
      <c r="M102" s="1128"/>
      <c r="N102" s="2751"/>
      <c r="O102" s="2751"/>
      <c r="P102" s="2775"/>
      <c r="Q102" s="2742"/>
      <c r="R102" s="2743"/>
      <c r="S102" s="2743"/>
      <c r="T102" s="2743"/>
      <c r="U102" s="2743"/>
      <c r="V102" s="2743"/>
      <c r="W102" s="2743"/>
      <c r="X102" s="2743"/>
      <c r="Y102" s="2743"/>
      <c r="Z102" s="2743"/>
      <c r="AA102" s="2743"/>
      <c r="AB102" s="2743"/>
      <c r="AC102" s="2743"/>
    </row>
    <row r="103" spans="1:29" ht="15" thickTop="1">
      <c r="A103" s="482"/>
      <c r="B103" s="486" t="str">
        <f>B31</f>
        <v>临街状况</v>
      </c>
      <c r="C103" s="487" t="s">
        <v>1909</v>
      </c>
      <c r="D103" s="487" t="s">
        <v>1910</v>
      </c>
      <c r="E103" s="487" t="s">
        <v>1911</v>
      </c>
      <c r="F103" s="487" t="s">
        <v>1912</v>
      </c>
      <c r="G103" s="487"/>
      <c r="H103" s="487"/>
      <c r="I103" s="487"/>
      <c r="J103" s="487"/>
      <c r="K103" s="488"/>
      <c r="L103" s="489"/>
      <c r="M103" s="490"/>
      <c r="N103" s="2749"/>
      <c r="O103" s="2749"/>
      <c r="P103" s="2774"/>
      <c r="Q103" s="2735"/>
      <c r="R103" s="2721"/>
      <c r="S103" s="2721"/>
      <c r="T103" s="2721"/>
      <c r="U103" s="2721"/>
      <c r="V103" s="2721"/>
      <c r="W103" s="2721"/>
      <c r="X103" s="2721"/>
      <c r="Y103" s="2721"/>
      <c r="Z103" s="2721"/>
      <c r="AA103" s="2721"/>
      <c r="AB103" s="2721"/>
      <c r="AC103" s="2721"/>
    </row>
    <row r="104" spans="1:29" ht="14.4"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0"/>
      <c r="O104" s="2750"/>
      <c r="P104" s="2774"/>
      <c r="Q104" s="2735"/>
      <c r="R104" s="2721"/>
      <c r="S104" s="2721"/>
      <c r="T104" s="2721"/>
      <c r="U104" s="2721"/>
      <c r="V104" s="2721"/>
      <c r="W104" s="2721"/>
      <c r="X104" s="2721"/>
      <c r="Y104" s="2721"/>
      <c r="Z104" s="2721"/>
      <c r="AA104" s="2721"/>
      <c r="AB104" s="2721"/>
      <c r="AC104" s="2721"/>
    </row>
    <row r="105" spans="1:29" ht="29.4" thickTop="1">
      <c r="A105" s="482"/>
      <c r="B105" s="486" t="s">
        <v>1815</v>
      </c>
      <c r="C105" s="502"/>
      <c r="D105" s="502"/>
      <c r="E105" s="502"/>
      <c r="F105" s="502"/>
      <c r="G105" s="502"/>
      <c r="H105" s="531"/>
      <c r="I105" s="531"/>
      <c r="J105" s="531"/>
      <c r="K105" s="532"/>
      <c r="L105" s="533"/>
      <c r="M105" s="534"/>
      <c r="N105" s="2749"/>
      <c r="O105" s="2749"/>
      <c r="P105" s="2774"/>
      <c r="Q105" s="2735"/>
      <c r="R105" s="2721"/>
      <c r="S105" s="2721"/>
      <c r="T105" s="2721"/>
      <c r="U105" s="2721"/>
      <c r="V105" s="2721"/>
      <c r="W105" s="2721"/>
      <c r="X105" s="2721"/>
      <c r="Y105" s="2721"/>
      <c r="Z105" s="2721"/>
      <c r="AA105" s="2721"/>
      <c r="AB105" s="2721"/>
      <c r="AC105" s="2721"/>
    </row>
    <row r="106" spans="1:29" ht="14.4"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0"/>
      <c r="O106" s="2750"/>
      <c r="P106" s="2774"/>
      <c r="Q106" s="2735"/>
      <c r="R106" s="2721"/>
      <c r="S106" s="2721"/>
      <c r="T106" s="2721"/>
      <c r="U106" s="2721"/>
      <c r="V106" s="2721"/>
      <c r="W106" s="2721"/>
      <c r="X106" s="2721"/>
      <c r="Y106" s="2721"/>
      <c r="Z106" s="2721"/>
      <c r="AA106" s="2721"/>
      <c r="AB106" s="2721"/>
      <c r="AC106" s="2721"/>
    </row>
    <row r="107" spans="1:29" ht="15" thickTop="1">
      <c r="A107" s="482"/>
      <c r="B107" s="486" t="s">
        <v>1873</v>
      </c>
      <c r="C107" s="531"/>
      <c r="D107" s="531"/>
      <c r="E107" s="531"/>
      <c r="F107" s="531"/>
      <c r="G107" s="531"/>
      <c r="H107" s="531"/>
      <c r="I107" s="531"/>
      <c r="J107" s="531"/>
      <c r="K107" s="532"/>
      <c r="L107" s="533"/>
      <c r="M107" s="534"/>
      <c r="N107" s="2749"/>
      <c r="O107" s="2749"/>
      <c r="P107" s="2774"/>
      <c r="Q107" s="2735"/>
      <c r="R107" s="2721"/>
      <c r="S107" s="2721"/>
      <c r="T107" s="2721"/>
      <c r="U107" s="2721"/>
      <c r="V107" s="2721"/>
      <c r="W107" s="2721"/>
      <c r="X107" s="2721"/>
      <c r="Y107" s="2721"/>
      <c r="Z107" s="2721"/>
      <c r="AA107" s="2721"/>
      <c r="AB107" s="2721"/>
      <c r="AC107" s="2721"/>
    </row>
    <row r="108" spans="1:29" ht="14.4"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0"/>
      <c r="O108" s="2750"/>
      <c r="P108" s="2774"/>
      <c r="Q108" s="2735"/>
      <c r="R108" s="2721"/>
      <c r="S108" s="2721"/>
      <c r="T108" s="2721"/>
      <c r="U108" s="2721"/>
      <c r="V108" s="2721"/>
      <c r="W108" s="2721"/>
      <c r="X108" s="2721"/>
      <c r="Y108" s="2721"/>
      <c r="Z108" s="2721"/>
      <c r="AA108" s="2721"/>
      <c r="AB108" s="2721"/>
      <c r="AC108" s="2721"/>
    </row>
    <row r="109" spans="1:29" ht="14.4" thickTop="1">
      <c r="A109" s="482"/>
      <c r="B109" s="494">
        <f>B35</f>
        <v>111</v>
      </c>
      <c r="C109" s="502"/>
      <c r="D109" s="502"/>
      <c r="E109" s="502"/>
      <c r="F109" s="502"/>
      <c r="G109" s="535"/>
      <c r="H109" s="535"/>
      <c r="I109" s="535"/>
      <c r="J109" s="535"/>
      <c r="K109" s="536"/>
      <c r="L109" s="537"/>
      <c r="M109" s="538"/>
      <c r="N109" s="2749"/>
      <c r="O109" s="2749"/>
      <c r="P109" s="2774"/>
      <c r="Q109" s="2735"/>
      <c r="R109" s="2721"/>
      <c r="S109" s="2721"/>
      <c r="T109" s="2721"/>
      <c r="U109" s="2721"/>
      <c r="V109" s="2721"/>
      <c r="W109" s="2721"/>
      <c r="X109" s="2721"/>
      <c r="Y109" s="2721"/>
      <c r="Z109" s="2721"/>
      <c r="AA109" s="2721"/>
      <c r="AB109" s="2721"/>
      <c r="AC109" s="2721"/>
    </row>
    <row r="110" spans="1:29" ht="14.4" thickBot="1">
      <c r="A110" s="482"/>
      <c r="B110" s="517"/>
      <c r="C110" s="508"/>
      <c r="D110" s="508"/>
      <c r="E110" s="508"/>
      <c r="F110" s="508"/>
      <c r="G110" s="539"/>
      <c r="H110" s="539"/>
      <c r="I110" s="539"/>
      <c r="J110" s="539"/>
      <c r="K110" s="539"/>
      <c r="L110" s="539"/>
      <c r="M110" s="540"/>
      <c r="N110" s="2750"/>
      <c r="O110" s="2750"/>
      <c r="P110" s="2774"/>
      <c r="Q110" s="2735"/>
      <c r="R110" s="2721"/>
      <c r="S110" s="2721"/>
      <c r="T110" s="2721"/>
      <c r="U110" s="2721"/>
      <c r="V110" s="2721"/>
      <c r="W110" s="2721"/>
      <c r="X110" s="2721"/>
      <c r="Y110" s="2721"/>
      <c r="Z110" s="2721"/>
      <c r="AA110" s="2721"/>
      <c r="AB110" s="2721"/>
      <c r="AC110" s="2721"/>
    </row>
    <row r="111" spans="1:29" ht="14.4" thickTop="1">
      <c r="A111" s="622"/>
      <c r="B111" s="486">
        <f>B36</f>
        <v>111</v>
      </c>
      <c r="C111" s="471"/>
      <c r="D111" s="471"/>
      <c r="E111" s="471"/>
      <c r="F111" s="471"/>
      <c r="G111" s="531"/>
      <c r="H111" s="531"/>
      <c r="I111" s="531"/>
      <c r="J111" s="531"/>
      <c r="K111" s="532"/>
      <c r="L111" s="533"/>
      <c r="M111" s="534"/>
      <c r="N111" s="2749"/>
      <c r="O111" s="2749"/>
      <c r="P111" s="2774"/>
      <c r="Q111" s="2735"/>
      <c r="R111" s="2721"/>
      <c r="S111" s="2721"/>
      <c r="T111" s="2721"/>
      <c r="U111" s="2721"/>
      <c r="V111" s="2721"/>
      <c r="W111" s="2721"/>
      <c r="X111" s="2721"/>
      <c r="Y111" s="2721"/>
      <c r="Z111" s="2721"/>
      <c r="AA111" s="2721"/>
      <c r="AB111" s="2721"/>
      <c r="AC111" s="2721"/>
    </row>
    <row r="112" spans="1:29" ht="14.4" thickBot="1">
      <c r="A112" s="482"/>
      <c r="B112" s="491"/>
      <c r="C112" s="518"/>
      <c r="D112" s="518"/>
      <c r="E112" s="518"/>
      <c r="F112" s="518"/>
      <c r="G112" s="484"/>
      <c r="H112" s="484"/>
      <c r="I112" s="484"/>
      <c r="J112" s="484"/>
      <c r="K112" s="484"/>
      <c r="L112" s="484"/>
      <c r="M112" s="485"/>
      <c r="N112" s="2750"/>
      <c r="O112" s="2750"/>
      <c r="P112" s="2774"/>
      <c r="Q112" s="2735"/>
      <c r="R112" s="2721"/>
      <c r="S112" s="2721"/>
      <c r="T112" s="2721"/>
      <c r="U112" s="2721"/>
      <c r="V112" s="2721"/>
      <c r="W112" s="2721"/>
      <c r="X112" s="2721"/>
      <c r="Y112" s="2721"/>
      <c r="Z112" s="2721"/>
      <c r="AA112" s="2721"/>
      <c r="AB112" s="2721"/>
      <c r="AC112" s="2721"/>
    </row>
    <row r="113" spans="1:29" s="421" customFormat="1" ht="14.4" thickTop="1">
      <c r="A113" s="541"/>
      <c r="B113" s="542">
        <f>B37</f>
        <v>111</v>
      </c>
      <c r="C113" s="543"/>
      <c r="D113" s="543"/>
      <c r="E113" s="543"/>
      <c r="F113" s="543"/>
      <c r="G113" s="543"/>
      <c r="H113" s="543"/>
      <c r="I113" s="543"/>
      <c r="J113" s="544"/>
      <c r="K113" s="544"/>
      <c r="L113" s="545"/>
      <c r="M113" s="546"/>
      <c r="N113" s="2751"/>
      <c r="O113" s="2751"/>
      <c r="P113" s="2775"/>
      <c r="Q113" s="2742"/>
      <c r="R113" s="2743"/>
      <c r="S113" s="2743"/>
      <c r="T113" s="2743"/>
      <c r="U113" s="2743"/>
      <c r="V113" s="2743"/>
      <c r="W113" s="2743"/>
      <c r="X113" s="2743"/>
      <c r="Y113" s="2743"/>
      <c r="Z113" s="2743"/>
      <c r="AA113" s="2743"/>
      <c r="AB113" s="2743"/>
      <c r="AC113" s="2743"/>
    </row>
    <row r="114" spans="1:29" s="421" customFormat="1" ht="14.4" thickBot="1">
      <c r="A114" s="501"/>
      <c r="B114" s="494"/>
      <c r="C114" s="460"/>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ht="14.4">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9"/>
      <c r="O115" s="2749"/>
      <c r="P115" s="2774"/>
      <c r="Q115" s="2735"/>
      <c r="R115" s="2721"/>
      <c r="S115" s="2721"/>
      <c r="T115" s="2721"/>
      <c r="U115" s="2721"/>
      <c r="V115" s="2721"/>
      <c r="W115" s="2721"/>
      <c r="X115" s="2721"/>
      <c r="Y115" s="2721"/>
      <c r="Z115" s="2721"/>
      <c r="AA115" s="2721"/>
      <c r="AB115" s="2721"/>
      <c r="AC115" s="2721"/>
    </row>
    <row r="116" spans="1:29">
      <c r="A116" s="482"/>
      <c r="B116" s="494"/>
      <c r="C116" s="543"/>
      <c r="D116" s="543"/>
      <c r="E116" s="543"/>
      <c r="F116" s="543"/>
      <c r="G116" s="543"/>
      <c r="H116" s="543"/>
      <c r="I116" s="543"/>
      <c r="J116" s="544"/>
      <c r="K116" s="544"/>
      <c r="L116" s="545"/>
      <c r="M116" s="546"/>
      <c r="N116" s="2749"/>
      <c r="O116" s="2749"/>
      <c r="P116" s="2774"/>
      <c r="Q116" s="2735"/>
      <c r="R116" s="2721"/>
      <c r="S116" s="2721"/>
      <c r="T116" s="2721"/>
      <c r="U116" s="2721"/>
      <c r="V116" s="2721"/>
      <c r="W116" s="2721"/>
      <c r="X116" s="2721"/>
      <c r="Y116" s="2721"/>
      <c r="Z116" s="2721"/>
      <c r="AA116" s="2721"/>
      <c r="AB116" s="2721"/>
      <c r="AC116" s="2721"/>
    </row>
    <row r="117" spans="1:29" ht="14.4" thickBot="1">
      <c r="A117" s="482"/>
      <c r="B117" s="491"/>
      <c r="C117" s="518"/>
      <c r="D117" s="539"/>
      <c r="E117" s="539"/>
      <c r="F117" s="539"/>
      <c r="G117" s="539"/>
      <c r="H117" s="539"/>
      <c r="I117" s="539"/>
      <c r="J117" s="539"/>
      <c r="K117" s="539"/>
      <c r="L117" s="539"/>
      <c r="M117" s="540"/>
      <c r="N117" s="2750"/>
      <c r="O117" s="2750"/>
      <c r="P117" s="2774"/>
      <c r="Q117" s="2735"/>
      <c r="R117" s="2721"/>
      <c r="S117" s="2721"/>
      <c r="T117" s="2721"/>
      <c r="U117" s="2721"/>
      <c r="V117" s="2721"/>
      <c r="W117" s="2721"/>
      <c r="X117" s="2721"/>
      <c r="Y117" s="2721"/>
      <c r="Z117" s="2721"/>
      <c r="AA117" s="2721"/>
      <c r="AB117" s="2721"/>
      <c r="AC117" s="2721"/>
    </row>
    <row r="118" spans="1:29" ht="15" thickTop="1">
      <c r="A118" s="547"/>
      <c r="B118" s="486" t="s">
        <v>1914</v>
      </c>
      <c r="C118" s="531"/>
      <c r="D118" s="531"/>
      <c r="E118" s="531"/>
      <c r="F118" s="531"/>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row>
    <row r="119" spans="1:29" ht="14.4"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7"/>
      <c r="B120" s="486" t="s">
        <v>1915</v>
      </c>
      <c r="C120" s="502"/>
      <c r="D120" s="502"/>
      <c r="E120" s="502"/>
      <c r="F120" s="531"/>
      <c r="G120" s="531"/>
      <c r="H120" s="531"/>
      <c r="I120" s="531"/>
      <c r="J120" s="531"/>
      <c r="K120" s="532"/>
      <c r="L120" s="533"/>
      <c r="M120" s="534"/>
      <c r="N120" s="2749"/>
      <c r="O120" s="2749"/>
      <c r="P120" s="2774"/>
      <c r="Q120" s="2735"/>
      <c r="R120" s="2721"/>
      <c r="S120" s="2721"/>
      <c r="T120" s="2721"/>
      <c r="U120" s="2721"/>
      <c r="V120" s="2721"/>
      <c r="W120" s="2721"/>
      <c r="X120" s="2721"/>
      <c r="Y120" s="2721"/>
      <c r="Z120" s="2721"/>
      <c r="AA120" s="2721"/>
      <c r="AB120" s="2721"/>
      <c r="AC120" s="2721"/>
    </row>
    <row r="121" spans="1:29" ht="14.4"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0"/>
      <c r="O121" s="2750"/>
      <c r="P121" s="2774"/>
      <c r="Q121" s="2735"/>
      <c r="R121" s="2721"/>
      <c r="S121" s="2721"/>
      <c r="T121" s="2721"/>
      <c r="U121" s="2721"/>
      <c r="V121" s="2721"/>
      <c r="W121" s="2721"/>
      <c r="X121" s="2721"/>
      <c r="Y121" s="2721"/>
      <c r="Z121" s="2721"/>
      <c r="AA121" s="2721"/>
      <c r="AB121" s="2721"/>
      <c r="AC121" s="2721"/>
    </row>
    <row r="122" spans="1:29" s="421" customFormat="1" ht="15" thickTop="1">
      <c r="A122" s="541"/>
      <c r="B122" s="486" t="s">
        <v>1916</v>
      </c>
      <c r="C122" s="502"/>
      <c r="D122" s="502"/>
      <c r="E122" s="502"/>
      <c r="F122" s="502"/>
      <c r="G122" s="502"/>
      <c r="H122" s="531"/>
      <c r="I122" s="531"/>
      <c r="J122" s="531"/>
      <c r="K122" s="532"/>
      <c r="L122" s="533"/>
      <c r="M122" s="534"/>
      <c r="N122" s="2751"/>
      <c r="O122" s="2751"/>
      <c r="P122" s="2775"/>
      <c r="Q122" s="2742"/>
      <c r="R122" s="2743"/>
      <c r="S122" s="2743"/>
      <c r="T122" s="2743"/>
      <c r="U122" s="2743"/>
      <c r="V122" s="2743"/>
      <c r="W122" s="2743"/>
      <c r="X122" s="2743"/>
      <c r="Y122" s="2743"/>
      <c r="Z122" s="2743"/>
      <c r="AA122" s="2743"/>
      <c r="AB122" s="2743"/>
      <c r="AC122" s="2743"/>
    </row>
    <row r="123" spans="1:29" s="421" customFormat="1" ht="14.4"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7"/>
      <c r="B124" s="486" t="s">
        <v>1917</v>
      </c>
      <c r="C124" s="502"/>
      <c r="D124" s="502"/>
      <c r="E124" s="531"/>
      <c r="F124" s="531"/>
      <c r="G124" s="531"/>
      <c r="H124" s="531"/>
      <c r="I124" s="531"/>
      <c r="J124" s="531"/>
      <c r="K124" s="532"/>
      <c r="L124" s="533"/>
      <c r="M124" s="534"/>
      <c r="N124" s="2749"/>
      <c r="O124" s="2749"/>
      <c r="P124" s="2774"/>
      <c r="Q124" s="2735"/>
      <c r="R124" s="2721"/>
      <c r="S124" s="2721"/>
      <c r="T124" s="2721"/>
      <c r="U124" s="2721"/>
      <c r="V124" s="2721"/>
      <c r="W124" s="2721"/>
      <c r="X124" s="2721"/>
      <c r="Y124" s="2721"/>
      <c r="Z124" s="2721"/>
      <c r="AA124" s="2721"/>
      <c r="AB124" s="2721"/>
      <c r="AC124" s="2721"/>
    </row>
    <row r="125" spans="1:29" ht="14.4"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0"/>
      <c r="O125" s="2750"/>
      <c r="P125" s="2774"/>
      <c r="Q125" s="2735"/>
      <c r="R125" s="2721"/>
      <c r="S125" s="2721"/>
      <c r="T125" s="2721"/>
      <c r="U125" s="2721"/>
      <c r="V125" s="2721"/>
      <c r="W125" s="2721"/>
      <c r="X125" s="2721"/>
      <c r="Y125" s="2721"/>
      <c r="Z125" s="2721"/>
      <c r="AA125" s="2721"/>
      <c r="AB125" s="2721"/>
      <c r="AC125" s="2721"/>
    </row>
    <row r="126" spans="1:29" ht="14.4" thickTop="1">
      <c r="A126" s="547"/>
      <c r="B126" s="486">
        <f>B43</f>
        <v>111</v>
      </c>
      <c r="C126" s="502"/>
      <c r="D126" s="502"/>
      <c r="E126" s="502"/>
      <c r="F126" s="502"/>
      <c r="G126" s="502"/>
      <c r="H126" s="531"/>
      <c r="I126" s="531"/>
      <c r="J126" s="531"/>
      <c r="K126" s="532"/>
      <c r="L126" s="533"/>
      <c r="M126" s="534"/>
      <c r="N126" s="2749"/>
      <c r="O126" s="2749"/>
      <c r="P126" s="2774"/>
      <c r="Q126" s="2735"/>
      <c r="R126" s="2721"/>
      <c r="S126" s="2721"/>
      <c r="T126" s="2721"/>
      <c r="U126" s="2721"/>
      <c r="V126" s="2721"/>
      <c r="W126" s="2721"/>
      <c r="X126" s="2721"/>
      <c r="Y126" s="2721"/>
      <c r="Z126" s="2721"/>
      <c r="AA126" s="2721"/>
      <c r="AB126" s="2721"/>
      <c r="AC126" s="2721"/>
    </row>
    <row r="127" spans="1:29" ht="14.4" thickBot="1">
      <c r="A127" s="482"/>
      <c r="B127" s="491"/>
      <c r="C127" s="508"/>
      <c r="D127" s="508"/>
      <c r="E127" s="508"/>
      <c r="F127" s="508"/>
      <c r="G127" s="484"/>
      <c r="H127" s="484"/>
      <c r="I127" s="484"/>
      <c r="J127" s="484"/>
      <c r="K127" s="484"/>
      <c r="L127" s="484"/>
      <c r="M127" s="485"/>
      <c r="N127" s="2750"/>
      <c r="O127" s="2750"/>
      <c r="P127" s="2774"/>
      <c r="Q127" s="2735"/>
      <c r="R127" s="2721"/>
      <c r="S127" s="2721"/>
      <c r="T127" s="2721"/>
      <c r="U127" s="2721"/>
      <c r="V127" s="2721"/>
      <c r="W127" s="2721"/>
      <c r="X127" s="2721"/>
      <c r="Y127" s="2721"/>
      <c r="Z127" s="2721"/>
      <c r="AA127" s="2721"/>
      <c r="AB127" s="2721"/>
      <c r="AC127" s="2721"/>
    </row>
    <row r="128" spans="1:29" ht="14.4" thickTop="1">
      <c r="A128" s="547"/>
      <c r="B128" s="486">
        <f>B44</f>
        <v>111</v>
      </c>
      <c r="C128" s="471"/>
      <c r="D128" s="471"/>
      <c r="E128" s="471"/>
      <c r="F128" s="471"/>
      <c r="G128" s="531"/>
      <c r="H128" s="531"/>
      <c r="I128" s="531"/>
      <c r="J128" s="531"/>
      <c r="K128" s="532"/>
      <c r="L128" s="533"/>
      <c r="M128" s="534"/>
      <c r="N128" s="2749"/>
      <c r="O128" s="2749"/>
      <c r="P128" s="2774"/>
      <c r="Q128" s="2735"/>
      <c r="R128" s="2721"/>
      <c r="S128" s="2721"/>
      <c r="T128" s="2721"/>
      <c r="U128" s="2721"/>
      <c r="V128" s="2721"/>
      <c r="W128" s="2721"/>
      <c r="X128" s="2721"/>
      <c r="Y128" s="2721"/>
      <c r="Z128" s="2721"/>
      <c r="AA128" s="2721"/>
      <c r="AB128" s="2721"/>
      <c r="AC128" s="2721"/>
    </row>
    <row r="129" spans="1:29" ht="14.4" thickBot="1">
      <c r="A129" s="482"/>
      <c r="B129" s="491"/>
      <c r="C129" s="518"/>
      <c r="D129" s="518"/>
      <c r="E129" s="518"/>
      <c r="F129" s="518"/>
      <c r="G129" s="484"/>
      <c r="H129" s="484"/>
      <c r="I129" s="484"/>
      <c r="J129" s="484"/>
      <c r="K129" s="484"/>
      <c r="L129" s="484"/>
      <c r="M129" s="485"/>
      <c r="N129" s="2750"/>
      <c r="O129" s="2750"/>
      <c r="P129" s="2774"/>
      <c r="Q129" s="2735"/>
      <c r="R129" s="2721"/>
      <c r="S129" s="2721"/>
      <c r="T129" s="2721"/>
      <c r="U129" s="2721"/>
      <c r="V129" s="2721"/>
      <c r="W129" s="2721"/>
      <c r="X129" s="2721"/>
      <c r="Y129" s="2721"/>
      <c r="Z129" s="2721"/>
      <c r="AA129" s="2721"/>
      <c r="AB129" s="2721"/>
      <c r="AC129" s="2721"/>
    </row>
    <row r="130" spans="1:29" s="421" customFormat="1" ht="14.4" thickTop="1">
      <c r="A130" s="541"/>
      <c r="B130" s="486">
        <f>B45</f>
        <v>111</v>
      </c>
      <c r="C130" s="471"/>
      <c r="D130" s="471"/>
      <c r="E130" s="471"/>
      <c r="F130" s="471"/>
      <c r="G130" s="503"/>
      <c r="H130" s="503"/>
      <c r="I130" s="503"/>
      <c r="J130" s="503"/>
      <c r="K130" s="503"/>
      <c r="L130" s="504"/>
      <c r="M130" s="505"/>
      <c r="N130" s="2751"/>
      <c r="O130" s="2751"/>
      <c r="P130" s="2775"/>
      <c r="Q130" s="2742"/>
      <c r="R130" s="2743"/>
      <c r="S130" s="2743"/>
      <c r="T130" s="2743"/>
      <c r="U130" s="2743"/>
      <c r="V130" s="2743"/>
      <c r="W130" s="2743"/>
      <c r="X130" s="2743"/>
      <c r="Y130" s="2743"/>
      <c r="Z130" s="2743"/>
      <c r="AA130" s="2743"/>
      <c r="AB130" s="2743"/>
      <c r="AC130" s="2743"/>
    </row>
    <row r="131" spans="1:29" s="421" customFormat="1" ht="14.4" thickBot="1">
      <c r="A131" s="516"/>
      <c r="B131" s="647"/>
      <c r="C131" s="518"/>
      <c r="D131" s="518"/>
      <c r="E131" s="518"/>
      <c r="F131" s="518"/>
      <c r="G131" s="539"/>
      <c r="H131" s="539"/>
      <c r="I131" s="539"/>
      <c r="J131" s="539"/>
      <c r="K131" s="539"/>
      <c r="L131" s="539"/>
      <c r="M131" s="540"/>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4"/>
      <c r="D2" s="904"/>
      <c r="E2" s="904"/>
      <c r="F2" s="905"/>
      <c r="G2" s="904"/>
      <c r="H2" s="904"/>
      <c r="I2" s="904"/>
      <c r="J2" s="904"/>
      <c r="K2" s="906"/>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89"/>
      <c r="E3" s="904"/>
      <c r="F3" s="905"/>
      <c r="G3" s="904"/>
      <c r="H3" s="904"/>
      <c r="I3" s="904"/>
      <c r="J3" s="904"/>
      <c r="K3" s="906"/>
      <c r="L3" s="2730"/>
      <c r="M3" s="2731"/>
      <c r="N3" s="2731"/>
      <c r="O3" s="2731"/>
      <c r="P3" s="697"/>
      <c r="Q3" s="697"/>
      <c r="R3" s="697"/>
      <c r="S3" s="697"/>
      <c r="T3" s="697"/>
      <c r="U3" s="697"/>
      <c r="V3" s="697"/>
      <c r="W3" s="697"/>
      <c r="X3" s="697"/>
      <c r="Y3" s="697"/>
      <c r="Z3" s="697"/>
      <c r="AA3" s="697"/>
      <c r="AB3" s="714"/>
      <c r="AC3" s="711"/>
    </row>
    <row r="4" spans="1:29" ht="14.4">
      <c r="A4" s="354" t="s">
        <v>1769</v>
      </c>
      <c r="B4" s="355"/>
      <c r="C4" s="3724" t="s">
        <v>1770</v>
      </c>
      <c r="D4" s="3725"/>
      <c r="E4" s="3726" t="s">
        <v>1771</v>
      </c>
      <c r="F4" s="3727"/>
      <c r="G4" s="3724" t="s">
        <v>1772</v>
      </c>
      <c r="H4" s="3725"/>
      <c r="I4" s="3724" t="s">
        <v>1773</v>
      </c>
      <c r="J4" s="3725"/>
      <c r="K4" s="558" t="s">
        <v>1774</v>
      </c>
      <c r="L4" s="2711"/>
      <c r="M4" s="2712"/>
      <c r="N4" s="2712"/>
      <c r="O4" s="2712"/>
      <c r="P4" s="3728" t="s">
        <v>1775</v>
      </c>
      <c r="Q4" s="3729"/>
      <c r="R4" s="3711" t="s">
        <v>1771</v>
      </c>
      <c r="S4" s="3712"/>
      <c r="T4" s="3711" t="s">
        <v>1772</v>
      </c>
      <c r="U4" s="3712"/>
      <c r="V4" s="3736" t="s">
        <v>1773</v>
      </c>
      <c r="W4" s="3736"/>
      <c r="X4" s="1351"/>
      <c r="Y4" s="3711" t="s">
        <v>1775</v>
      </c>
      <c r="Z4" s="3712"/>
      <c r="AA4" s="3706" t="s">
        <v>1771</v>
      </c>
      <c r="AB4" s="3707" t="s">
        <v>1772</v>
      </c>
      <c r="AC4" s="3706" t="s">
        <v>1773</v>
      </c>
    </row>
    <row r="5" spans="1:29">
      <c r="A5" s="357"/>
      <c r="B5" s="358"/>
      <c r="C5" s="3717" t="s">
        <v>1673</v>
      </c>
      <c r="D5" s="3718"/>
      <c r="E5" s="3715" t="s">
        <v>1674</v>
      </c>
      <c r="F5" s="3716"/>
      <c r="G5" s="3717" t="s">
        <v>1675</v>
      </c>
      <c r="H5" s="3718"/>
      <c r="I5" s="3717" t="s">
        <v>1676</v>
      </c>
      <c r="J5" s="3718"/>
      <c r="K5" s="558"/>
      <c r="L5" s="2711"/>
      <c r="M5" s="2712"/>
      <c r="N5" s="2712"/>
      <c r="O5" s="2712"/>
      <c r="P5" s="3730"/>
      <c r="Q5" s="3731"/>
      <c r="R5" s="3713"/>
      <c r="S5" s="3714"/>
      <c r="T5" s="3713"/>
      <c r="U5" s="3714"/>
      <c r="V5" s="3736"/>
      <c r="W5" s="3736"/>
      <c r="X5" s="1351"/>
      <c r="Y5" s="3713"/>
      <c r="Z5" s="3714"/>
      <c r="AA5" s="3707"/>
      <c r="AB5" s="3707"/>
      <c r="AC5" s="3707"/>
    </row>
    <row r="6" spans="1:29" ht="15" thickBot="1">
      <c r="A6" s="359"/>
      <c r="B6" s="360"/>
      <c r="C6" s="3772" t="s">
        <v>1919</v>
      </c>
      <c r="D6" s="3773"/>
      <c r="E6" s="3774" t="s">
        <v>1919</v>
      </c>
      <c r="F6" s="3775"/>
      <c r="G6" s="3772" t="s">
        <v>1919</v>
      </c>
      <c r="H6" s="3773"/>
      <c r="I6" s="3772" t="s">
        <v>1919</v>
      </c>
      <c r="J6" s="3773"/>
      <c r="K6" s="558" t="s">
        <v>1678</v>
      </c>
      <c r="L6" s="2711"/>
      <c r="M6" s="2712"/>
      <c r="N6" s="2712"/>
      <c r="O6" s="2712"/>
      <c r="P6" s="3732"/>
      <c r="Q6" s="3733"/>
      <c r="R6" s="3713"/>
      <c r="S6" s="3714"/>
      <c r="T6" s="3734"/>
      <c r="U6" s="3735"/>
      <c r="V6" s="3736"/>
      <c r="W6" s="3736"/>
      <c r="X6" s="1351"/>
      <c r="Y6" s="3734"/>
      <c r="Z6" s="3735"/>
      <c r="AA6" s="3708"/>
      <c r="AB6" s="3708"/>
      <c r="AC6" s="3708"/>
    </row>
    <row r="7" spans="1:29" s="108" customFormat="1" ht="15" thickBot="1">
      <c r="A7" s="361" t="s">
        <v>1679</v>
      </c>
      <c r="B7" s="362"/>
      <c r="C7" s="363">
        <f>'数据-取费表'!B2</f>
        <v>44995</v>
      </c>
      <c r="D7" s="364">
        <v>100</v>
      </c>
      <c r="E7" s="365"/>
      <c r="F7" s="366">
        <f>SUMIF(65:65,YEAR(E7)&amp;"-"&amp;INT((MONTH(E7)+2)/3),66:66)</f>
        <v>0</v>
      </c>
      <c r="G7" s="1970"/>
      <c r="H7" s="364">
        <f>SUMIF(65:65,YEAR(G7)&amp;"-"&amp;INT((MONTH(G7)+2)/3),66:66)</f>
        <v>0</v>
      </c>
      <c r="I7" s="1970"/>
      <c r="J7" s="364">
        <f>SUMIF(65:65,YEAR(I7)&amp;"-"&amp;INT((MONTH(I7)+2)/3),66:66)</f>
        <v>0</v>
      </c>
      <c r="K7" s="559"/>
      <c r="L7" s="2713"/>
      <c r="M7" s="2714"/>
      <c r="N7" s="2714"/>
      <c r="O7" s="2714"/>
      <c r="P7" s="3709" t="s">
        <v>1680</v>
      </c>
      <c r="Q7" s="3737"/>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3"/>
      <c r="M8" s="2714"/>
      <c r="N8" s="2714"/>
      <c r="O8" s="2714"/>
      <c r="P8" s="3709" t="s">
        <v>1683</v>
      </c>
      <c r="Q8" s="3710"/>
      <c r="R8" s="699" t="s">
        <v>14</v>
      </c>
      <c r="S8" s="700">
        <f t="shared" si="0"/>
        <v>0</v>
      </c>
      <c r="T8" s="699" t="s">
        <v>14</v>
      </c>
      <c r="U8" s="700">
        <f t="shared" si="1"/>
        <v>0</v>
      </c>
      <c r="V8" s="699" t="s">
        <v>14</v>
      </c>
      <c r="W8" s="700">
        <f t="shared" si="2"/>
        <v>0</v>
      </c>
      <c r="X8" s="701"/>
      <c r="Y8" s="3709" t="s">
        <v>1683</v>
      </c>
      <c r="Z8" s="3710"/>
      <c r="AA8" s="702" t="e">
        <f t="shared" ref="AA8:AA40" si="3">D8/F8</f>
        <v>#DIV/0!</v>
      </c>
      <c r="AB8" s="702" t="e">
        <f t="shared" ref="AB8:AB40" si="4">D8/H8</f>
        <v>#DIV/0!</v>
      </c>
      <c r="AC8" s="702" t="e">
        <f t="shared" ref="AC8:AC40" si="5">D8/J8</f>
        <v>#DIV/0!</v>
      </c>
    </row>
    <row r="9" spans="1:29" s="108" customFormat="1" ht="14.4">
      <c r="A9" s="368" t="s">
        <v>1684</v>
      </c>
      <c r="B9" s="63" t="s">
        <v>1685</v>
      </c>
      <c r="C9" s="1973"/>
      <c r="D9" s="125">
        <v>100</v>
      </c>
      <c r="E9" s="1973"/>
      <c r="F9" s="125">
        <f>SUMIF(70:70,E9,71:71)-SUMIF(70:70,C9,71:71)+100</f>
        <v>100</v>
      </c>
      <c r="G9" s="1973"/>
      <c r="H9" s="125">
        <f>SUMIF(70:70,G9,71:71)-SUMIF(70:70,C9,71:71)+100</f>
        <v>100</v>
      </c>
      <c r="I9" s="1973"/>
      <c r="J9" s="125">
        <f>SUMIF(70:70,I9,71:71)-SUMIF(70:70,C9,71:71)+100</f>
        <v>100</v>
      </c>
      <c r="K9" s="559"/>
      <c r="L9" s="2713"/>
      <c r="M9" s="2714"/>
      <c r="N9" s="2714"/>
      <c r="O9" s="2768"/>
      <c r="P9" s="3741" t="s">
        <v>1686</v>
      </c>
      <c r="Q9" s="1339" t="str">
        <f t="shared" ref="Q9:Q15" si="6">B9</f>
        <v>用途</v>
      </c>
      <c r="R9" s="699" t="s">
        <v>14</v>
      </c>
      <c r="S9" s="700">
        <f t="shared" si="0"/>
        <v>100</v>
      </c>
      <c r="T9" s="699" t="s">
        <v>14</v>
      </c>
      <c r="U9" s="700">
        <f t="shared" si="1"/>
        <v>100</v>
      </c>
      <c r="V9" s="699" t="s">
        <v>14</v>
      </c>
      <c r="W9" s="700">
        <f t="shared" si="2"/>
        <v>100</v>
      </c>
      <c r="X9" s="701"/>
      <c r="Y9" s="3634" t="s">
        <v>1687</v>
      </c>
      <c r="Z9" s="52" t="str">
        <f t="shared" ref="Z9:Z15" si="7">Q9</f>
        <v>用途</v>
      </c>
      <c r="AA9" s="702">
        <f t="shared" si="3"/>
        <v>1</v>
      </c>
      <c r="AB9" s="702">
        <f t="shared" si="4"/>
        <v>1</v>
      </c>
      <c r="AC9" s="702">
        <f t="shared" si="5"/>
        <v>1</v>
      </c>
    </row>
    <row r="10" spans="1:29" s="377" customFormat="1" ht="28.8">
      <c r="A10" s="373"/>
      <c r="B10" s="374" t="s">
        <v>1688</v>
      </c>
      <c r="C10" s="382"/>
      <c r="D10" s="126">
        <v>100</v>
      </c>
      <c r="E10" s="382"/>
      <c r="F10" s="126">
        <f>ROUND(100/'数据-取费表'!G16,0)</f>
        <v>112</v>
      </c>
      <c r="G10" s="382"/>
      <c r="H10" s="126">
        <f>ROUND(100/'数据-取费表'!G16,0)</f>
        <v>112</v>
      </c>
      <c r="I10" s="382"/>
      <c r="J10" s="126">
        <f>ROUND(100/'数据-取费表'!G16,0)</f>
        <v>112</v>
      </c>
      <c r="K10" s="619"/>
      <c r="L10" s="2715"/>
      <c r="M10" s="2716"/>
      <c r="N10" s="2716"/>
      <c r="O10" s="2769"/>
      <c r="P10" s="3741"/>
      <c r="Q10" s="1339" t="str">
        <f t="shared" si="6"/>
        <v>土地使用年限（年）</v>
      </c>
      <c r="R10" s="699" t="s">
        <v>14</v>
      </c>
      <c r="S10" s="700">
        <f t="shared" si="0"/>
        <v>112</v>
      </c>
      <c r="T10" s="699" t="s">
        <v>14</v>
      </c>
      <c r="U10" s="700">
        <f t="shared" si="1"/>
        <v>112</v>
      </c>
      <c r="V10" s="699" t="s">
        <v>14</v>
      </c>
      <c r="W10" s="700">
        <f t="shared" si="2"/>
        <v>112</v>
      </c>
      <c r="X10" s="701"/>
      <c r="Y10" s="3634"/>
      <c r="Z10" s="52" t="str">
        <f t="shared" si="7"/>
        <v>土地使用年限（年）</v>
      </c>
      <c r="AA10" s="702">
        <f t="shared" si="3"/>
        <v>0.8928571428571429</v>
      </c>
      <c r="AB10" s="702">
        <f t="shared" si="4"/>
        <v>0.8928571428571429</v>
      </c>
      <c r="AC10" s="702">
        <f t="shared" si="5"/>
        <v>0.8928571428571429</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7"/>
      <c r="M11" s="2712"/>
      <c r="N11" s="2712"/>
      <c r="O11" s="2770"/>
      <c r="P11" s="3741"/>
      <c r="Q11" s="1339" t="str">
        <f t="shared" si="6"/>
        <v>容积率</v>
      </c>
      <c r="R11" s="699" t="s">
        <v>14</v>
      </c>
      <c r="S11" s="700" t="e">
        <f t="shared" si="0"/>
        <v>#N/A</v>
      </c>
      <c r="T11" s="699" t="s">
        <v>14</v>
      </c>
      <c r="U11" s="700" t="e">
        <f t="shared" si="1"/>
        <v>#N/A</v>
      </c>
      <c r="V11" s="699" t="s">
        <v>14</v>
      </c>
      <c r="W11" s="700" t="e">
        <f t="shared" si="2"/>
        <v>#N/A</v>
      </c>
      <c r="X11" s="701"/>
      <c r="Y11" s="3634"/>
      <c r="Z11" s="52" t="str">
        <f t="shared" si="7"/>
        <v>容积率</v>
      </c>
      <c r="AA11" s="702" t="e">
        <f t="shared" si="3"/>
        <v>#N/A</v>
      </c>
      <c r="AB11" s="702" t="e">
        <f t="shared" si="4"/>
        <v>#N/A</v>
      </c>
      <c r="AC11" s="702" t="e">
        <f t="shared" si="5"/>
        <v>#N/A</v>
      </c>
    </row>
    <row r="12" spans="1:29" s="108" customFormat="1" ht="15">
      <c r="A12" s="381"/>
      <c r="B12" s="1889">
        <v>111</v>
      </c>
      <c r="C12" s="382"/>
      <c r="D12" s="383">
        <v>100</v>
      </c>
      <c r="E12" s="497"/>
      <c r="F12" s="126">
        <f>SUMIF(77:77,E12,78:78)-SUMIF(77:77,C12,78:78)+100</f>
        <v>100</v>
      </c>
      <c r="G12" s="621"/>
      <c r="H12" s="126">
        <f>SUMIF(77:77,G12,78:78)-SUMIF(77:77,C12,78:78)+100</f>
        <v>100</v>
      </c>
      <c r="I12" s="497"/>
      <c r="J12" s="126">
        <f>SUMIF(77:77,I12,78:78)-SUMIF(77:77,C12,78:78)+100</f>
        <v>100</v>
      </c>
      <c r="K12" s="619"/>
      <c r="L12" s="2713"/>
      <c r="M12" s="2714"/>
      <c r="N12" s="2714"/>
      <c r="O12" s="2768"/>
      <c r="P12" s="3741"/>
      <c r="Q12" s="1339">
        <f t="shared" si="6"/>
        <v>111</v>
      </c>
      <c r="R12" s="699" t="s">
        <v>14</v>
      </c>
      <c r="S12" s="700">
        <f t="shared" si="0"/>
        <v>100</v>
      </c>
      <c r="T12" s="699" t="s">
        <v>14</v>
      </c>
      <c r="U12" s="700">
        <f t="shared" si="1"/>
        <v>100</v>
      </c>
      <c r="V12" s="699" t="s">
        <v>14</v>
      </c>
      <c r="W12" s="700">
        <f t="shared" si="2"/>
        <v>100</v>
      </c>
      <c r="X12" s="701"/>
      <c r="Y12" s="3634"/>
      <c r="Z12" s="52">
        <f t="shared" si="7"/>
        <v>111</v>
      </c>
      <c r="AA12" s="702">
        <f>D12/F12</f>
        <v>1</v>
      </c>
      <c r="AB12" s="702">
        <f>D12/H12</f>
        <v>1</v>
      </c>
      <c r="AC12" s="702">
        <f>D12/J12</f>
        <v>1</v>
      </c>
    </row>
    <row r="13" spans="1:29" ht="15">
      <c r="A13" s="378"/>
      <c r="B13" s="1889">
        <v>111</v>
      </c>
      <c r="C13" s="384"/>
      <c r="D13" s="385">
        <v>100</v>
      </c>
      <c r="E13" s="497"/>
      <c r="F13" s="126">
        <f>SUMIF(79:79,E13,80:80)-SUMIF(79:79,C13,80:80)+100</f>
        <v>100</v>
      </c>
      <c r="G13" s="621"/>
      <c r="H13" s="385">
        <f>SUMIF(79:79,G13,80:80)-SUMIF(79:79,C13,80:80)+100</f>
        <v>100</v>
      </c>
      <c r="I13" s="497"/>
      <c r="J13" s="385">
        <f>SUMIF(79:79,I13,80:80)-SUMIF(79:79,C13,80:80)+100</f>
        <v>100</v>
      </c>
      <c r="K13" s="619"/>
      <c r="L13" s="2718"/>
      <c r="M13" s="2712"/>
      <c r="N13" s="2712"/>
      <c r="O13" s="2770"/>
      <c r="P13" s="3741"/>
      <c r="Q13" s="1339">
        <f t="shared" si="6"/>
        <v>111</v>
      </c>
      <c r="R13" s="699" t="s">
        <v>14</v>
      </c>
      <c r="S13" s="700">
        <f t="shared" si="0"/>
        <v>100</v>
      </c>
      <c r="T13" s="699" t="s">
        <v>14</v>
      </c>
      <c r="U13" s="700">
        <f t="shared" si="1"/>
        <v>100</v>
      </c>
      <c r="V13" s="699" t="s">
        <v>14</v>
      </c>
      <c r="W13" s="700">
        <f t="shared" si="2"/>
        <v>100</v>
      </c>
      <c r="X13" s="701"/>
      <c r="Y13" s="3634"/>
      <c r="Z13" s="52">
        <f t="shared" si="7"/>
        <v>111</v>
      </c>
      <c r="AA13" s="702">
        <f t="shared" si="3"/>
        <v>1</v>
      </c>
      <c r="AB13" s="702">
        <f t="shared" si="4"/>
        <v>1</v>
      </c>
      <c r="AC13" s="702">
        <f t="shared" si="5"/>
        <v>1</v>
      </c>
    </row>
    <row r="14" spans="1:29" ht="15.6" thickBot="1">
      <c r="A14" s="386"/>
      <c r="B14" s="1891">
        <v>111</v>
      </c>
      <c r="C14" s="387"/>
      <c r="D14" s="388">
        <v>100</v>
      </c>
      <c r="E14" s="497"/>
      <c r="F14" s="388">
        <f>SUMIF(81:81,E14,82:82)-SUMIF(81:81,C14,82:82)+100</f>
        <v>100</v>
      </c>
      <c r="G14" s="621"/>
      <c r="H14" s="388">
        <f>SUMIF(81:81,G14,82:82)-SUMIF(81:81,C14,82:82)+100</f>
        <v>100</v>
      </c>
      <c r="I14" s="497"/>
      <c r="J14" s="388">
        <f>SUMIF(81:81,I14,82:82)-SUMIF(81:81,C14,82:82)+100</f>
        <v>100</v>
      </c>
      <c r="K14" s="619"/>
      <c r="L14" s="2718"/>
      <c r="M14" s="2712"/>
      <c r="N14" s="2712"/>
      <c r="O14" s="2770"/>
      <c r="P14" s="3741"/>
      <c r="Q14" s="1339">
        <f t="shared" si="6"/>
        <v>111</v>
      </c>
      <c r="R14" s="699" t="s">
        <v>14</v>
      </c>
      <c r="S14" s="700">
        <f t="shared" si="0"/>
        <v>100</v>
      </c>
      <c r="T14" s="699" t="s">
        <v>14</v>
      </c>
      <c r="U14" s="700">
        <f t="shared" si="1"/>
        <v>100</v>
      </c>
      <c r="V14" s="699" t="s">
        <v>14</v>
      </c>
      <c r="W14" s="700">
        <f t="shared" si="2"/>
        <v>100</v>
      </c>
      <c r="X14" s="701"/>
      <c r="Y14" s="3634"/>
      <c r="Z14" s="52">
        <f t="shared" si="7"/>
        <v>111</v>
      </c>
      <c r="AA14" s="702">
        <f t="shared" si="3"/>
        <v>1</v>
      </c>
      <c r="AB14" s="702">
        <f t="shared" si="4"/>
        <v>1</v>
      </c>
      <c r="AC14" s="702">
        <f t="shared" si="5"/>
        <v>1</v>
      </c>
    </row>
    <row r="15" spans="1:29" ht="69">
      <c r="A15" s="390" t="s">
        <v>1690</v>
      </c>
      <c r="B15" s="576" t="s">
        <v>1920</v>
      </c>
      <c r="C15" s="1967"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8"/>
      <c r="M15" s="2712"/>
      <c r="N15" s="2712"/>
      <c r="O15" s="2770"/>
      <c r="P15" s="3743" t="s">
        <v>1691</v>
      </c>
      <c r="Q15" s="1348" t="str">
        <f t="shared" si="6"/>
        <v>产业集聚程度</v>
      </c>
      <c r="R15" s="703" t="s">
        <v>14</v>
      </c>
      <c r="S15" s="704">
        <f t="shared" si="0"/>
        <v>100</v>
      </c>
      <c r="T15" s="703" t="s">
        <v>14</v>
      </c>
      <c r="U15" s="704">
        <f t="shared" si="1"/>
        <v>100</v>
      </c>
      <c r="V15" s="703" t="s">
        <v>14</v>
      </c>
      <c r="W15" s="704">
        <f t="shared" si="2"/>
        <v>100</v>
      </c>
      <c r="X15" s="1351"/>
      <c r="Y15" s="3743" t="s">
        <v>1691</v>
      </c>
      <c r="Z15" s="1352" t="str">
        <f t="shared" si="7"/>
        <v>产业集聚程度</v>
      </c>
      <c r="AA15" s="1349">
        <f t="shared" si="3"/>
        <v>1</v>
      </c>
      <c r="AB15" s="1349">
        <f t="shared" si="4"/>
        <v>1</v>
      </c>
      <c r="AC15" s="1349">
        <f t="shared" si="5"/>
        <v>1</v>
      </c>
    </row>
    <row r="16" spans="1:29" ht="15">
      <c r="A16" s="378"/>
      <c r="B16" s="577"/>
      <c r="C16" s="397"/>
      <c r="D16" s="398"/>
      <c r="E16" s="1900"/>
      <c r="F16" s="398"/>
      <c r="G16" s="1900"/>
      <c r="H16" s="400"/>
      <c r="I16" s="1900"/>
      <c r="J16" s="398"/>
      <c r="K16" s="619"/>
      <c r="L16" s="2718"/>
      <c r="M16" s="2712"/>
      <c r="N16" s="2712"/>
      <c r="O16" s="2770"/>
      <c r="P16" s="3744"/>
      <c r="Q16" s="1348"/>
      <c r="R16" s="703"/>
      <c r="S16" s="704"/>
      <c r="T16" s="703"/>
      <c r="U16" s="704"/>
      <c r="V16" s="703"/>
      <c r="W16" s="704"/>
      <c r="X16" s="1351"/>
      <c r="Y16" s="3744"/>
      <c r="Z16" s="1352"/>
      <c r="AA16" s="1349">
        <v>1</v>
      </c>
      <c r="AB16" s="1349">
        <v>1</v>
      </c>
      <c r="AC16" s="1349">
        <v>1</v>
      </c>
    </row>
    <row r="17" spans="1:29" ht="96.6">
      <c r="A17" s="378"/>
      <c r="B17" s="578" t="s">
        <v>1833</v>
      </c>
      <c r="C17" s="1896"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8"/>
      <c r="M17" s="2712"/>
      <c r="N17" s="2712"/>
      <c r="O17" s="2770"/>
      <c r="P17" s="3744"/>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8"/>
      <c r="B18" s="579"/>
      <c r="C18" s="397"/>
      <c r="D18" s="398"/>
      <c r="E18" s="1894"/>
      <c r="F18" s="398"/>
      <c r="G18" s="1894"/>
      <c r="H18" s="398"/>
      <c r="I18" s="1893"/>
      <c r="J18" s="398"/>
      <c r="K18" s="619"/>
      <c r="L18" s="2718"/>
      <c r="M18" s="2712"/>
      <c r="N18" s="2712"/>
      <c r="O18" s="2770"/>
      <c r="P18" s="3744"/>
      <c r="Q18" s="1348"/>
      <c r="R18" s="703"/>
      <c r="S18" s="704"/>
      <c r="T18" s="703"/>
      <c r="U18" s="704"/>
      <c r="V18" s="703"/>
      <c r="W18" s="704"/>
      <c r="X18" s="1351"/>
      <c r="Y18" s="3744"/>
      <c r="Z18" s="1352"/>
      <c r="AA18" s="1349">
        <v>1</v>
      </c>
      <c r="AB18" s="1349">
        <v>1</v>
      </c>
      <c r="AC18" s="1349">
        <v>1</v>
      </c>
    </row>
    <row r="19" spans="1:29" ht="28.8">
      <c r="A19" s="378"/>
      <c r="B19" s="578" t="s">
        <v>1871</v>
      </c>
      <c r="C19" s="1896">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8"/>
      <c r="M19" s="2712"/>
      <c r="N19" s="2712"/>
      <c r="O19" s="2770"/>
      <c r="P19" s="3744"/>
      <c r="Q19" s="1348" t="str">
        <f t="shared" ref="Q19:Q33" si="8">B19</f>
        <v>区域土地利用方向</v>
      </c>
      <c r="R19" s="703" t="s">
        <v>14</v>
      </c>
      <c r="S19" s="704">
        <f>F19</f>
        <v>100</v>
      </c>
      <c r="T19" s="703" t="s">
        <v>14</v>
      </c>
      <c r="U19" s="704">
        <f>H19</f>
        <v>100</v>
      </c>
      <c r="V19" s="703" t="s">
        <v>14</v>
      </c>
      <c r="W19" s="704">
        <f>J19</f>
        <v>100</v>
      </c>
      <c r="X19" s="1351"/>
      <c r="Y19" s="3744"/>
      <c r="Z19" s="1352" t="str">
        <f>Q19</f>
        <v>区域土地利用方向</v>
      </c>
      <c r="AA19" s="1349">
        <f t="shared" si="3"/>
        <v>1</v>
      </c>
      <c r="AB19" s="1349">
        <f t="shared" si="4"/>
        <v>1</v>
      </c>
      <c r="AC19" s="1349">
        <f t="shared" si="5"/>
        <v>1</v>
      </c>
    </row>
    <row r="20" spans="1:29" ht="15">
      <c r="A20" s="357"/>
      <c r="B20" s="579"/>
      <c r="C20" s="397"/>
      <c r="D20" s="398"/>
      <c r="E20" s="1894"/>
      <c r="F20" s="398"/>
      <c r="G20" s="1894"/>
      <c r="H20" s="398"/>
      <c r="I20" s="1894"/>
      <c r="J20" s="398"/>
      <c r="K20" s="736"/>
      <c r="L20" s="2718"/>
      <c r="M20" s="2712"/>
      <c r="N20" s="2712"/>
      <c r="O20" s="2770"/>
      <c r="P20" s="3744"/>
      <c r="Q20" s="1348"/>
      <c r="R20" s="703"/>
      <c r="S20" s="704"/>
      <c r="T20" s="703"/>
      <c r="U20" s="704"/>
      <c r="V20" s="703"/>
      <c r="W20" s="704"/>
      <c r="X20" s="1351"/>
      <c r="Y20" s="3744"/>
      <c r="Z20" s="1352"/>
      <c r="AA20" s="1349"/>
      <c r="AB20" s="1349"/>
      <c r="AC20" s="1349"/>
    </row>
    <row r="21" spans="1:29" ht="82.8">
      <c r="A21" s="357"/>
      <c r="B21" s="578" t="s">
        <v>1921</v>
      </c>
      <c r="C21" s="1896"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8"/>
      <c r="M21" s="2712"/>
      <c r="N21" s="2712"/>
      <c r="O21" s="2770"/>
      <c r="P21" s="3744"/>
      <c r="Q21" s="1348" t="str">
        <f t="shared" si="8"/>
        <v>环境状况</v>
      </c>
      <c r="R21" s="703" t="s">
        <v>14</v>
      </c>
      <c r="S21" s="704">
        <f>F21</f>
        <v>100</v>
      </c>
      <c r="T21" s="703" t="s">
        <v>14</v>
      </c>
      <c r="U21" s="704">
        <f>H21</f>
        <v>100</v>
      </c>
      <c r="V21" s="703" t="s">
        <v>14</v>
      </c>
      <c r="W21" s="704">
        <f>J21</f>
        <v>100</v>
      </c>
      <c r="X21" s="1351"/>
      <c r="Y21" s="3744"/>
      <c r="Z21" s="1352" t="str">
        <f>Q21</f>
        <v>环境状况</v>
      </c>
      <c r="AA21" s="1349">
        <f t="shared" si="3"/>
        <v>1</v>
      </c>
      <c r="AB21" s="1349">
        <f t="shared" si="4"/>
        <v>1</v>
      </c>
      <c r="AC21" s="1349">
        <f t="shared" si="5"/>
        <v>1</v>
      </c>
    </row>
    <row r="22" spans="1:29" ht="15">
      <c r="A22" s="357"/>
      <c r="B22" s="579"/>
      <c r="C22" s="397"/>
      <c r="D22" s="398"/>
      <c r="E22" s="1900"/>
      <c r="F22" s="398"/>
      <c r="G22" s="1900"/>
      <c r="H22" s="398"/>
      <c r="I22" s="397"/>
      <c r="J22" s="398"/>
      <c r="K22" s="619"/>
      <c r="L22" s="2718"/>
      <c r="M22" s="2712"/>
      <c r="N22" s="2712"/>
      <c r="O22" s="2770"/>
      <c r="P22" s="3744"/>
      <c r="Q22" s="1348"/>
      <c r="R22" s="703"/>
      <c r="S22" s="704"/>
      <c r="T22" s="703"/>
      <c r="U22" s="704"/>
      <c r="V22" s="703"/>
      <c r="W22" s="704"/>
      <c r="X22" s="1351"/>
      <c r="Y22" s="3744"/>
      <c r="Z22" s="1352"/>
      <c r="AA22" s="1349">
        <v>1</v>
      </c>
      <c r="AB22" s="1349">
        <v>1</v>
      </c>
      <c r="AC22" s="1349">
        <v>1</v>
      </c>
    </row>
    <row r="23" spans="1:29" s="108" customFormat="1" ht="41.4">
      <c r="A23" s="596"/>
      <c r="B23" s="580" t="s">
        <v>1778</v>
      </c>
      <c r="C23" s="1896"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3"/>
      <c r="M23" s="2714"/>
      <c r="N23" s="2714"/>
      <c r="O23" s="2768"/>
      <c r="P23" s="3744"/>
      <c r="Q23" s="1339" t="str">
        <f t="shared" si="8"/>
        <v>公共配套设施</v>
      </c>
      <c r="R23" s="699" t="s">
        <v>14</v>
      </c>
      <c r="S23" s="700">
        <f>F23</f>
        <v>100</v>
      </c>
      <c r="T23" s="699" t="s">
        <v>14</v>
      </c>
      <c r="U23" s="700">
        <f>H23</f>
        <v>100</v>
      </c>
      <c r="V23" s="699" t="s">
        <v>14</v>
      </c>
      <c r="W23" s="700">
        <f>J23</f>
        <v>100</v>
      </c>
      <c r="X23" s="701"/>
      <c r="Y23" s="3744"/>
      <c r="Z23" s="52" t="str">
        <f>Q23</f>
        <v>公共配套设施</v>
      </c>
      <c r="AA23" s="1349">
        <f>D23/F23</f>
        <v>1</v>
      </c>
      <c r="AB23" s="1349">
        <f>D23/H23</f>
        <v>1</v>
      </c>
      <c r="AC23" s="1349">
        <f>D23/J23</f>
        <v>1</v>
      </c>
    </row>
    <row r="24" spans="1:29" s="108" customFormat="1" ht="15">
      <c r="A24" s="596"/>
      <c r="B24" s="579"/>
      <c r="C24" s="1974"/>
      <c r="D24" s="398"/>
      <c r="E24" s="1900"/>
      <c r="F24" s="398"/>
      <c r="G24" s="1900"/>
      <c r="H24" s="398"/>
      <c r="I24" s="397"/>
      <c r="J24" s="398"/>
      <c r="K24" s="619"/>
      <c r="L24" s="2713"/>
      <c r="M24" s="2714"/>
      <c r="N24" s="2714"/>
      <c r="O24" s="2768"/>
      <c r="P24" s="3744"/>
      <c r="Q24" s="1339"/>
      <c r="R24" s="699"/>
      <c r="S24" s="700"/>
      <c r="T24" s="699"/>
      <c r="U24" s="700"/>
      <c r="V24" s="699"/>
      <c r="W24" s="700"/>
      <c r="X24" s="701"/>
      <c r="Y24" s="3744"/>
      <c r="Z24" s="52"/>
      <c r="AA24" s="702">
        <v>1</v>
      </c>
      <c r="AB24" s="702">
        <v>1</v>
      </c>
      <c r="AC24" s="702">
        <v>1</v>
      </c>
    </row>
    <row r="25" spans="1:29" s="108" customFormat="1" ht="41.4">
      <c r="A25" s="596"/>
      <c r="B25" s="580" t="s">
        <v>1779</v>
      </c>
      <c r="C25" s="1896"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3"/>
      <c r="M25" s="2714"/>
      <c r="N25" s="2714"/>
      <c r="O25" s="2768"/>
      <c r="P25" s="3744"/>
      <c r="Q25" s="1339" t="str">
        <f t="shared" ref="Q25" si="9">B25</f>
        <v>基础设施水平</v>
      </c>
      <c r="R25" s="699" t="s">
        <v>14</v>
      </c>
      <c r="S25" s="700">
        <f>F25</f>
        <v>100</v>
      </c>
      <c r="T25" s="699" t="s">
        <v>14</v>
      </c>
      <c r="U25" s="700">
        <f>H25</f>
        <v>100</v>
      </c>
      <c r="V25" s="699" t="s">
        <v>14</v>
      </c>
      <c r="W25" s="700">
        <f>J25</f>
        <v>100</v>
      </c>
      <c r="X25" s="701"/>
      <c r="Y25" s="3744"/>
      <c r="Z25" s="52" t="str">
        <f>Q25</f>
        <v>基础设施水平</v>
      </c>
      <c r="AA25" s="1349">
        <f>D25/F25</f>
        <v>1</v>
      </c>
      <c r="AB25" s="1349">
        <f>D25/H25</f>
        <v>1</v>
      </c>
      <c r="AC25" s="1349">
        <f>D25/J25</f>
        <v>1</v>
      </c>
    </row>
    <row r="26" spans="1:29" s="108" customFormat="1" ht="15">
      <c r="A26" s="596"/>
      <c r="B26" s="579"/>
      <c r="C26" s="1974"/>
      <c r="D26" s="398"/>
      <c r="E26" s="1975"/>
      <c r="F26" s="398"/>
      <c r="G26" s="1975"/>
      <c r="H26" s="398"/>
      <c r="I26" s="1975"/>
      <c r="J26" s="398"/>
      <c r="K26" s="619"/>
      <c r="L26" s="2713"/>
      <c r="M26" s="2714"/>
      <c r="N26" s="2714"/>
      <c r="O26" s="2768"/>
      <c r="P26" s="3744"/>
      <c r="Q26" s="1339"/>
      <c r="R26" s="699"/>
      <c r="S26" s="700"/>
      <c r="T26" s="699"/>
      <c r="U26" s="700"/>
      <c r="V26" s="699"/>
      <c r="W26" s="700"/>
      <c r="X26" s="701"/>
      <c r="Y26" s="3744"/>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8"/>
      <c r="M27" s="2712"/>
      <c r="N27" s="2712"/>
      <c r="O27" s="2770"/>
      <c r="P27" s="3744"/>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44"/>
      <c r="Z27" s="1352" t="str">
        <f t="shared" ref="Z27:Z40" si="13">Q27</f>
        <v>临街状况</v>
      </c>
      <c r="AA27" s="1349">
        <f t="shared" si="3"/>
        <v>1</v>
      </c>
      <c r="AB27" s="1349">
        <f t="shared" si="4"/>
        <v>1</v>
      </c>
      <c r="AC27" s="1349">
        <f t="shared" si="5"/>
        <v>1</v>
      </c>
    </row>
    <row r="28" spans="1:29" ht="28.8">
      <c r="A28" s="378"/>
      <c r="B28" s="580" t="s">
        <v>1815</v>
      </c>
      <c r="C28" s="1987">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8"/>
      <c r="M28" s="2712"/>
      <c r="N28" s="2712"/>
      <c r="O28" s="2770"/>
      <c r="P28" s="3744"/>
      <c r="Q28" s="1348" t="str">
        <f t="shared" si="8"/>
        <v>毗邻道路的类型与等级</v>
      </c>
      <c r="R28" s="703" t="s">
        <v>14</v>
      </c>
      <c r="S28" s="704">
        <f t="shared" si="10"/>
        <v>100</v>
      </c>
      <c r="T28" s="703" t="s">
        <v>14</v>
      </c>
      <c r="U28" s="704">
        <f t="shared" si="11"/>
        <v>100</v>
      </c>
      <c r="V28" s="703" t="s">
        <v>14</v>
      </c>
      <c r="W28" s="704">
        <f t="shared" si="12"/>
        <v>100</v>
      </c>
      <c r="X28" s="1351"/>
      <c r="Y28" s="3744"/>
      <c r="Z28" s="1352" t="str">
        <f t="shared" si="13"/>
        <v>毗邻道路的类型与等级</v>
      </c>
      <c r="AA28" s="1349">
        <f t="shared" si="3"/>
        <v>1</v>
      </c>
      <c r="AB28" s="1349">
        <f t="shared" si="4"/>
        <v>1</v>
      </c>
      <c r="AC28" s="1349">
        <f t="shared" si="5"/>
        <v>1</v>
      </c>
    </row>
    <row r="29" spans="1:29" ht="15">
      <c r="A29" s="378"/>
      <c r="B29" s="579"/>
      <c r="C29" s="397"/>
      <c r="D29" s="398"/>
      <c r="E29" s="1900"/>
      <c r="F29" s="398"/>
      <c r="G29" s="1900"/>
      <c r="H29" s="398"/>
      <c r="I29" s="1900"/>
      <c r="J29" s="398"/>
      <c r="K29" s="561"/>
      <c r="L29" s="2718"/>
      <c r="M29" s="2712"/>
      <c r="N29" s="2712"/>
      <c r="O29" s="2770"/>
      <c r="P29" s="3744"/>
      <c r="Q29" s="1348"/>
      <c r="R29" s="703"/>
      <c r="S29" s="704"/>
      <c r="T29" s="703"/>
      <c r="U29" s="704"/>
      <c r="V29" s="703"/>
      <c r="W29" s="704"/>
      <c r="X29" s="1351"/>
      <c r="Y29" s="3744"/>
      <c r="Z29" s="1352"/>
      <c r="AA29" s="1349">
        <v>1</v>
      </c>
      <c r="AB29" s="1349">
        <v>1</v>
      </c>
      <c r="AC29" s="1349">
        <v>1</v>
      </c>
    </row>
    <row r="30" spans="1:29" ht="15">
      <c r="A30" s="378"/>
      <c r="B30" s="601" t="s">
        <v>1873</v>
      </c>
      <c r="C30" s="1132">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8"/>
      <c r="M30" s="2712"/>
      <c r="N30" s="2712"/>
      <c r="O30" s="2770"/>
      <c r="P30" s="3744"/>
      <c r="Q30" s="1348" t="str">
        <f t="shared" si="8"/>
        <v>土地级别</v>
      </c>
      <c r="R30" s="703" t="s">
        <v>14</v>
      </c>
      <c r="S30" s="704">
        <f t="shared" si="10"/>
        <v>100</v>
      </c>
      <c r="T30" s="703" t="s">
        <v>14</v>
      </c>
      <c r="U30" s="704">
        <f t="shared" si="11"/>
        <v>100</v>
      </c>
      <c r="V30" s="703" t="s">
        <v>14</v>
      </c>
      <c r="W30" s="704">
        <f t="shared" si="12"/>
        <v>100</v>
      </c>
      <c r="X30" s="1351"/>
      <c r="Y30" s="3744"/>
      <c r="Z30" s="1352" t="str">
        <f t="shared" si="13"/>
        <v>土地级别</v>
      </c>
      <c r="AA30" s="1349">
        <f t="shared" si="3"/>
        <v>1</v>
      </c>
      <c r="AB30" s="1349">
        <f t="shared" si="4"/>
        <v>1</v>
      </c>
      <c r="AC30" s="1349">
        <f t="shared" si="5"/>
        <v>1</v>
      </c>
    </row>
    <row r="31" spans="1:29" ht="15">
      <c r="A31" s="357"/>
      <c r="B31" s="1962">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8"/>
      <c r="M31" s="2712"/>
      <c r="N31" s="2712"/>
      <c r="O31" s="2770"/>
      <c r="P31" s="3744"/>
      <c r="Q31" s="1348">
        <f t="shared" si="8"/>
        <v>111</v>
      </c>
      <c r="R31" s="703" t="s">
        <v>14</v>
      </c>
      <c r="S31" s="704">
        <f t="shared" si="10"/>
        <v>100</v>
      </c>
      <c r="T31" s="703" t="s">
        <v>14</v>
      </c>
      <c r="U31" s="704">
        <f t="shared" si="11"/>
        <v>100</v>
      </c>
      <c r="V31" s="703" t="s">
        <v>14</v>
      </c>
      <c r="W31" s="704">
        <f t="shared" si="12"/>
        <v>100</v>
      </c>
      <c r="X31" s="1351"/>
      <c r="Y31" s="3744"/>
      <c r="Z31" s="1352">
        <f t="shared" si="13"/>
        <v>111</v>
      </c>
      <c r="AA31" s="1349">
        <f t="shared" si="3"/>
        <v>1</v>
      </c>
      <c r="AB31" s="1349">
        <f t="shared" si="4"/>
        <v>1</v>
      </c>
      <c r="AC31" s="1349">
        <f t="shared" si="5"/>
        <v>1</v>
      </c>
    </row>
    <row r="32" spans="1:29" ht="15">
      <c r="A32" s="622"/>
      <c r="B32" s="1988">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8"/>
      <c r="M32" s="2712"/>
      <c r="N32" s="2712"/>
      <c r="O32" s="2770"/>
      <c r="P32" s="3767" t="s">
        <v>1696</v>
      </c>
      <c r="Q32" s="1348">
        <f t="shared" si="8"/>
        <v>111</v>
      </c>
      <c r="R32" s="703" t="s">
        <v>14</v>
      </c>
      <c r="S32" s="704">
        <f t="shared" si="10"/>
        <v>100</v>
      </c>
      <c r="T32" s="703" t="s">
        <v>14</v>
      </c>
      <c r="U32" s="704">
        <f t="shared" si="11"/>
        <v>100</v>
      </c>
      <c r="V32" s="703" t="s">
        <v>14</v>
      </c>
      <c r="W32" s="704">
        <f t="shared" si="12"/>
        <v>100</v>
      </c>
      <c r="X32" s="1351"/>
      <c r="Y32" s="3748" t="s">
        <v>1696</v>
      </c>
      <c r="Z32" s="1352">
        <f t="shared" si="13"/>
        <v>111</v>
      </c>
      <c r="AA32" s="1349">
        <f t="shared" si="3"/>
        <v>1</v>
      </c>
      <c r="AB32" s="1349">
        <f t="shared" si="4"/>
        <v>1</v>
      </c>
      <c r="AC32" s="1349">
        <f t="shared" si="5"/>
        <v>1</v>
      </c>
    </row>
    <row r="33" spans="1:31" s="421" customFormat="1" ht="15.6" thickBot="1">
      <c r="A33" s="623"/>
      <c r="B33" s="1989">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7"/>
      <c r="M33" s="2719"/>
      <c r="N33" s="2719"/>
      <c r="O33" s="2771"/>
      <c r="P33" s="3748"/>
      <c r="Q33" s="1348">
        <f t="shared" si="8"/>
        <v>111</v>
      </c>
      <c r="R33" s="706" t="s">
        <v>14</v>
      </c>
      <c r="S33" s="707">
        <f t="shared" si="10"/>
        <v>100</v>
      </c>
      <c r="T33" s="706" t="s">
        <v>14</v>
      </c>
      <c r="U33" s="707">
        <f t="shared" si="11"/>
        <v>100</v>
      </c>
      <c r="V33" s="706" t="s">
        <v>14</v>
      </c>
      <c r="W33" s="707">
        <f t="shared" si="12"/>
        <v>100</v>
      </c>
      <c r="X33" s="708"/>
      <c r="Y33" s="3748"/>
      <c r="Z33" s="709">
        <f t="shared" si="13"/>
        <v>111</v>
      </c>
      <c r="AA33" s="1349">
        <f t="shared" si="3"/>
        <v>1</v>
      </c>
      <c r="AB33" s="1349">
        <f t="shared" si="4"/>
        <v>1</v>
      </c>
      <c r="AC33" s="1349">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8"/>
      <c r="M34" s="2712"/>
      <c r="N34" s="2712"/>
      <c r="O34" s="2770"/>
      <c r="P34" s="3748"/>
      <c r="Q34" s="1348" t="str">
        <f>B34</f>
        <v>宗地面积</v>
      </c>
      <c r="R34" s="703" t="s">
        <v>14</v>
      </c>
      <c r="S34" s="704" t="e">
        <f t="shared" si="10"/>
        <v>#N/A</v>
      </c>
      <c r="T34" s="703" t="s">
        <v>14</v>
      </c>
      <c r="U34" s="704" t="e">
        <f t="shared" si="11"/>
        <v>#N/A</v>
      </c>
      <c r="V34" s="703" t="s">
        <v>14</v>
      </c>
      <c r="W34" s="704" t="e">
        <f t="shared" si="12"/>
        <v>#N/A</v>
      </c>
      <c r="X34" s="1351"/>
      <c r="Y34" s="3748"/>
      <c r="Z34" s="1352" t="str">
        <f t="shared" si="13"/>
        <v>宗地面积</v>
      </c>
      <c r="AA34" s="1349" t="e">
        <f t="shared" si="3"/>
        <v>#N/A</v>
      </c>
      <c r="AB34" s="1349" t="e">
        <f t="shared" si="4"/>
        <v>#N/A</v>
      </c>
      <c r="AC34" s="1349" t="e">
        <f t="shared" si="5"/>
        <v>#N/A</v>
      </c>
    </row>
    <row r="35" spans="1:31" ht="15">
      <c r="A35" s="422"/>
      <c r="B35" s="374" t="s">
        <v>1875</v>
      </c>
      <c r="C35" s="1902"/>
      <c r="D35" s="385">
        <v>100</v>
      </c>
      <c r="E35" s="1902"/>
      <c r="F35" s="385">
        <f>SUMIF(110:110,E35,111:111)-SUMIF(110:110,C35,111:111)+100</f>
        <v>100</v>
      </c>
      <c r="G35" s="1902"/>
      <c r="H35" s="385">
        <f>SUMIF(110:110,G35,111:111)-SUMIF(110:110,C35,111:111)+100</f>
        <v>100</v>
      </c>
      <c r="I35" s="1902"/>
      <c r="J35" s="385">
        <f>SUMIF(110:110,I35,111:111)-SUMIF(110:110,C35,111:111)+100</f>
        <v>100</v>
      </c>
      <c r="K35" s="560"/>
      <c r="L35" s="2718"/>
      <c r="M35" s="2712"/>
      <c r="N35" s="2712"/>
      <c r="O35" s="2770"/>
      <c r="P35" s="3748"/>
      <c r="Q35" s="1348" t="str">
        <f t="shared" ref="Q35:Q40" si="14">B35</f>
        <v>宗地形状</v>
      </c>
      <c r="R35" s="703" t="s">
        <v>14</v>
      </c>
      <c r="S35" s="704">
        <f t="shared" si="10"/>
        <v>100</v>
      </c>
      <c r="T35" s="703" t="s">
        <v>14</v>
      </c>
      <c r="U35" s="704">
        <f t="shared" si="11"/>
        <v>100</v>
      </c>
      <c r="V35" s="703" t="s">
        <v>14</v>
      </c>
      <c r="W35" s="704">
        <f t="shared" si="12"/>
        <v>100</v>
      </c>
      <c r="X35" s="1351"/>
      <c r="Y35" s="3748"/>
      <c r="Z35" s="1352" t="str">
        <f t="shared" si="13"/>
        <v>宗地形状</v>
      </c>
      <c r="AA35" s="1349">
        <f t="shared" si="3"/>
        <v>1</v>
      </c>
      <c r="AB35" s="1349">
        <f t="shared" si="4"/>
        <v>1</v>
      </c>
      <c r="AC35" s="1349">
        <f t="shared" si="5"/>
        <v>1</v>
      </c>
    </row>
    <row r="36" spans="1:31" s="108" customFormat="1" ht="15">
      <c r="A36" s="423"/>
      <c r="B36" s="374" t="s">
        <v>1877</v>
      </c>
      <c r="C36" s="1976"/>
      <c r="D36" s="126">
        <v>100</v>
      </c>
      <c r="E36" s="1976"/>
      <c r="F36" s="385">
        <f>SUMIF(112:112,E36,113:113)-SUMIF(112:112,C36,113:113)+100</f>
        <v>100</v>
      </c>
      <c r="G36" s="1976"/>
      <c r="H36" s="385">
        <f>SUMIF(112:112,G36,113:113)-SUMIF(112:112,C36,113:113)+100</f>
        <v>100</v>
      </c>
      <c r="I36" s="1976"/>
      <c r="J36" s="385">
        <f>SUMIF(112:112,I36,113:113)-SUMIF(112:112,C36,113:113)+100</f>
        <v>100</v>
      </c>
      <c r="K36" s="560"/>
      <c r="L36" s="2713"/>
      <c r="M36" s="2714"/>
      <c r="N36" s="2714"/>
      <c r="O36" s="2768"/>
      <c r="P36" s="3748"/>
      <c r="Q36" s="1348" t="str">
        <f t="shared" si="14"/>
        <v>宗地开发程度</v>
      </c>
      <c r="R36" s="699" t="s">
        <v>14</v>
      </c>
      <c r="S36" s="700">
        <f t="shared" si="10"/>
        <v>100</v>
      </c>
      <c r="T36" s="699" t="s">
        <v>14</v>
      </c>
      <c r="U36" s="700">
        <f t="shared" si="11"/>
        <v>100</v>
      </c>
      <c r="V36" s="699" t="s">
        <v>14</v>
      </c>
      <c r="W36" s="700">
        <f t="shared" si="12"/>
        <v>100</v>
      </c>
      <c r="X36" s="701"/>
      <c r="Y36" s="3748"/>
      <c r="Z36" s="52" t="str">
        <f t="shared" si="13"/>
        <v>宗地开发程度</v>
      </c>
      <c r="AA36" s="702">
        <f t="shared" si="3"/>
        <v>1</v>
      </c>
      <c r="AB36" s="702">
        <f t="shared" si="4"/>
        <v>1</v>
      </c>
      <c r="AC36" s="702">
        <f t="shared" si="5"/>
        <v>1</v>
      </c>
    </row>
    <row r="37" spans="1:31" ht="15">
      <c r="A37" s="422"/>
      <c r="B37" s="374" t="s">
        <v>1878</v>
      </c>
      <c r="C37" s="1902"/>
      <c r="D37" s="385">
        <v>100</v>
      </c>
      <c r="E37" s="1902"/>
      <c r="F37" s="385">
        <f>SUMIF(114:114,E37,115:115)-SUMIF(114:114,C37,115:115)+100</f>
        <v>100</v>
      </c>
      <c r="G37" s="1902"/>
      <c r="H37" s="385">
        <f>SUMIF(114:114,G37,115:115)-SUMIF(114:114,C37,115:115)+100</f>
        <v>100</v>
      </c>
      <c r="I37" s="1902"/>
      <c r="J37" s="385">
        <f>SUMIF(114:114,I37,115:115)-SUMIF(114:114,C37,115:115)+100</f>
        <v>100</v>
      </c>
      <c r="K37" s="560"/>
      <c r="L37" s="2718"/>
      <c r="M37" s="2712"/>
      <c r="N37" s="2712"/>
      <c r="O37" s="2770"/>
      <c r="P37" s="3748" t="s">
        <v>1696</v>
      </c>
      <c r="Q37" s="1348" t="str">
        <f t="shared" si="14"/>
        <v>工程地质条件</v>
      </c>
      <c r="R37" s="703" t="s">
        <v>14</v>
      </c>
      <c r="S37" s="704">
        <f t="shared" si="10"/>
        <v>100</v>
      </c>
      <c r="T37" s="703" t="s">
        <v>14</v>
      </c>
      <c r="U37" s="704">
        <f t="shared" si="11"/>
        <v>100</v>
      </c>
      <c r="V37" s="703" t="s">
        <v>14</v>
      </c>
      <c r="W37" s="704">
        <f t="shared" si="12"/>
        <v>100</v>
      </c>
      <c r="X37" s="1351"/>
      <c r="Y37" s="3748" t="s">
        <v>1696</v>
      </c>
      <c r="Z37" s="1352" t="str">
        <f t="shared" si="13"/>
        <v>工程地质条件</v>
      </c>
      <c r="AA37" s="1349">
        <f t="shared" si="3"/>
        <v>1</v>
      </c>
      <c r="AB37" s="1349">
        <f t="shared" si="4"/>
        <v>1</v>
      </c>
      <c r="AC37" s="1349">
        <f t="shared" si="5"/>
        <v>1</v>
      </c>
    </row>
    <row r="38" spans="1:31" ht="15">
      <c r="A38" s="422"/>
      <c r="B38" s="1130">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8"/>
      <c r="M38" s="2712"/>
      <c r="N38" s="2712"/>
      <c r="O38" s="2770"/>
      <c r="P38" s="3748"/>
      <c r="Q38" s="1348">
        <f t="shared" si="14"/>
        <v>111</v>
      </c>
      <c r="R38" s="703" t="s">
        <v>14</v>
      </c>
      <c r="S38" s="704">
        <f t="shared" si="10"/>
        <v>100</v>
      </c>
      <c r="T38" s="703" t="s">
        <v>14</v>
      </c>
      <c r="U38" s="704">
        <f t="shared" si="11"/>
        <v>100</v>
      </c>
      <c r="V38" s="703" t="s">
        <v>14</v>
      </c>
      <c r="W38" s="704">
        <f t="shared" si="12"/>
        <v>100</v>
      </c>
      <c r="X38" s="1351"/>
      <c r="Y38" s="3748"/>
      <c r="Z38" s="1352">
        <f t="shared" si="13"/>
        <v>111</v>
      </c>
      <c r="AA38" s="1349">
        <f t="shared" si="3"/>
        <v>1</v>
      </c>
      <c r="AB38" s="1349">
        <f t="shared" si="4"/>
        <v>1</v>
      </c>
      <c r="AC38" s="1349">
        <f t="shared" si="5"/>
        <v>1</v>
      </c>
    </row>
    <row r="39" spans="1:31" ht="15">
      <c r="A39" s="422"/>
      <c r="B39" s="1130">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8"/>
      <c r="M39" s="2712"/>
      <c r="N39" s="2712"/>
      <c r="O39" s="2770"/>
      <c r="P39" s="3748"/>
      <c r="Q39" s="1348">
        <f t="shared" si="14"/>
        <v>111</v>
      </c>
      <c r="R39" s="703" t="s">
        <v>14</v>
      </c>
      <c r="S39" s="704">
        <f t="shared" si="10"/>
        <v>100</v>
      </c>
      <c r="T39" s="703" t="s">
        <v>14</v>
      </c>
      <c r="U39" s="704">
        <f t="shared" si="11"/>
        <v>100</v>
      </c>
      <c r="V39" s="703" t="s">
        <v>14</v>
      </c>
      <c r="W39" s="704">
        <f t="shared" si="12"/>
        <v>100</v>
      </c>
      <c r="X39" s="1351"/>
      <c r="Y39" s="3748"/>
      <c r="Z39" s="1352">
        <f t="shared" si="13"/>
        <v>111</v>
      </c>
      <c r="AA39" s="1349">
        <f t="shared" si="3"/>
        <v>1</v>
      </c>
      <c r="AB39" s="1349">
        <f t="shared" si="4"/>
        <v>1</v>
      </c>
      <c r="AC39" s="1349">
        <f t="shared" si="5"/>
        <v>1</v>
      </c>
    </row>
    <row r="40" spans="1:31" s="421" customFormat="1" ht="15.6" thickBot="1">
      <c r="A40" s="418"/>
      <c r="B40" s="1130">
        <v>111</v>
      </c>
      <c r="C40" s="1977"/>
      <c r="D40" s="127">
        <v>100</v>
      </c>
      <c r="E40" s="621"/>
      <c r="F40" s="388">
        <f>SUMIF(120:120,E40,121:121)-SUMIF(120:120,C40,121:121)+100</f>
        <v>100</v>
      </c>
      <c r="G40" s="621"/>
      <c r="H40" s="388">
        <f>SUMIF(120:120,G40,121:121)-SUMIF(120:120,C40,121:121)+100</f>
        <v>100</v>
      </c>
      <c r="I40" s="497"/>
      <c r="J40" s="388">
        <f>SUMIF(120:120,I40,121:121)-SUMIF(120:120,C40,121:121)+100</f>
        <v>100</v>
      </c>
      <c r="K40" s="628"/>
      <c r="L40" s="2717"/>
      <c r="M40" s="2719"/>
      <c r="N40" s="2719"/>
      <c r="O40" s="2771"/>
      <c r="P40" s="3748"/>
      <c r="Q40" s="1348">
        <f t="shared" si="14"/>
        <v>111</v>
      </c>
      <c r="R40" s="706" t="s">
        <v>14</v>
      </c>
      <c r="S40" s="707">
        <f t="shared" si="10"/>
        <v>100</v>
      </c>
      <c r="T40" s="706" t="s">
        <v>14</v>
      </c>
      <c r="U40" s="707">
        <f t="shared" si="11"/>
        <v>100</v>
      </c>
      <c r="V40" s="706" t="s">
        <v>14</v>
      </c>
      <c r="W40" s="707">
        <f t="shared" si="12"/>
        <v>100</v>
      </c>
      <c r="X40" s="708"/>
      <c r="Y40" s="3748"/>
      <c r="Z40" s="709">
        <f t="shared" si="13"/>
        <v>111</v>
      </c>
      <c r="AA40" s="1349">
        <f t="shared" si="3"/>
        <v>1</v>
      </c>
      <c r="AB40" s="1349">
        <f t="shared" si="4"/>
        <v>1</v>
      </c>
      <c r="AC40" s="1349">
        <f t="shared" si="5"/>
        <v>1</v>
      </c>
    </row>
    <row r="41" spans="1:31" ht="14.4">
      <c r="A41" s="429" t="s">
        <v>1844</v>
      </c>
      <c r="B41" s="1978" t="s">
        <v>1922</v>
      </c>
      <c r="C41" s="629" t="s">
        <v>0</v>
      </c>
      <c r="D41" s="431"/>
      <c r="E41" s="432"/>
      <c r="F41" s="433"/>
      <c r="G41" s="434"/>
      <c r="H41" s="435"/>
      <c r="I41" s="432"/>
      <c r="J41" s="435"/>
      <c r="K41" s="712"/>
      <c r="L41" s="2720"/>
      <c r="M41" s="2712"/>
      <c r="N41" s="2712"/>
      <c r="O41" s="2721"/>
      <c r="P41" s="3741" t="str">
        <f>A41</f>
        <v>成交单价</v>
      </c>
      <c r="Q41" s="3741"/>
      <c r="R41" s="3736">
        <f>E41</f>
        <v>0</v>
      </c>
      <c r="S41" s="3736"/>
      <c r="T41" s="3736">
        <f>G41</f>
        <v>0</v>
      </c>
      <c r="U41" s="3736"/>
      <c r="V41" s="3736">
        <f>I41</f>
        <v>0</v>
      </c>
      <c r="W41" s="3736"/>
      <c r="X41" s="688"/>
      <c r="Y41" s="710"/>
      <c r="Z41" s="688"/>
      <c r="AA41" s="688"/>
      <c r="AB41" s="688"/>
      <c r="AC41" s="688"/>
    </row>
    <row r="42" spans="1:31" ht="15" thickBot="1">
      <c r="A42" s="436" t="s">
        <v>1793</v>
      </c>
      <c r="B42" s="630"/>
      <c r="C42" s="439" t="e">
        <f>R43</f>
        <v>#DIV/0!</v>
      </c>
      <c r="D42" s="2313" t="s">
        <v>2138</v>
      </c>
      <c r="E42" s="439" t="e">
        <f>R42</f>
        <v>#DIV/0!</v>
      </c>
      <c r="F42" s="2314"/>
      <c r="G42" s="438" t="e">
        <f>T42</f>
        <v>#DIV/0!</v>
      </c>
      <c r="H42" s="2314"/>
      <c r="I42" s="439" t="e">
        <f>V42</f>
        <v>#DIV/0!</v>
      </c>
      <c r="J42" s="2314"/>
      <c r="K42" s="2316">
        <f>F42+H42+J42</f>
        <v>0</v>
      </c>
      <c r="L42" s="2720"/>
      <c r="M42" s="2712"/>
      <c r="N42" s="2712"/>
      <c r="O42" s="2721"/>
      <c r="P42" s="3741" t="str">
        <f>A42</f>
        <v>比较价值（元/平方米）</v>
      </c>
      <c r="Q42" s="3741"/>
      <c r="R42" s="3769" t="e">
        <f>ROUND(PRODUCT(R41,AA7:AA40),0)</f>
        <v>#DIV/0!</v>
      </c>
      <c r="S42" s="3769"/>
      <c r="T42" s="3769" t="e">
        <f>ROUND(PRODUCT(T41,AB7:AB40),0)</f>
        <v>#DIV/0!</v>
      </c>
      <c r="U42" s="3769"/>
      <c r="V42" s="3769" t="e">
        <f>ROUND(PRODUCT(V41,AC7:AC40),0)</f>
        <v>#DIV/0!</v>
      </c>
      <c r="W42" s="3769"/>
      <c r="X42" s="688"/>
      <c r="Y42" s="688"/>
      <c r="Z42" s="688"/>
      <c r="AA42" s="688"/>
      <c r="AB42" s="688"/>
      <c r="AC42" s="688"/>
    </row>
    <row r="43" spans="1:31" ht="15" thickBot="1">
      <c r="A43" s="440" t="s">
        <v>1794</v>
      </c>
      <c r="B43" s="441"/>
      <c r="C43" s="442" t="e">
        <f>R43</f>
        <v>#DIV/0!</v>
      </c>
      <c r="D43" s="442"/>
      <c r="E43" s="442"/>
      <c r="F43" s="442"/>
      <c r="G43" s="442"/>
      <c r="H43" s="442"/>
      <c r="I43" s="442"/>
      <c r="J43" s="442"/>
      <c r="K43" s="713"/>
      <c r="L43" s="2720"/>
      <c r="M43" s="2712"/>
      <c r="N43" s="2712"/>
      <c r="O43" s="2721"/>
      <c r="P43" s="3738" t="str">
        <f>A43</f>
        <v>估价对象XX用房的比较价值（楼面单价，元/平方米）</v>
      </c>
      <c r="Q43" s="3739"/>
      <c r="R43" s="3770" t="e">
        <f>ROUND(IF(D42="简单平均",AVERAGE(R42:W42),R42*F42+T42*H42+V42*J42),0)</f>
        <v>#DIV/0!</v>
      </c>
      <c r="S43" s="3770"/>
      <c r="T43" s="3770"/>
      <c r="U43" s="3770"/>
      <c r="V43" s="3770"/>
      <c r="W43" s="3770"/>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0" customFormat="1" ht="13.5" customHeight="1">
      <c r="A48" s="2724"/>
      <c r="B48" s="2724"/>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0" customFormat="1" ht="14.4"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8.8">
      <c r="A50" s="631" t="s">
        <v>1881</v>
      </c>
      <c r="B50" s="632" t="s">
        <v>1882</v>
      </c>
      <c r="C50" s="1979" t="s">
        <v>1883</v>
      </c>
      <c r="D50" s="1980" t="s">
        <v>1884</v>
      </c>
      <c r="E50" s="633" t="s">
        <v>1885</v>
      </c>
      <c r="F50" s="634" t="s">
        <v>1886</v>
      </c>
      <c r="G50" s="3724" t="s">
        <v>1887</v>
      </c>
      <c r="H50" s="3771"/>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1890</v>
      </c>
      <c r="B51" s="636" t="e">
        <f>C43</f>
        <v>#DIV/0!</v>
      </c>
      <c r="C51" s="637">
        <v>1</v>
      </c>
      <c r="D51" s="940">
        <v>1</v>
      </c>
      <c r="E51" s="637">
        <f>'数据-汇总表'!E8+'数据-汇总表'!E9</f>
        <v>19830.27</v>
      </c>
      <c r="F51" s="638" t="e">
        <f t="shared" ref="F51:F60" si="15">ROUND(B51*E51/10000,0)</f>
        <v>#DIV/0!</v>
      </c>
      <c r="G51" s="3723"/>
      <c r="H51" s="3741"/>
      <c r="I51" s="769">
        <v>1</v>
      </c>
      <c r="J51" s="769">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1891</v>
      </c>
      <c r="B52" s="217" t="e">
        <f>ROUND($C$43*C52*D52,0)</f>
        <v>#DIV/0!</v>
      </c>
      <c r="C52" s="170">
        <f t="shared" ref="C52:C60" si="16">IF($C$50="北京市系数",I52,J52)</f>
        <v>0.6</v>
      </c>
      <c r="D52" s="941">
        <v>0.25</v>
      </c>
      <c r="E52" s="641"/>
      <c r="F52" s="638" t="e">
        <f t="shared" si="15"/>
        <v>#DIV/0!</v>
      </c>
      <c r="G52" s="3002" t="s">
        <v>1892</v>
      </c>
      <c r="H52" s="883" t="str">
        <f>项目基本情况!B37</f>
        <v>五级</v>
      </c>
      <c r="I52" s="769">
        <f>SUMIF(修正!A57:A68,H52,修正!B57:B68)</f>
        <v>0.6</v>
      </c>
      <c r="J52" s="770"/>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1893</v>
      </c>
      <c r="B53" s="217" t="e">
        <f t="shared" ref="B53:B60" si="17">ROUND($C$43*C53*D53,0)</f>
        <v>#DIV/0!</v>
      </c>
      <c r="C53" s="170">
        <f t="shared" si="16"/>
        <v>0.3</v>
      </c>
      <c r="D53" s="941">
        <v>0.25</v>
      </c>
      <c r="E53" s="641"/>
      <c r="F53" s="638" t="e">
        <f t="shared" si="15"/>
        <v>#DIV/0!</v>
      </c>
      <c r="G53" s="3003"/>
      <c r="H53" s="883" t="str">
        <f>项目基本情况!B37</f>
        <v>五级</v>
      </c>
      <c r="I53" s="769">
        <f>SUMIF(修正!A57:A68,H53,修正!C57:C68)</f>
        <v>0.3</v>
      </c>
      <c r="J53" s="770"/>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1894</v>
      </c>
      <c r="B54" s="217" t="e">
        <f t="shared" si="17"/>
        <v>#DIV/0!</v>
      </c>
      <c r="C54" s="170">
        <f t="shared" si="16"/>
        <v>0.25</v>
      </c>
      <c r="D54" s="941">
        <v>0.25</v>
      </c>
      <c r="E54" s="641"/>
      <c r="F54" s="638" t="e">
        <f t="shared" si="15"/>
        <v>#DIV/0!</v>
      </c>
      <c r="G54" s="3003"/>
      <c r="H54" s="883" t="str">
        <f>项目基本情况!B37</f>
        <v>五级</v>
      </c>
      <c r="I54" s="769">
        <f>SUMIF(修正!A57:A68,H54,修正!D57:D68)</f>
        <v>0.25</v>
      </c>
      <c r="J54" s="770"/>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7"/>
      <c r="C55" s="170"/>
      <c r="D55" s="941"/>
      <c r="E55" s="641"/>
      <c r="F55" s="638"/>
      <c r="G55" s="3004"/>
      <c r="H55" s="883"/>
      <c r="I55" s="769"/>
      <c r="J55" s="770"/>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1895</v>
      </c>
      <c r="B56" s="217" t="e">
        <f t="shared" si="17"/>
        <v>#DIV/0!</v>
      </c>
      <c r="C56" s="170">
        <f t="shared" si="16"/>
        <v>0</v>
      </c>
      <c r="D56" s="941">
        <v>0.25</v>
      </c>
      <c r="E56" s="216">
        <f>'数据-汇总表'!E11</f>
        <v>0</v>
      </c>
      <c r="F56" s="638" t="e">
        <f t="shared" si="15"/>
        <v>#DIV/0!</v>
      </c>
      <c r="G56" s="1983" t="s">
        <v>1896</v>
      </c>
      <c r="H56" s="883">
        <f>项目基本情况!C37</f>
        <v>0</v>
      </c>
      <c r="I56" s="769">
        <f>SUMIF(修正!A57:A68,H56,修正!E57:E68)</f>
        <v>0</v>
      </c>
      <c r="J56" s="770"/>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1897</v>
      </c>
      <c r="B57" s="217" t="e">
        <f t="shared" si="17"/>
        <v>#DIV/0!</v>
      </c>
      <c r="C57" s="170">
        <f t="shared" si="16"/>
        <v>0</v>
      </c>
      <c r="D57" s="941">
        <v>0.25</v>
      </c>
      <c r="E57" s="216">
        <f>'数据-汇总表'!E12</f>
        <v>0</v>
      </c>
      <c r="F57" s="638" t="e">
        <f t="shared" si="15"/>
        <v>#DIV/0!</v>
      </c>
      <c r="G57" s="888" t="s">
        <v>1898</v>
      </c>
      <c r="H57" s="883">
        <f>IF(G57="商业",项目基本情况!B37,IF(G57="办公",项目基本情况!C37,IF(G57="住宅",项目基本情况!D37,项目基本情况!E37)))</f>
        <v>0</v>
      </c>
      <c r="I57" s="769">
        <f>SUMIF(修正!A57:A68,H57,修正!F57:F68)</f>
        <v>0</v>
      </c>
      <c r="J57" s="770"/>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1899</v>
      </c>
      <c r="B58" s="217" t="e">
        <f t="shared" si="17"/>
        <v>#DIV/0!</v>
      </c>
      <c r="C58" s="170">
        <f t="shared" si="16"/>
        <v>0</v>
      </c>
      <c r="D58" s="941">
        <v>0.25</v>
      </c>
      <c r="E58" s="216">
        <f>'数据-汇总表'!E13</f>
        <v>0</v>
      </c>
      <c r="F58" s="638" t="e">
        <f t="shared" si="15"/>
        <v>#DIV/0!</v>
      </c>
      <c r="G58" s="888" t="s">
        <v>1900</v>
      </c>
      <c r="H58" s="883">
        <f>IF(G58="商业",项目基本情况!B37,IF(G58="办公",项目基本情况!C37,IF(G58="住宅",项目基本情况!D37,项目基本情况!E37)))</f>
        <v>0</v>
      </c>
      <c r="I58" s="769">
        <f>SUMIF(修正!A57:A68,H58,修正!G57:G68)</f>
        <v>0</v>
      </c>
      <c r="J58" s="770"/>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1901</v>
      </c>
      <c r="B59" s="217" t="e">
        <f t="shared" si="17"/>
        <v>#DIV/0!</v>
      </c>
      <c r="C59" s="170">
        <f t="shared" si="16"/>
        <v>0.15</v>
      </c>
      <c r="D59" s="941">
        <v>0.25</v>
      </c>
      <c r="E59" s="216">
        <f>'数据-汇总表'!E14</f>
        <v>30659.07</v>
      </c>
      <c r="F59" s="638" t="e">
        <f t="shared" si="15"/>
        <v>#DIV/0!</v>
      </c>
      <c r="G59" s="1983" t="s">
        <v>1892</v>
      </c>
      <c r="H59" s="883" t="str">
        <f>项目基本情况!B37</f>
        <v>五级</v>
      </c>
      <c r="I59" s="769">
        <f>SUMIF(修正!A57:A68,H59,修正!G57:G68)</f>
        <v>0.15</v>
      </c>
      <c r="J59" s="770"/>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4.4" thickBot="1">
      <c r="A60" s="640" t="s">
        <v>1902</v>
      </c>
      <c r="B60" s="217" t="e">
        <f t="shared" si="17"/>
        <v>#DIV/0!</v>
      </c>
      <c r="C60" s="170">
        <f t="shared" si="16"/>
        <v>0</v>
      </c>
      <c r="D60" s="941">
        <v>0.25</v>
      </c>
      <c r="E60" s="216">
        <f>'数据-汇总表'!E15</f>
        <v>0</v>
      </c>
      <c r="F60" s="638" t="e">
        <f t="shared" si="15"/>
        <v>#DIV/0!</v>
      </c>
      <c r="G60" s="1984" t="s">
        <v>1896</v>
      </c>
      <c r="H60" s="893">
        <f>项目基本情况!C37</f>
        <v>0</v>
      </c>
      <c r="I60" s="769">
        <f>SUMIF(修正!A57:A68,H60,修正!G57:G68)</f>
        <v>0</v>
      </c>
      <c r="J60" s="770"/>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4.4" thickBot="1">
      <c r="A61" s="642" t="s">
        <v>1903</v>
      </c>
      <c r="B61" s="643" t="s">
        <v>22</v>
      </c>
      <c r="C61" s="643" t="s">
        <v>23</v>
      </c>
      <c r="D61" s="643" t="s">
        <v>392</v>
      </c>
      <c r="E61" s="643">
        <f>IF(B41="楼面地价",SUM(E51:E60),'数据-汇总表'!D3)</f>
        <v>12540.52</v>
      </c>
      <c r="F61" s="644" t="e">
        <f>IF(B41="楼面地价",SUM(F51:F60),ROUND(C43*E61/10000,0))</f>
        <v>#DIV/0!</v>
      </c>
      <c r="G61" s="935"/>
      <c r="H61" s="935"/>
      <c r="I61" s="935"/>
      <c r="J61" s="935"/>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3"/>
      <c r="B62" s="925"/>
      <c r="C62" s="927"/>
      <c r="D62" s="923"/>
      <c r="E62" s="923"/>
      <c r="F62" s="923"/>
      <c r="G62" s="923"/>
      <c r="H62" s="923"/>
      <c r="I62" s="923"/>
      <c r="J62" s="923"/>
      <c r="K62" s="884"/>
      <c r="L62" s="885"/>
      <c r="M62" s="923"/>
      <c r="N62" s="923"/>
      <c r="O62" s="923"/>
      <c r="P62" s="2721"/>
      <c r="Q62" s="2721"/>
      <c r="R62" s="2721"/>
      <c r="S62" s="2721"/>
      <c r="T62" s="2721"/>
      <c r="U62" s="2721"/>
      <c r="V62" s="2721"/>
      <c r="W62" s="2721"/>
      <c r="X62" s="2721"/>
      <c r="Y62" s="2721"/>
      <c r="Z62" s="2721"/>
      <c r="AA62" s="2721"/>
      <c r="AB62" s="2721"/>
      <c r="AC62" s="2721"/>
      <c r="AD62" s="2721"/>
      <c r="AE62" s="2721"/>
    </row>
    <row r="63" spans="1:31">
      <c r="A63" s="923"/>
      <c r="B63" s="925"/>
      <c r="C63" s="690" t="str">
        <f>YEAR(C7)&amp;"-"&amp;MONTH(C7)&amp;"-1"</f>
        <v>2023-3-1</v>
      </c>
      <c r="D63" s="690">
        <f>EDATE(C63,-3)</f>
        <v>44896</v>
      </c>
      <c r="E63" s="690">
        <f>EDATE(D63,-3)</f>
        <v>44805</v>
      </c>
      <c r="F63" s="690">
        <f t="shared" ref="F63:O63" si="18">EDATE(E63,-3)</f>
        <v>44713</v>
      </c>
      <c r="G63" s="690">
        <f t="shared" si="18"/>
        <v>44621</v>
      </c>
      <c r="H63" s="690">
        <f t="shared" si="18"/>
        <v>44531</v>
      </c>
      <c r="I63" s="690">
        <f t="shared" si="18"/>
        <v>44440</v>
      </c>
      <c r="J63" s="690">
        <f t="shared" si="18"/>
        <v>44348</v>
      </c>
      <c r="K63" s="690">
        <f t="shared" si="18"/>
        <v>44256</v>
      </c>
      <c r="L63" s="690">
        <f t="shared" si="18"/>
        <v>44166</v>
      </c>
      <c r="M63" s="690">
        <f t="shared" si="18"/>
        <v>44075</v>
      </c>
      <c r="N63" s="690">
        <f t="shared" si="18"/>
        <v>43983</v>
      </c>
      <c r="O63" s="690">
        <f t="shared" si="18"/>
        <v>43891</v>
      </c>
      <c r="P63" s="2721"/>
      <c r="Q63" s="2721"/>
      <c r="R63" s="2721"/>
      <c r="S63" s="2721"/>
      <c r="T63" s="2721"/>
      <c r="U63" s="2721"/>
      <c r="V63" s="2721"/>
      <c r="W63" s="2721"/>
      <c r="X63" s="2721"/>
      <c r="Y63" s="2721"/>
      <c r="Z63" s="2721"/>
      <c r="AA63" s="2721"/>
      <c r="AB63" s="2721"/>
      <c r="AC63" s="2721"/>
      <c r="AD63" s="2721"/>
      <c r="AE63" s="2721"/>
    </row>
    <row r="64" spans="1:31" ht="22.2" thickBot="1">
      <c r="A64" s="692" t="s">
        <v>1798</v>
      </c>
      <c r="B64" s="688"/>
      <c r="C64" s="693"/>
      <c r="D64" s="693"/>
      <c r="E64" s="693"/>
      <c r="F64" s="694"/>
      <c r="G64" s="694"/>
      <c r="H64" s="693"/>
      <c r="I64" s="693"/>
      <c r="J64" s="693"/>
      <c r="K64" s="695"/>
      <c r="L64" s="696"/>
      <c r="M64" s="693"/>
      <c r="N64" s="693"/>
      <c r="O64" s="936"/>
      <c r="P64" s="2765"/>
      <c r="Q64" s="2735"/>
      <c r="R64" s="2721"/>
      <c r="S64" s="2721"/>
      <c r="T64" s="2721"/>
      <c r="U64" s="2721"/>
      <c r="V64" s="2721"/>
      <c r="W64" s="2721"/>
      <c r="X64" s="2721"/>
      <c r="Y64" s="2721"/>
      <c r="Z64" s="2721"/>
      <c r="AA64" s="2721"/>
      <c r="AB64" s="2721"/>
      <c r="AC64" s="2721"/>
      <c r="AD64" s="2721"/>
      <c r="AE64" s="2721"/>
    </row>
    <row r="65" spans="1:31" s="456" customFormat="1" ht="14.4">
      <c r="A65" s="1985" t="s">
        <v>1904</v>
      </c>
      <c r="B65" s="1105"/>
      <c r="C65" s="1178" t="str">
        <f>YEAR(C63)&amp;"-"&amp;ROUNDUP(MONTH(C63)/3,0)</f>
        <v>2023-1</v>
      </c>
      <c r="D65" s="1178" t="str">
        <f t="shared" ref="D65:O65" si="19">YEAR(D63)&amp;"-"&amp;ROUNDUP(MONTH(D63)/3,0)</f>
        <v>2022-4</v>
      </c>
      <c r="E65" s="1178" t="str">
        <f t="shared" si="19"/>
        <v>2022-3</v>
      </c>
      <c r="F65" s="1178" t="str">
        <f t="shared" si="19"/>
        <v>2022-2</v>
      </c>
      <c r="G65" s="1178" t="str">
        <f t="shared" si="19"/>
        <v>2022-1</v>
      </c>
      <c r="H65" s="1178" t="str">
        <f t="shared" si="19"/>
        <v>2021-4</v>
      </c>
      <c r="I65" s="1178" t="str">
        <f t="shared" si="19"/>
        <v>2021-3</v>
      </c>
      <c r="J65" s="1178" t="str">
        <f t="shared" si="19"/>
        <v>2021-2</v>
      </c>
      <c r="K65" s="1178" t="str">
        <f t="shared" si="19"/>
        <v>2021-1</v>
      </c>
      <c r="L65" s="1178" t="str">
        <f t="shared" si="19"/>
        <v>2020-4</v>
      </c>
      <c r="M65" s="1178" t="str">
        <f t="shared" si="19"/>
        <v>2020-3</v>
      </c>
      <c r="N65" s="1178" t="str">
        <f t="shared" si="19"/>
        <v>2020-2</v>
      </c>
      <c r="O65" s="1178" t="str">
        <f t="shared" si="19"/>
        <v>2020-1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7" t="str">
        <f>"北京市平均增长率"&amp;TEXT(基准地价修正!P28,"0.00%")</f>
        <v>北京市平均增长率0.00%</v>
      </c>
      <c r="C66" s="551">
        <v>100</v>
      </c>
      <c r="D66" s="543"/>
      <c r="E66" s="543"/>
      <c r="F66" s="543"/>
      <c r="G66" s="543"/>
      <c r="H66" s="543"/>
      <c r="I66" s="543"/>
      <c r="J66" s="543"/>
      <c r="K66" s="543"/>
      <c r="L66" s="543"/>
      <c r="M66" s="1174"/>
      <c r="N66" s="1174"/>
      <c r="O66" s="1176"/>
      <c r="P66" s="2735"/>
      <c r="Q66" s="2657"/>
      <c r="R66" s="2657"/>
      <c r="S66" s="2657"/>
      <c r="T66" s="2657"/>
      <c r="U66" s="2657"/>
      <c r="V66" s="2657"/>
      <c r="W66" s="2657"/>
      <c r="X66" s="2657"/>
      <c r="Y66" s="2657"/>
      <c r="Z66" s="2657"/>
      <c r="AA66" s="2657"/>
      <c r="AB66" s="2657"/>
      <c r="AC66" s="2657"/>
      <c r="AD66" s="2657"/>
      <c r="AE66" s="2657"/>
    </row>
    <row r="67" spans="1:31" s="108" customFormat="1" ht="15" thickBot="1">
      <c r="A67" s="463" t="s">
        <v>1716</v>
      </c>
      <c r="B67" s="464"/>
      <c r="C67" s="465"/>
      <c r="D67" s="466"/>
      <c r="E67" s="466"/>
      <c r="F67" s="466"/>
      <c r="G67" s="466"/>
      <c r="H67" s="466"/>
      <c r="I67" s="466"/>
      <c r="J67" s="466"/>
      <c r="K67" s="466"/>
      <c r="L67" s="466"/>
      <c r="M67" s="467"/>
      <c r="N67" s="467"/>
      <c r="O67" s="468"/>
      <c r="P67" s="2735"/>
      <c r="Q67" s="2735"/>
      <c r="R67" s="2657"/>
      <c r="S67" s="2657"/>
      <c r="T67" s="2657"/>
      <c r="U67" s="2657"/>
      <c r="V67" s="2657"/>
      <c r="W67" s="2657"/>
      <c r="X67" s="2657"/>
      <c r="Y67" s="2657"/>
      <c r="Z67" s="2657"/>
      <c r="AA67" s="2657"/>
      <c r="AB67" s="2657"/>
      <c r="AC67" s="2657"/>
      <c r="AD67" s="2657"/>
      <c r="AE67" s="2657"/>
    </row>
    <row r="68" spans="1:31" s="108" customFormat="1" ht="14.4">
      <c r="A68" s="469" t="s">
        <v>1681</v>
      </c>
      <c r="B68" s="458"/>
      <c r="C68" s="470" t="s">
        <v>1776</v>
      </c>
      <c r="D68" s="471"/>
      <c r="E68" s="471"/>
      <c r="F68" s="471"/>
      <c r="G68" s="471"/>
      <c r="H68" s="471"/>
      <c r="I68" s="471"/>
      <c r="J68" s="471"/>
      <c r="K68" s="471"/>
      <c r="L68" s="472"/>
      <c r="M68" s="473"/>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4.4" thickBot="1">
      <c r="A69" s="469"/>
      <c r="B69" s="458"/>
      <c r="C69" s="586">
        <v>100</v>
      </c>
      <c r="D69" s="460"/>
      <c r="E69" s="460"/>
      <c r="F69" s="460"/>
      <c r="G69" s="460"/>
      <c r="H69" s="460"/>
      <c r="I69" s="460"/>
      <c r="J69" s="460"/>
      <c r="K69" s="460"/>
      <c r="L69" s="460"/>
      <c r="M69" s="462"/>
      <c r="N69" s="2748"/>
      <c r="O69" s="2748"/>
      <c r="P69" s="2735"/>
      <c r="Q69" s="2735"/>
      <c r="R69" s="2657"/>
      <c r="S69" s="2657"/>
      <c r="T69" s="2657"/>
      <c r="U69" s="2657"/>
      <c r="V69" s="2657"/>
      <c r="W69" s="2657"/>
      <c r="X69" s="2657"/>
      <c r="Y69" s="2657"/>
      <c r="Z69" s="2657"/>
      <c r="AA69" s="2657"/>
      <c r="AB69" s="2657"/>
      <c r="AC69" s="2657"/>
      <c r="AD69" s="2657"/>
      <c r="AE69" s="2657"/>
    </row>
    <row r="70" spans="1:31" ht="14.4">
      <c r="A70" s="475" t="s">
        <v>1719</v>
      </c>
      <c r="B70" s="476" t="s">
        <v>1685</v>
      </c>
      <c r="C70" s="478"/>
      <c r="D70" s="478"/>
      <c r="E70" s="478"/>
      <c r="F70" s="478"/>
      <c r="G70" s="478"/>
      <c r="H70" s="478"/>
      <c r="I70" s="478"/>
      <c r="J70" s="478"/>
      <c r="K70" s="479"/>
      <c r="L70" s="480"/>
      <c r="M70" s="481"/>
      <c r="N70" s="2749"/>
      <c r="O70" s="2749"/>
      <c r="P70" s="2774"/>
      <c r="Q70" s="2735"/>
      <c r="R70" s="2721"/>
      <c r="S70" s="2721"/>
      <c r="T70" s="2721"/>
      <c r="U70" s="2721"/>
      <c r="V70" s="2721"/>
      <c r="W70" s="2721"/>
      <c r="X70" s="2721"/>
      <c r="Y70" s="2721"/>
      <c r="Z70" s="2721"/>
      <c r="AA70" s="2721"/>
      <c r="AB70" s="2721"/>
      <c r="AC70" s="2721"/>
      <c r="AD70" s="2721"/>
      <c r="AE70" s="2721"/>
    </row>
    <row r="71" spans="1:31" ht="14.4" thickBot="1">
      <c r="A71" s="482"/>
      <c r="B71" s="483"/>
      <c r="C71" s="484"/>
      <c r="D71" s="484"/>
      <c r="E71" s="484"/>
      <c r="F71" s="484"/>
      <c r="G71" s="484"/>
      <c r="H71" s="484"/>
      <c r="I71" s="484"/>
      <c r="J71" s="484"/>
      <c r="K71" s="484"/>
      <c r="L71" s="484"/>
      <c r="M71" s="485"/>
      <c r="N71" s="2750"/>
      <c r="O71" s="2750"/>
      <c r="P71" s="2774"/>
      <c r="Q71" s="2735"/>
      <c r="R71" s="2721"/>
      <c r="S71" s="2721"/>
      <c r="T71" s="2721"/>
      <c r="U71" s="2721"/>
      <c r="V71" s="2721"/>
      <c r="W71" s="2721"/>
      <c r="X71" s="2721"/>
      <c r="Y71" s="2721"/>
      <c r="Z71" s="2721"/>
      <c r="AA71" s="2721"/>
      <c r="AB71" s="2721"/>
      <c r="AC71" s="2721"/>
      <c r="AD71" s="2721"/>
      <c r="AE71" s="2721"/>
    </row>
    <row r="72" spans="1:31" ht="29.4" thickTop="1">
      <c r="A72" s="482"/>
      <c r="B72" s="486" t="s">
        <v>1688</v>
      </c>
      <c r="C72" s="487"/>
      <c r="D72" s="487"/>
      <c r="E72" s="487"/>
      <c r="F72" s="487"/>
      <c r="G72" s="487"/>
      <c r="H72" s="487"/>
      <c r="I72" s="487"/>
      <c r="J72" s="487"/>
      <c r="K72" s="488"/>
      <c r="L72" s="489"/>
      <c r="M72" s="490"/>
      <c r="N72" s="2749"/>
      <c r="O72" s="2749"/>
      <c r="P72" s="2774"/>
      <c r="Q72" s="2735"/>
      <c r="R72" s="2721"/>
      <c r="S72" s="2721"/>
      <c r="T72" s="2721"/>
      <c r="U72" s="2721"/>
      <c r="V72" s="2721"/>
      <c r="W72" s="2721"/>
      <c r="X72" s="2721"/>
      <c r="Y72" s="2721"/>
      <c r="Z72" s="2721"/>
      <c r="AA72" s="2721"/>
      <c r="AB72" s="2721"/>
      <c r="AC72" s="2721"/>
      <c r="AD72" s="2721"/>
      <c r="AE72" s="2721"/>
    </row>
    <row r="73" spans="1:31" ht="14.4" thickBot="1">
      <c r="A73" s="482"/>
      <c r="B73" s="491"/>
      <c r="C73" s="492"/>
      <c r="D73" s="492"/>
      <c r="E73" s="492"/>
      <c r="F73" s="492"/>
      <c r="G73" s="492"/>
      <c r="H73" s="492"/>
      <c r="I73" s="492"/>
      <c r="J73" s="492"/>
      <c r="K73" s="492"/>
      <c r="L73" s="492"/>
      <c r="M73" s="493"/>
      <c r="N73" s="2750"/>
      <c r="O73" s="2750"/>
      <c r="P73" s="2774"/>
      <c r="Q73" s="2735"/>
      <c r="R73" s="2721"/>
      <c r="S73" s="2721"/>
      <c r="T73" s="2721"/>
      <c r="U73" s="2721"/>
      <c r="V73" s="2721"/>
      <c r="W73" s="2721"/>
      <c r="X73" s="2721"/>
      <c r="Y73" s="2721"/>
      <c r="Z73" s="2721"/>
      <c r="AA73" s="2721"/>
      <c r="AB73" s="2721"/>
      <c r="AC73" s="2721"/>
      <c r="AD73" s="2721"/>
      <c r="AE73" s="2721"/>
    </row>
    <row r="74" spans="1:31" ht="1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c r="A75" s="482"/>
      <c r="B75" s="496"/>
      <c r="C75" s="497"/>
      <c r="D75" s="497"/>
      <c r="E75" s="497"/>
      <c r="F75" s="497"/>
      <c r="G75" s="497"/>
      <c r="H75" s="497"/>
      <c r="I75" s="497"/>
      <c r="J75" s="497"/>
      <c r="K75" s="498"/>
      <c r="L75" s="499"/>
      <c r="M75" s="500"/>
      <c r="N75" s="2749"/>
      <c r="O75" s="2749"/>
      <c r="P75" s="2774"/>
      <c r="Q75" s="2735"/>
      <c r="R75" s="2721"/>
      <c r="S75" s="2721"/>
      <c r="T75" s="2721"/>
      <c r="U75" s="2721"/>
      <c r="V75" s="2721"/>
      <c r="W75" s="2721"/>
      <c r="X75" s="2721"/>
      <c r="Y75" s="2721"/>
      <c r="Z75" s="2721"/>
      <c r="AA75" s="2721"/>
      <c r="AB75" s="2721"/>
      <c r="AC75" s="2721"/>
      <c r="AD75" s="2721"/>
      <c r="AE75" s="2721"/>
    </row>
    <row r="76" spans="1:31" ht="14.4"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1" customFormat="1" ht="14.4" thickTop="1">
      <c r="A77" s="501"/>
      <c r="B77" s="486">
        <f>B12</f>
        <v>111</v>
      </c>
      <c r="C77" s="502"/>
      <c r="D77" s="502"/>
      <c r="E77" s="502"/>
      <c r="F77" s="502"/>
      <c r="G77" s="502"/>
      <c r="H77" s="503"/>
      <c r="I77" s="503"/>
      <c r="J77" s="503"/>
      <c r="K77" s="503"/>
      <c r="L77" s="504"/>
      <c r="M77" s="505"/>
      <c r="N77" s="2751"/>
      <c r="O77" s="2751"/>
      <c r="P77" s="2775"/>
      <c r="Q77" s="2742"/>
      <c r="R77" s="2743"/>
      <c r="S77" s="2743"/>
      <c r="T77" s="2743"/>
      <c r="U77" s="2743"/>
      <c r="V77" s="2743"/>
      <c r="W77" s="2743"/>
      <c r="X77" s="2743"/>
      <c r="Y77" s="2743"/>
      <c r="Z77" s="2743"/>
      <c r="AA77" s="2743"/>
      <c r="AB77" s="2743"/>
      <c r="AC77" s="2743"/>
      <c r="AD77" s="2743"/>
      <c r="AE77" s="2743"/>
    </row>
    <row r="78" spans="1:31" s="421" customFormat="1" ht="14.4" thickBot="1">
      <c r="A78" s="501"/>
      <c r="B78" s="491"/>
      <c r="C78" s="508"/>
      <c r="D78" s="484"/>
      <c r="E78" s="484"/>
      <c r="F78" s="484"/>
      <c r="G78" s="484"/>
      <c r="H78" s="484"/>
      <c r="I78" s="484"/>
      <c r="J78" s="484"/>
      <c r="K78" s="484"/>
      <c r="L78" s="484"/>
      <c r="M78" s="485"/>
      <c r="N78" s="2750"/>
      <c r="O78" s="2750"/>
      <c r="P78" s="2775"/>
      <c r="Q78" s="2742"/>
      <c r="R78" s="2743"/>
      <c r="S78" s="2743"/>
      <c r="T78" s="2743"/>
      <c r="U78" s="2743"/>
      <c r="V78" s="2743"/>
      <c r="W78" s="2743"/>
      <c r="X78" s="2743"/>
      <c r="Y78" s="2743"/>
      <c r="Z78" s="2743"/>
      <c r="AA78" s="2743"/>
      <c r="AB78" s="2743"/>
      <c r="AC78" s="2743"/>
      <c r="AD78" s="2743"/>
      <c r="AE78" s="2743"/>
    </row>
    <row r="79" spans="1:31" s="421" customFormat="1" ht="14.4" thickTop="1">
      <c r="A79" s="501"/>
      <c r="B79" s="486">
        <f>B13</f>
        <v>111</v>
      </c>
      <c r="C79" s="502"/>
      <c r="D79" s="502"/>
      <c r="E79" s="502"/>
      <c r="F79" s="502"/>
      <c r="G79" s="502"/>
      <c r="H79" s="503"/>
      <c r="I79" s="503"/>
      <c r="J79" s="503"/>
      <c r="K79" s="503"/>
      <c r="L79" s="504"/>
      <c r="M79" s="505"/>
      <c r="N79" s="2751"/>
      <c r="O79" s="2751"/>
      <c r="P79" s="2719"/>
      <c r="Q79" s="2745"/>
      <c r="R79" s="2743"/>
      <c r="S79" s="2743"/>
      <c r="T79" s="2743"/>
      <c r="U79" s="2743"/>
      <c r="V79" s="2743"/>
      <c r="W79" s="2743"/>
      <c r="X79" s="2743"/>
      <c r="Y79" s="2743"/>
      <c r="Z79" s="2743"/>
      <c r="AA79" s="2743"/>
      <c r="AB79" s="2743"/>
      <c r="AC79" s="2743"/>
      <c r="AD79" s="2743"/>
      <c r="AE79" s="2743"/>
    </row>
    <row r="80" spans="1:31" s="421" customFormat="1" ht="14.4" thickBot="1">
      <c r="A80" s="501"/>
      <c r="B80" s="491"/>
      <c r="C80" s="508"/>
      <c r="D80" s="508"/>
      <c r="E80" s="508"/>
      <c r="F80" s="508"/>
      <c r="G80" s="508"/>
      <c r="H80" s="510"/>
      <c r="I80" s="510"/>
      <c r="J80" s="510"/>
      <c r="K80" s="510"/>
      <c r="L80" s="510"/>
      <c r="M80" s="511"/>
      <c r="N80" s="2751"/>
      <c r="O80" s="2751"/>
      <c r="P80" s="2775"/>
      <c r="Q80" s="2742"/>
      <c r="R80" s="2743"/>
      <c r="S80" s="2743"/>
      <c r="T80" s="2743"/>
      <c r="U80" s="2743"/>
      <c r="V80" s="2743"/>
      <c r="W80" s="2743"/>
      <c r="X80" s="2743"/>
      <c r="Y80" s="2743"/>
      <c r="Z80" s="2743"/>
      <c r="AA80" s="2743"/>
      <c r="AB80" s="2743"/>
      <c r="AC80" s="2743"/>
      <c r="AD80" s="2743"/>
      <c r="AE80" s="2743"/>
    </row>
    <row r="81" spans="1:31" s="421" customFormat="1" ht="14.4" thickTop="1">
      <c r="A81" s="501"/>
      <c r="B81" s="494">
        <f>B14</f>
        <v>111</v>
      </c>
      <c r="C81" s="471"/>
      <c r="D81" s="471"/>
      <c r="E81" s="471"/>
      <c r="F81" s="471"/>
      <c r="G81" s="471"/>
      <c r="H81" s="512"/>
      <c r="I81" s="512"/>
      <c r="J81" s="512"/>
      <c r="K81" s="512"/>
      <c r="L81" s="513"/>
      <c r="M81" s="514"/>
      <c r="N81" s="2751"/>
      <c r="O81" s="2751"/>
      <c r="P81" s="2780"/>
      <c r="Q81" s="2742"/>
      <c r="R81" s="2743"/>
      <c r="S81" s="2743"/>
      <c r="T81" s="2743"/>
      <c r="U81" s="2743"/>
      <c r="V81" s="2743"/>
      <c r="W81" s="2743"/>
      <c r="X81" s="2743"/>
      <c r="Y81" s="2743"/>
      <c r="Z81" s="2743"/>
      <c r="AA81" s="2743"/>
      <c r="AB81" s="2743"/>
      <c r="AC81" s="2743"/>
      <c r="AD81" s="2743"/>
      <c r="AE81" s="2743"/>
    </row>
    <row r="82" spans="1:31" s="421" customFormat="1" ht="14.4" thickBot="1">
      <c r="A82" s="516"/>
      <c r="B82" s="517"/>
      <c r="C82" s="518"/>
      <c r="D82" s="518"/>
      <c r="E82" s="518"/>
      <c r="F82" s="518"/>
      <c r="G82" s="518"/>
      <c r="H82" s="519"/>
      <c r="I82" s="519"/>
      <c r="J82" s="519"/>
      <c r="K82" s="519"/>
      <c r="L82" s="519"/>
      <c r="M82" s="520"/>
      <c r="N82" s="2751"/>
      <c r="O82" s="2751"/>
      <c r="P82" s="2775"/>
      <c r="Q82" s="2742"/>
      <c r="R82" s="2743"/>
      <c r="S82" s="2743"/>
      <c r="T82" s="2743"/>
      <c r="U82" s="2743"/>
      <c r="V82" s="2743"/>
      <c r="W82" s="2743"/>
      <c r="X82" s="2743"/>
      <c r="Y82" s="2743"/>
      <c r="Z82" s="2743"/>
      <c r="AA82" s="2743"/>
      <c r="AB82" s="2743"/>
      <c r="AC82" s="2743"/>
      <c r="AD82" s="2743"/>
      <c r="AE82" s="2743"/>
    </row>
    <row r="83" spans="1:31" ht="14.4">
      <c r="A83" s="475" t="s">
        <v>1690</v>
      </c>
      <c r="B83" s="476" t="s">
        <v>1829</v>
      </c>
      <c r="C83" s="521" t="s">
        <v>1721</v>
      </c>
      <c r="D83" s="521" t="s">
        <v>1722</v>
      </c>
      <c r="E83" s="521" t="s">
        <v>1723</v>
      </c>
      <c r="F83" s="521" t="s">
        <v>1724</v>
      </c>
      <c r="G83" s="521" t="s">
        <v>1725</v>
      </c>
      <c r="H83" s="477"/>
      <c r="I83" s="477"/>
      <c r="J83" s="477"/>
      <c r="K83" s="522"/>
      <c r="L83" s="523"/>
      <c r="M83" s="524"/>
      <c r="N83" s="2749"/>
      <c r="O83" s="2749"/>
      <c r="P83" s="2776"/>
      <c r="Q83" s="2735"/>
      <c r="R83" s="2721"/>
      <c r="S83" s="2721"/>
      <c r="T83" s="2721"/>
      <c r="U83" s="2721"/>
      <c r="V83" s="2721"/>
      <c r="W83" s="2721"/>
      <c r="X83" s="2721"/>
      <c r="Y83" s="2721"/>
      <c r="Z83" s="2721"/>
      <c r="AA83" s="2721"/>
      <c r="AB83" s="2721"/>
      <c r="AC83" s="2721"/>
      <c r="AD83" s="2721"/>
      <c r="AE83" s="2721"/>
    </row>
    <row r="84" spans="1:31" ht="14.4" thickBot="1">
      <c r="A84" s="482"/>
      <c r="B84" s="491"/>
      <c r="C84" s="492">
        <v>100</v>
      </c>
      <c r="D84" s="492">
        <f>C84-$K15</f>
        <v>100</v>
      </c>
      <c r="E84" s="492">
        <f>D84-$K15</f>
        <v>100</v>
      </c>
      <c r="F84" s="492">
        <f>E84-$K15</f>
        <v>100</v>
      </c>
      <c r="G84" s="492">
        <f>F84-$K15</f>
        <v>100</v>
      </c>
      <c r="H84" s="492"/>
      <c r="I84" s="492"/>
      <c r="J84" s="492"/>
      <c r="K84" s="492"/>
      <c r="L84" s="492"/>
      <c r="M84" s="493"/>
      <c r="N84" s="2750"/>
      <c r="O84" s="2750"/>
      <c r="P84" s="2774"/>
      <c r="Q84" s="2735"/>
      <c r="R84" s="2721"/>
      <c r="S84" s="2721"/>
      <c r="T84" s="2721"/>
      <c r="U84" s="2721"/>
      <c r="V84" s="2721"/>
      <c r="W84" s="2721"/>
      <c r="X84" s="2721"/>
      <c r="Y84" s="2721"/>
      <c r="Z84" s="2721"/>
      <c r="AA84" s="2721"/>
      <c r="AB84" s="2721"/>
      <c r="AC84" s="2721"/>
      <c r="AD84" s="2721"/>
      <c r="AE84" s="2721"/>
    </row>
    <row r="85" spans="1:31" ht="15" thickTop="1">
      <c r="A85" s="482"/>
      <c r="B85" s="486" t="s">
        <v>1726</v>
      </c>
      <c r="C85" s="526" t="s">
        <v>1721</v>
      </c>
      <c r="D85" s="526" t="s">
        <v>1722</v>
      </c>
      <c r="E85" s="526" t="s">
        <v>1723</v>
      </c>
      <c r="F85" s="526" t="s">
        <v>1724</v>
      </c>
      <c r="G85" s="526" t="s">
        <v>1725</v>
      </c>
      <c r="H85" s="487"/>
      <c r="I85" s="487"/>
      <c r="J85" s="487"/>
      <c r="K85" s="488"/>
      <c r="L85" s="489"/>
      <c r="M85" s="490"/>
      <c r="N85" s="2749"/>
      <c r="O85" s="2749"/>
      <c r="P85" s="2774"/>
      <c r="Q85" s="2735"/>
      <c r="R85" s="2721"/>
      <c r="S85" s="2721"/>
      <c r="T85" s="2721"/>
      <c r="U85" s="2721"/>
      <c r="V85" s="2721"/>
      <c r="W85" s="2721"/>
      <c r="X85" s="2721"/>
      <c r="Y85" s="2721"/>
      <c r="Z85" s="2721"/>
      <c r="AA85" s="2721"/>
      <c r="AB85" s="2721"/>
      <c r="AC85" s="2721"/>
      <c r="AD85" s="2721"/>
      <c r="AE85" s="2721"/>
    </row>
    <row r="86" spans="1:31" ht="14.4" thickBot="1">
      <c r="A86" s="482"/>
      <c r="B86" s="491"/>
      <c r="C86" s="492">
        <v>100</v>
      </c>
      <c r="D86" s="492">
        <f>C86-$K17</f>
        <v>100</v>
      </c>
      <c r="E86" s="492">
        <f>D86-$K17</f>
        <v>100</v>
      </c>
      <c r="F86" s="492">
        <f>E86-$K17</f>
        <v>100</v>
      </c>
      <c r="G86" s="492">
        <f>F86-$K17</f>
        <v>100</v>
      </c>
      <c r="H86" s="492"/>
      <c r="I86" s="492"/>
      <c r="J86" s="492"/>
      <c r="K86" s="492"/>
      <c r="L86" s="492"/>
      <c r="M86" s="493"/>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29.4" thickTop="1">
      <c r="A87" s="527"/>
      <c r="B87" s="486" t="s">
        <v>1907</v>
      </c>
      <c r="C87" s="521" t="s">
        <v>1721</v>
      </c>
      <c r="D87" s="521" t="s">
        <v>1722</v>
      </c>
      <c r="E87" s="521" t="s">
        <v>1723</v>
      </c>
      <c r="F87" s="521" t="s">
        <v>1724</v>
      </c>
      <c r="G87" s="521" t="s">
        <v>1725</v>
      </c>
      <c r="H87" s="526"/>
      <c r="I87" s="526"/>
      <c r="J87" s="526"/>
      <c r="K87" s="526"/>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4.4" thickBot="1">
      <c r="A88" s="527"/>
      <c r="B88" s="491"/>
      <c r="C88" s="530">
        <v>100</v>
      </c>
      <c r="D88" s="492">
        <f>C88-$K19</f>
        <v>100</v>
      </c>
      <c r="E88" s="492">
        <f>D88-$K19</f>
        <v>100</v>
      </c>
      <c r="F88" s="492">
        <f>E88-$K19</f>
        <v>100</v>
      </c>
      <c r="G88" s="492">
        <f>F88-$K19</f>
        <v>100</v>
      </c>
      <c r="H88" s="492"/>
      <c r="I88" s="492"/>
      <c r="J88" s="492"/>
      <c r="K88" s="492"/>
      <c r="L88" s="492"/>
      <c r="M88" s="493"/>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9.4" thickTop="1">
      <c r="A89" s="527"/>
      <c r="B89" s="486" t="s">
        <v>1908</v>
      </c>
      <c r="C89" s="521" t="s">
        <v>1721</v>
      </c>
      <c r="D89" s="521" t="s">
        <v>1722</v>
      </c>
      <c r="E89" s="521" t="s">
        <v>1723</v>
      </c>
      <c r="F89" s="521" t="s">
        <v>1724</v>
      </c>
      <c r="G89" s="521" t="s">
        <v>1725</v>
      </c>
      <c r="H89" s="526"/>
      <c r="I89" s="526"/>
      <c r="J89" s="526"/>
      <c r="K89" s="526"/>
      <c r="L89" s="526"/>
      <c r="M89" s="569"/>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4.4" thickBot="1">
      <c r="A90" s="527"/>
      <c r="B90" s="491"/>
      <c r="C90" s="492">
        <v>100</v>
      </c>
      <c r="D90" s="492">
        <f>C90-$K21</f>
        <v>100</v>
      </c>
      <c r="E90" s="492">
        <f>D90-$K21</f>
        <v>100</v>
      </c>
      <c r="F90" s="492">
        <f>E90-$K21</f>
        <v>100</v>
      </c>
      <c r="G90" s="492">
        <f>F90-$K21</f>
        <v>100</v>
      </c>
      <c r="H90" s="492"/>
      <c r="I90" s="492"/>
      <c r="J90" s="492"/>
      <c r="K90" s="492"/>
      <c r="L90" s="492"/>
      <c r="M90" s="493"/>
      <c r="N90" s="2750"/>
      <c r="O90" s="2750"/>
      <c r="P90" s="2774"/>
      <c r="Q90" s="2735"/>
      <c r="R90" s="2657"/>
      <c r="S90" s="2657"/>
      <c r="T90" s="2657"/>
      <c r="U90" s="2657"/>
      <c r="V90" s="2657"/>
      <c r="W90" s="2657"/>
      <c r="X90" s="2657"/>
      <c r="Y90" s="2657"/>
      <c r="Z90" s="2657"/>
      <c r="AA90" s="2657"/>
      <c r="AB90" s="2657"/>
      <c r="AC90" s="2657"/>
      <c r="AD90" s="2657"/>
      <c r="AE90" s="2657"/>
    </row>
    <row r="91" spans="1:31" s="421" customFormat="1" ht="15" thickTop="1">
      <c r="A91" s="501"/>
      <c r="B91" s="486" t="s">
        <v>1778</v>
      </c>
      <c r="C91" s="521" t="s">
        <v>1721</v>
      </c>
      <c r="D91" s="521" t="s">
        <v>1722</v>
      </c>
      <c r="E91" s="521" t="s">
        <v>1723</v>
      </c>
      <c r="F91" s="521" t="s">
        <v>1724</v>
      </c>
      <c r="G91" s="521" t="s">
        <v>1725</v>
      </c>
      <c r="H91" s="548"/>
      <c r="I91" s="548"/>
      <c r="J91" s="548"/>
      <c r="K91" s="548"/>
      <c r="L91" s="549"/>
      <c r="M91" s="550"/>
      <c r="N91" s="2751"/>
      <c r="O91" s="2751"/>
      <c r="P91" s="2775"/>
      <c r="Q91" s="2742"/>
      <c r="R91" s="2743"/>
      <c r="S91" s="2743"/>
      <c r="T91" s="2743"/>
      <c r="U91" s="2743"/>
      <c r="V91" s="2743"/>
      <c r="W91" s="2743"/>
      <c r="X91" s="2743"/>
      <c r="Y91" s="2743"/>
      <c r="Z91" s="2743"/>
      <c r="AA91" s="2743"/>
      <c r="AB91" s="2743"/>
      <c r="AC91" s="2743"/>
      <c r="AD91" s="2743"/>
      <c r="AE91" s="2743"/>
    </row>
    <row r="92" spans="1:31" s="421" customFormat="1" ht="14.4" thickBot="1">
      <c r="A92" s="501"/>
      <c r="B92" s="491"/>
      <c r="C92" s="492">
        <v>100</v>
      </c>
      <c r="D92" s="492">
        <f>C92-$K23</f>
        <v>100</v>
      </c>
      <c r="E92" s="492">
        <f>D92-$K23</f>
        <v>100</v>
      </c>
      <c r="F92" s="492">
        <f>E92-$K23</f>
        <v>100</v>
      </c>
      <c r="G92" s="492">
        <f>F92-$K23</f>
        <v>100</v>
      </c>
      <c r="H92" s="555"/>
      <c r="I92" s="555"/>
      <c r="J92" s="555"/>
      <c r="K92" s="555"/>
      <c r="L92" s="555"/>
      <c r="M92" s="556"/>
      <c r="N92" s="2751"/>
      <c r="O92" s="2751"/>
      <c r="P92" s="2775"/>
      <c r="Q92" s="2742"/>
      <c r="R92" s="2743"/>
      <c r="S92" s="2743"/>
      <c r="T92" s="2743"/>
      <c r="U92" s="2743"/>
      <c r="V92" s="2743"/>
      <c r="W92" s="2743"/>
      <c r="X92" s="2743"/>
      <c r="Y92" s="2743"/>
      <c r="Z92" s="2743"/>
      <c r="AA92" s="2743"/>
      <c r="AB92" s="2743"/>
      <c r="AC92" s="2743"/>
      <c r="AD92" s="2743"/>
      <c r="AE92" s="2743"/>
    </row>
    <row r="93" spans="1:31" s="421" customFormat="1" ht="15" thickTop="1">
      <c r="A93" s="501"/>
      <c r="B93" s="494" t="s">
        <v>1925</v>
      </c>
      <c r="C93" s="607" t="s">
        <v>1799</v>
      </c>
      <c r="D93" s="607" t="s">
        <v>1800</v>
      </c>
      <c r="E93" s="607" t="s">
        <v>1801</v>
      </c>
      <c r="F93" s="607" t="s">
        <v>1802</v>
      </c>
      <c r="G93" s="607" t="s">
        <v>1803</v>
      </c>
      <c r="H93" s="548"/>
      <c r="I93" s="548"/>
      <c r="J93" s="548"/>
      <c r="K93" s="548"/>
      <c r="L93" s="548"/>
      <c r="M93" s="550"/>
      <c r="N93" s="2751"/>
      <c r="O93" s="2751"/>
      <c r="P93" s="2775"/>
      <c r="Q93" s="2742"/>
      <c r="R93" s="2743"/>
      <c r="S93" s="2743"/>
      <c r="T93" s="2743"/>
      <c r="U93" s="2743"/>
      <c r="V93" s="2743"/>
      <c r="W93" s="2743"/>
      <c r="X93" s="2743"/>
      <c r="Y93" s="2743"/>
      <c r="Z93" s="2743"/>
      <c r="AA93" s="2743"/>
      <c r="AB93" s="2743"/>
      <c r="AC93" s="2743"/>
      <c r="AD93" s="2743"/>
      <c r="AE93" s="2743"/>
    </row>
    <row r="94" spans="1:31" s="421" customFormat="1" ht="14.4" thickBot="1">
      <c r="A94" s="501"/>
      <c r="B94" s="494"/>
      <c r="C94" s="492">
        <v>100</v>
      </c>
      <c r="D94" s="492">
        <f>C94-$K25</f>
        <v>100</v>
      </c>
      <c r="E94" s="492">
        <f>D94-$K25</f>
        <v>100</v>
      </c>
      <c r="F94" s="492">
        <f>E94-$K25</f>
        <v>100</v>
      </c>
      <c r="G94" s="492">
        <f>F94-$K25</f>
        <v>100</v>
      </c>
      <c r="H94" s="496"/>
      <c r="I94" s="496"/>
      <c r="J94" s="496"/>
      <c r="K94" s="496"/>
      <c r="L94" s="496"/>
      <c r="M94" s="1128"/>
      <c r="N94" s="2751"/>
      <c r="O94" s="2751"/>
      <c r="P94" s="2775"/>
      <c r="Q94" s="2742"/>
      <c r="R94" s="2743"/>
      <c r="S94" s="2743"/>
      <c r="T94" s="2743"/>
      <c r="U94" s="2743"/>
      <c r="V94" s="2743"/>
      <c r="W94" s="2743"/>
      <c r="X94" s="2743"/>
      <c r="Y94" s="2743"/>
      <c r="Z94" s="2743"/>
      <c r="AA94" s="2743"/>
      <c r="AB94" s="2743"/>
      <c r="AC94" s="2743"/>
      <c r="AD94" s="2743"/>
      <c r="AE94" s="2743"/>
    </row>
    <row r="95" spans="1:31" ht="15" thickTop="1">
      <c r="A95" s="482"/>
      <c r="B95" s="486" t="str">
        <f>B27</f>
        <v>临街状况</v>
      </c>
      <c r="C95" s="487" t="s">
        <v>1909</v>
      </c>
      <c r="D95" s="487" t="s">
        <v>1910</v>
      </c>
      <c r="E95" s="487" t="s">
        <v>1911</v>
      </c>
      <c r="F95" s="487" t="s">
        <v>1912</v>
      </c>
      <c r="G95" s="487"/>
      <c r="H95" s="487"/>
      <c r="I95" s="487"/>
      <c r="J95" s="487"/>
      <c r="K95" s="488"/>
      <c r="L95" s="489"/>
      <c r="M95" s="490"/>
      <c r="N95" s="2749"/>
      <c r="O95" s="2749"/>
      <c r="P95" s="2774"/>
      <c r="Q95" s="2735"/>
      <c r="R95" s="2721"/>
      <c r="S95" s="2721"/>
      <c r="T95" s="2721"/>
      <c r="U95" s="2721"/>
      <c r="V95" s="2721"/>
      <c r="W95" s="2721"/>
      <c r="X95" s="2721"/>
      <c r="Y95" s="2721"/>
      <c r="Z95" s="2721"/>
      <c r="AA95" s="2721"/>
      <c r="AB95" s="2721"/>
      <c r="AC95" s="2721"/>
      <c r="AD95" s="2721"/>
      <c r="AE95" s="2721"/>
    </row>
    <row r="96" spans="1:31" ht="14.4"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9.4" thickTop="1">
      <c r="A97" s="482"/>
      <c r="B97" s="486" t="s">
        <v>1815</v>
      </c>
      <c r="C97" s="502"/>
      <c r="D97" s="502"/>
      <c r="E97" s="502"/>
      <c r="F97" s="502"/>
      <c r="G97" s="502"/>
      <c r="H97" s="531"/>
      <c r="I97" s="531"/>
      <c r="J97" s="531"/>
      <c r="K97" s="532"/>
      <c r="L97" s="533"/>
      <c r="M97" s="534"/>
      <c r="N97" s="2749"/>
      <c r="O97" s="2749"/>
      <c r="P97" s="2774"/>
      <c r="Q97" s="2735"/>
      <c r="R97" s="2721"/>
      <c r="S97" s="2721"/>
      <c r="T97" s="2721"/>
      <c r="U97" s="2721"/>
      <c r="V97" s="2721"/>
      <c r="W97" s="2721"/>
      <c r="X97" s="2721"/>
      <c r="Y97" s="2721"/>
      <c r="Z97" s="2721"/>
      <c r="AA97" s="2721"/>
      <c r="AB97" s="2721"/>
      <c r="AC97" s="2721"/>
      <c r="AD97" s="2721"/>
      <c r="AE97" s="2721"/>
    </row>
    <row r="98" spans="1:31" ht="14.4"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 thickTop="1">
      <c r="A99" s="482"/>
      <c r="B99" s="486" t="s">
        <v>1873</v>
      </c>
      <c r="C99" s="531"/>
      <c r="D99" s="531"/>
      <c r="E99" s="531"/>
      <c r="F99" s="531"/>
      <c r="G99" s="531"/>
      <c r="H99" s="531"/>
      <c r="I99" s="531"/>
      <c r="J99" s="531"/>
      <c r="K99" s="532"/>
      <c r="L99" s="533"/>
      <c r="M99" s="534"/>
      <c r="N99" s="2749"/>
      <c r="O99" s="2749"/>
      <c r="P99" s="2774"/>
      <c r="Q99" s="2735"/>
      <c r="R99" s="2721"/>
      <c r="S99" s="2721"/>
      <c r="T99" s="2721"/>
      <c r="U99" s="2721"/>
      <c r="V99" s="2721"/>
      <c r="W99" s="2721"/>
      <c r="X99" s="2721"/>
      <c r="Y99" s="2721"/>
      <c r="Z99" s="2721"/>
      <c r="AA99" s="2721"/>
      <c r="AB99" s="2721"/>
      <c r="AC99" s="2721"/>
      <c r="AD99" s="2721"/>
      <c r="AE99" s="2721"/>
    </row>
    <row r="100" spans="1:31" ht="14.4"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4.4" thickTop="1">
      <c r="A101" s="482"/>
      <c r="B101" s="494">
        <f>B31</f>
        <v>111</v>
      </c>
      <c r="C101" s="502"/>
      <c r="D101" s="502"/>
      <c r="E101" s="502"/>
      <c r="F101" s="502"/>
      <c r="G101" s="535"/>
      <c r="H101" s="535"/>
      <c r="I101" s="535"/>
      <c r="J101" s="535"/>
      <c r="K101" s="536"/>
      <c r="L101" s="537"/>
      <c r="M101" s="538"/>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4.4" thickBot="1">
      <c r="A102" s="482"/>
      <c r="B102" s="517"/>
      <c r="C102" s="508"/>
      <c r="D102" s="484"/>
      <c r="E102" s="484"/>
      <c r="F102" s="484"/>
      <c r="G102" s="539"/>
      <c r="H102" s="539"/>
      <c r="I102" s="539"/>
      <c r="J102" s="539"/>
      <c r="K102" s="539"/>
      <c r="L102" s="539"/>
      <c r="M102" s="540"/>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4.4" thickTop="1">
      <c r="A103" s="622"/>
      <c r="B103" s="486">
        <f>B32</f>
        <v>111</v>
      </c>
      <c r="C103" s="502"/>
      <c r="D103" s="502"/>
      <c r="E103" s="502"/>
      <c r="F103" s="502"/>
      <c r="G103" s="531"/>
      <c r="H103" s="531"/>
      <c r="I103" s="531"/>
      <c r="J103" s="531"/>
      <c r="K103" s="532"/>
      <c r="L103" s="533"/>
      <c r="M103" s="534"/>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4.4" thickBot="1">
      <c r="A104" s="482"/>
      <c r="B104" s="491"/>
      <c r="C104" s="508"/>
      <c r="D104" s="508"/>
      <c r="E104" s="508"/>
      <c r="F104" s="508"/>
      <c r="G104" s="484"/>
      <c r="H104" s="484"/>
      <c r="I104" s="484"/>
      <c r="J104" s="484"/>
      <c r="K104" s="484"/>
      <c r="L104" s="484"/>
      <c r="M104" s="485"/>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1" customFormat="1" ht="14.4" thickTop="1">
      <c r="A105" s="541"/>
      <c r="B105" s="542">
        <f>B33</f>
        <v>111</v>
      </c>
      <c r="C105" s="471"/>
      <c r="D105" s="471"/>
      <c r="E105" s="471"/>
      <c r="F105" s="471"/>
      <c r="G105" s="543"/>
      <c r="H105" s="543"/>
      <c r="I105" s="543"/>
      <c r="J105" s="544"/>
      <c r="K105" s="544"/>
      <c r="L105" s="545"/>
      <c r="M105" s="546"/>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1" customFormat="1" ht="14.4" thickBot="1">
      <c r="A106" s="501"/>
      <c r="B106" s="494"/>
      <c r="C106" s="518"/>
      <c r="D106" s="518"/>
      <c r="E106" s="518"/>
      <c r="F106" s="518"/>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ht="14.4">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29" t="str">
        <f t="shared" si="25"/>
        <v>(含)-</v>
      </c>
      <c r="L107" s="1329" t="str">
        <f t="shared" si="25"/>
        <v>(含)-</v>
      </c>
      <c r="M107" s="1330"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c r="A108" s="482"/>
      <c r="B108" s="494"/>
      <c r="C108" s="543"/>
      <c r="D108" s="543"/>
      <c r="E108" s="543"/>
      <c r="F108" s="543"/>
      <c r="G108" s="543"/>
      <c r="H108" s="543"/>
      <c r="I108" s="543"/>
      <c r="J108" s="544"/>
      <c r="K108" s="544"/>
      <c r="L108" s="545"/>
      <c r="M108" s="546"/>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4.4" thickBot="1">
      <c r="A109" s="482"/>
      <c r="B109" s="491"/>
      <c r="C109" s="518"/>
      <c r="D109" s="539"/>
      <c r="E109" s="539"/>
      <c r="F109" s="539"/>
      <c r="G109" s="539"/>
      <c r="H109" s="539"/>
      <c r="I109" s="539"/>
      <c r="J109" s="539"/>
      <c r="K109" s="539"/>
      <c r="L109" s="539"/>
      <c r="M109" s="540"/>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7"/>
      <c r="B110" s="486" t="s">
        <v>1914</v>
      </c>
      <c r="C110" s="531"/>
      <c r="D110" s="531"/>
      <c r="E110" s="531"/>
      <c r="F110" s="531"/>
      <c r="G110" s="531"/>
      <c r="H110" s="531"/>
      <c r="I110" s="531"/>
      <c r="J110" s="531"/>
      <c r="K110" s="532"/>
      <c r="L110" s="533"/>
      <c r="M110" s="534"/>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4.4"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1" customFormat="1" ht="15" thickTop="1">
      <c r="A112" s="541"/>
      <c r="B112" s="486" t="s">
        <v>1916</v>
      </c>
      <c r="C112" s="502"/>
      <c r="D112" s="502"/>
      <c r="E112" s="502"/>
      <c r="F112" s="502"/>
      <c r="G112" s="502"/>
      <c r="H112" s="531"/>
      <c r="I112" s="531"/>
      <c r="J112" s="531"/>
      <c r="K112" s="532"/>
      <c r="L112" s="533"/>
      <c r="M112" s="534"/>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1" customFormat="1" ht="14.4"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7"/>
      <c r="B114" s="486" t="s">
        <v>1917</v>
      </c>
      <c r="C114" s="502"/>
      <c r="D114" s="502"/>
      <c r="E114" s="531"/>
      <c r="F114" s="531"/>
      <c r="G114" s="531"/>
      <c r="H114" s="531"/>
      <c r="I114" s="531"/>
      <c r="J114" s="531"/>
      <c r="K114" s="532"/>
      <c r="L114" s="533"/>
      <c r="M114" s="534"/>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4.4"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4.4" thickTop="1">
      <c r="A116" s="547"/>
      <c r="B116" s="486">
        <f>B38</f>
        <v>111</v>
      </c>
      <c r="C116" s="502"/>
      <c r="D116" s="502"/>
      <c r="E116" s="502"/>
      <c r="F116" s="502"/>
      <c r="G116" s="502"/>
      <c r="H116" s="531"/>
      <c r="I116" s="531"/>
      <c r="J116" s="531"/>
      <c r="K116" s="532"/>
      <c r="L116" s="533"/>
      <c r="M116" s="534"/>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4.4" thickBot="1">
      <c r="A117" s="482"/>
      <c r="B117" s="491"/>
      <c r="C117" s="508"/>
      <c r="D117" s="484"/>
      <c r="E117" s="484"/>
      <c r="F117" s="484"/>
      <c r="G117" s="484"/>
      <c r="H117" s="484"/>
      <c r="I117" s="484"/>
      <c r="J117" s="484"/>
      <c r="K117" s="484"/>
      <c r="L117" s="484"/>
      <c r="M117" s="485"/>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4.4" thickTop="1">
      <c r="A118" s="547"/>
      <c r="B118" s="486">
        <f>B39</f>
        <v>111</v>
      </c>
      <c r="C118" s="502"/>
      <c r="D118" s="502"/>
      <c r="E118" s="502"/>
      <c r="F118" s="502"/>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4.4" thickBot="1">
      <c r="A119" s="482"/>
      <c r="B119" s="491"/>
      <c r="C119" s="508"/>
      <c r="D119" s="508"/>
      <c r="E119" s="508"/>
      <c r="F119" s="508"/>
      <c r="G119" s="484"/>
      <c r="H119" s="484"/>
      <c r="I119" s="484"/>
      <c r="J119" s="484"/>
      <c r="K119" s="484"/>
      <c r="L119" s="484"/>
      <c r="M119" s="485"/>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1" customFormat="1" ht="14.4" thickTop="1">
      <c r="A120" s="541"/>
      <c r="B120" s="486">
        <f>B40</f>
        <v>111</v>
      </c>
      <c r="C120" s="471"/>
      <c r="D120" s="471"/>
      <c r="E120" s="471"/>
      <c r="F120" s="471"/>
      <c r="G120" s="503"/>
      <c r="H120" s="503"/>
      <c r="I120" s="503"/>
      <c r="J120" s="503"/>
      <c r="K120" s="503"/>
      <c r="L120" s="504"/>
      <c r="M120" s="505"/>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1" customFormat="1" ht="14.4" thickBot="1">
      <c r="A121" s="516"/>
      <c r="B121" s="647"/>
      <c r="C121" s="518"/>
      <c r="D121" s="518"/>
      <c r="E121" s="518"/>
      <c r="F121" s="518"/>
      <c r="G121" s="539"/>
      <c r="H121" s="539"/>
      <c r="I121" s="539"/>
      <c r="J121" s="539"/>
      <c r="K121" s="539"/>
      <c r="L121" s="539"/>
      <c r="M121" s="540"/>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9"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79" t="s">
        <v>2083</v>
      </c>
      <c r="C1" s="3779" t="s">
        <v>2084</v>
      </c>
      <c r="D1" s="3780"/>
      <c r="E1" s="3780"/>
      <c r="F1" s="3780"/>
      <c r="G1" s="3780"/>
      <c r="H1" s="3780"/>
      <c r="I1" s="3780"/>
      <c r="J1" s="3780"/>
      <c r="K1" s="3780"/>
      <c r="L1" s="3780"/>
      <c r="M1" s="3780"/>
      <c r="N1" s="3780"/>
      <c r="O1" s="3780"/>
      <c r="P1" s="3780"/>
      <c r="Q1" s="3780"/>
      <c r="R1" s="3780"/>
      <c r="S1" s="3781"/>
      <c r="T1" s="979" t="s">
        <v>2085</v>
      </c>
    </row>
    <row r="2" spans="1:45" s="654" customFormat="1">
      <c r="A2" s="980"/>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1"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2"/>
      <c r="B3" s="655"/>
      <c r="C3" s="656"/>
      <c r="D3" s="657"/>
      <c r="E3" s="657"/>
      <c r="F3" s="1301"/>
      <c r="G3" s="1301"/>
      <c r="H3" s="1301"/>
      <c r="I3" s="1301"/>
      <c r="J3" s="1301"/>
      <c r="K3" s="1301"/>
      <c r="L3" s="1302"/>
      <c r="M3" s="1303"/>
      <c r="N3" s="1303"/>
      <c r="O3" s="1301"/>
      <c r="P3" s="1301"/>
      <c r="Q3" s="1301"/>
      <c r="R3" s="1301"/>
      <c r="S3" s="1304"/>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8" thickBot="1">
      <c r="A4" s="983"/>
      <c r="B4" s="984"/>
      <c r="C4" s="985"/>
      <c r="D4" s="986"/>
      <c r="E4" s="986"/>
      <c r="F4" s="1305"/>
      <c r="G4" s="1305"/>
      <c r="H4" s="1305"/>
      <c r="I4" s="1305"/>
      <c r="J4" s="1305"/>
      <c r="K4" s="1305"/>
      <c r="L4" s="1305"/>
      <c r="M4" s="1306"/>
      <c r="N4" s="1306"/>
      <c r="O4" s="1305"/>
      <c r="P4" s="1305"/>
      <c r="Q4" s="1305"/>
      <c r="R4" s="1305"/>
      <c r="S4" s="1307"/>
      <c r="T4" s="989"/>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0"/>
      <c r="B5" s="1332" t="s">
        <v>2087</v>
      </c>
      <c r="C5" s="991"/>
      <c r="D5" s="992"/>
      <c r="E5" s="992"/>
      <c r="F5" s="1308"/>
      <c r="G5" s="1308"/>
      <c r="H5" s="1308"/>
      <c r="I5" s="1308"/>
      <c r="J5" s="1308"/>
      <c r="K5" s="1308"/>
      <c r="L5" s="1309"/>
      <c r="M5" s="1310"/>
      <c r="N5" s="1310"/>
      <c r="O5" s="1308"/>
      <c r="P5" s="1308"/>
      <c r="Q5" s="1308"/>
      <c r="R5" s="1308"/>
      <c r="S5" s="1311"/>
      <c r="T5" s="994"/>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8"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0"/>
      <c r="B7" s="1333" t="s">
        <v>2088</v>
      </c>
      <c r="C7" s="900"/>
      <c r="D7" s="894"/>
      <c r="E7" s="894"/>
      <c r="F7" s="1313"/>
      <c r="G7" s="1313"/>
      <c r="H7" s="1313"/>
      <c r="I7" s="1313"/>
      <c r="J7" s="1313"/>
      <c r="K7" s="1313"/>
      <c r="L7" s="1313"/>
      <c r="M7" s="1314"/>
      <c r="N7" s="1315"/>
      <c r="O7" s="1316"/>
      <c r="P7" s="1317"/>
      <c r="Q7" s="1318"/>
      <c r="R7" s="1319"/>
      <c r="S7" s="1320"/>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8"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0"/>
      <c r="B9" s="1333" t="s">
        <v>2089</v>
      </c>
      <c r="C9" s="900"/>
      <c r="D9" s="894"/>
      <c r="E9" s="894"/>
      <c r="F9" s="1313"/>
      <c r="G9" s="1313"/>
      <c r="H9" s="1313"/>
      <c r="I9" s="1313"/>
      <c r="J9" s="1313"/>
      <c r="K9" s="1313"/>
      <c r="L9" s="1321"/>
      <c r="M9" s="1314"/>
      <c r="N9" s="1315"/>
      <c r="O9" s="1316"/>
      <c r="P9" s="1317"/>
      <c r="Q9" s="1318"/>
      <c r="R9" s="1319"/>
      <c r="S9" s="1320"/>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8"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8"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8" thickBot="1">
      <c r="A14" s="990"/>
      <c r="B14" s="895"/>
      <c r="C14" s="899"/>
      <c r="D14" s="896"/>
      <c r="E14" s="896"/>
      <c r="F14" s="896"/>
      <c r="G14" s="896"/>
      <c r="H14" s="896"/>
      <c r="I14" s="896"/>
      <c r="J14" s="896"/>
      <c r="K14" s="896"/>
      <c r="L14" s="896"/>
      <c r="M14" s="1004"/>
      <c r="N14" s="1004"/>
      <c r="O14" s="896"/>
      <c r="P14" s="896"/>
      <c r="Q14" s="896"/>
      <c r="R14" s="896"/>
      <c r="S14" s="1005"/>
      <c r="T14" s="897"/>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8" thickBot="1">
      <c r="A16" s="990"/>
      <c r="B16" s="984"/>
      <c r="C16" s="985"/>
      <c r="D16" s="986"/>
      <c r="E16" s="986"/>
      <c r="F16" s="986"/>
      <c r="G16" s="986"/>
      <c r="H16" s="986"/>
      <c r="I16" s="986"/>
      <c r="J16" s="986"/>
      <c r="K16" s="986"/>
      <c r="L16" s="986"/>
      <c r="M16" s="987"/>
      <c r="N16" s="987"/>
      <c r="O16" s="986"/>
      <c r="P16" s="986"/>
      <c r="Q16" s="986"/>
      <c r="R16" s="986"/>
      <c r="S16" s="988"/>
      <c r="T16" s="989"/>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4" t="s">
        <v>2093</v>
      </c>
      <c r="B17" s="2145"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4"/>
      <c r="AS17" s="724"/>
    </row>
    <row r="18" spans="1:45" s="654" customFormat="1" ht="13.8"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4"/>
      <c r="AS18" s="724"/>
    </row>
    <row r="19" spans="1:45">
      <c r="A19" s="128"/>
      <c r="B19" s="158"/>
      <c r="C19" s="158"/>
      <c r="D19" s="2146" t="s">
        <v>2095</v>
      </c>
      <c r="E19" s="1336"/>
      <c r="F19" s="1336"/>
      <c r="G19" s="1336"/>
      <c r="H19" s="1055"/>
      <c r="I19" s="158"/>
      <c r="J19" s="158"/>
      <c r="K19" s="158"/>
      <c r="L19" s="158"/>
      <c r="M19" s="158"/>
      <c r="N19" s="158"/>
      <c r="O19" s="158"/>
      <c r="P19" s="158"/>
      <c r="Q19" s="158"/>
      <c r="R19" s="716"/>
      <c r="S19" s="128"/>
    </row>
    <row r="20" spans="1:45" ht="16.2" thickBot="1">
      <c r="A20" s="661" t="s">
        <v>2096</v>
      </c>
      <c r="B20" s="293" t="e">
        <f ca="1">IF(D20="——",S22,S22-F20)</f>
        <v>#REF!</v>
      </c>
      <c r="C20" s="158"/>
      <c r="D20" s="2147"/>
      <c r="E20" s="1337"/>
      <c r="F20" s="979" t="e">
        <f ca="1">SUMIF(INDIRECT("'"&amp;H20&amp;"'"&amp;"!A:A"),"承租人权益价值",INDIRECT("'"&amp;H20&amp;"'"&amp;"!c:c"))</f>
        <v>#REF!</v>
      </c>
      <c r="G20" s="979" t="s">
        <v>2097</v>
      </c>
      <c r="H20" s="2148"/>
      <c r="I20" s="158"/>
      <c r="J20" s="158"/>
      <c r="K20" s="158"/>
      <c r="L20" s="158"/>
      <c r="M20" s="158"/>
      <c r="N20" s="158"/>
      <c r="O20" s="158"/>
      <c r="P20" s="158"/>
      <c r="Q20" s="158"/>
      <c r="R20" s="716"/>
      <c r="S20" s="128"/>
    </row>
    <row r="21" spans="1:45" ht="15.6">
      <c r="A21" s="661" t="s">
        <v>2098</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0</v>
      </c>
      <c r="C22" s="3776" t="s">
        <v>27</v>
      </c>
      <c r="D22" s="3777"/>
      <c r="E22" s="3777"/>
      <c r="F22" s="3777"/>
      <c r="G22" s="3777"/>
      <c r="H22" s="3777"/>
      <c r="I22" s="3777"/>
      <c r="J22" s="3777"/>
      <c r="K22" s="3777"/>
      <c r="L22" s="3777"/>
      <c r="M22" s="3777"/>
      <c r="N22" s="3777"/>
      <c r="O22" s="3777"/>
      <c r="P22" s="3777"/>
      <c r="Q22" s="3778"/>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664" t="s">
        <v>2105</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3" customWidth="1"/>
    <col min="2" max="2" width="12.44140625" style="1473" customWidth="1"/>
    <col min="3" max="3" width="12.109375" style="1473" customWidth="1"/>
    <col min="4" max="4" width="14.109375" style="1473" customWidth="1"/>
    <col min="5" max="5" width="12.44140625" style="1473" customWidth="1"/>
    <col min="6" max="16384" width="9" style="1473"/>
  </cols>
  <sheetData>
    <row r="1" spans="1:16" ht="21.6">
      <c r="A1" s="1863" t="s">
        <v>2081</v>
      </c>
      <c r="B1" s="2143"/>
      <c r="C1" s="2143"/>
      <c r="D1" s="2143"/>
      <c r="E1" s="2143"/>
      <c r="F1" s="2789"/>
      <c r="G1" s="2789"/>
      <c r="H1" s="2789"/>
      <c r="I1" s="2789"/>
      <c r="J1" s="2789"/>
      <c r="K1" s="2789"/>
      <c r="L1" s="2789"/>
      <c r="M1" s="2789"/>
      <c r="N1" s="2789"/>
      <c r="O1" s="2789"/>
      <c r="P1" s="2789"/>
    </row>
    <row r="2" spans="1:16" ht="15.6">
      <c r="A2" s="2141" t="s">
        <v>2073</v>
      </c>
      <c r="B2" s="2598">
        <f ca="1">SUMIF(B6:B13,"&lt;&gt;#ref!",B6:B13)</f>
        <v>58218</v>
      </c>
      <c r="C2" s="2141" t="s">
        <v>2074</v>
      </c>
      <c r="D2" s="2141" t="s">
        <v>2075</v>
      </c>
      <c r="E2" s="2608">
        <f ca="1">SUMIF(E6:E13,"&lt;&gt;#ref!",E6:E13)</f>
        <v>62645.83</v>
      </c>
      <c r="F2" s="2789"/>
      <c r="G2" s="2789"/>
      <c r="H2" s="2789"/>
      <c r="I2" s="2789"/>
      <c r="J2" s="2789"/>
      <c r="K2" s="2789"/>
      <c r="L2" s="2789"/>
      <c r="M2" s="2789"/>
      <c r="N2" s="2789"/>
      <c r="O2" s="2789"/>
      <c r="P2" s="2789"/>
    </row>
    <row r="3" spans="1:16" ht="15.6">
      <c r="A3" s="2141" t="s">
        <v>2076</v>
      </c>
      <c r="B3" s="2598">
        <f ca="1">ROUND(B2*10000/E2,0)</f>
        <v>9293</v>
      </c>
      <c r="C3" s="2141" t="s">
        <v>2082</v>
      </c>
      <c r="D3" s="2789"/>
      <c r="E3" s="2789"/>
      <c r="F3" s="2789"/>
      <c r="G3" s="2789"/>
      <c r="H3" s="2789"/>
      <c r="I3" s="2789"/>
      <c r="J3" s="2789"/>
      <c r="K3" s="2789"/>
      <c r="L3" s="2789"/>
      <c r="M3" s="2789"/>
      <c r="N3" s="2789"/>
      <c r="O3" s="2789"/>
      <c r="P3" s="2789"/>
    </row>
    <row r="4" spans="1:16" ht="15.6">
      <c r="A4" s="2790"/>
      <c r="B4" s="2789"/>
      <c r="C4" s="2789"/>
      <c r="D4" s="2789"/>
      <c r="E4" s="2789"/>
      <c r="F4" s="2789"/>
      <c r="G4" s="2789"/>
      <c r="H4" s="2789"/>
      <c r="I4" s="2789"/>
      <c r="J4" s="2789"/>
      <c r="K4" s="2789"/>
      <c r="L4" s="2789"/>
      <c r="M4" s="2789"/>
      <c r="N4" s="2789"/>
      <c r="O4" s="2789"/>
      <c r="P4" s="2789"/>
    </row>
    <row r="5" spans="1:16" ht="31.2">
      <c r="A5" s="2604" t="s">
        <v>2077</v>
      </c>
      <c r="B5" s="2606" t="s">
        <v>2078</v>
      </c>
      <c r="C5" s="2142"/>
      <c r="D5" s="2789"/>
      <c r="E5" s="2607" t="s">
        <v>2079</v>
      </c>
      <c r="F5" s="2789"/>
      <c r="G5" s="2789"/>
      <c r="H5" s="2789"/>
      <c r="I5" s="2789"/>
      <c r="J5" s="2789"/>
      <c r="K5" s="2789"/>
      <c r="L5" s="2789"/>
      <c r="M5" s="2789"/>
      <c r="N5" s="2789"/>
      <c r="O5" s="2789"/>
      <c r="P5" s="2789"/>
    </row>
    <row r="6" spans="1:16" ht="15.6">
      <c r="A6" s="2605" t="s">
        <v>2080</v>
      </c>
      <c r="B6" s="2598">
        <f ca="1">SUMIF(INDIRECT("'"&amp;A6&amp;"'"&amp;"!A:A"),"总价",INDIRECT("'"&amp;A6&amp;"'"&amp;"!B:B"))</f>
        <v>58218</v>
      </c>
      <c r="C6" s="2141" t="s">
        <v>2074</v>
      </c>
      <c r="D6" s="2789"/>
      <c r="E6" s="2608">
        <f ca="1">SUMIF(INDIRECT("'"&amp;A6&amp;"'"&amp;"!C:C"),"建筑面积",INDIRECT("'"&amp;A6&amp;"'"&amp;"!D:D"))</f>
        <v>62645.83</v>
      </c>
      <c r="F6" s="2789"/>
      <c r="G6" s="2789"/>
      <c r="H6" s="2789"/>
      <c r="I6" s="2789"/>
      <c r="J6" s="2789"/>
      <c r="K6" s="2789"/>
      <c r="L6" s="2789"/>
      <c r="M6" s="2789"/>
      <c r="N6" s="2789"/>
      <c r="O6" s="2789"/>
      <c r="P6" s="2789"/>
    </row>
    <row r="7" spans="1:16" ht="15.6">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6">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6">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6">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6">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6">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6">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0" customWidth="1"/>
    <col min="14" max="14" width="10" style="3070" customWidth="1"/>
    <col min="15" max="16" width="8.21875" style="3070"/>
    <col min="17" max="17" width="34.109375" style="3070" customWidth="1"/>
    <col min="18" max="18" width="8.21875" style="3070" customWidth="1"/>
    <col min="19" max="19" width="8.21875" style="3070"/>
    <col min="20" max="20" width="11.6640625" style="3070" customWidth="1"/>
    <col min="21" max="16384" width="8.21875" style="3070"/>
  </cols>
  <sheetData>
    <row r="1" spans="1:13" ht="19.5" customHeight="1" thickBot="1">
      <c r="A1" s="3067" t="s">
        <v>2597</v>
      </c>
      <c r="B1" s="3068" t="s">
        <v>2598</v>
      </c>
      <c r="C1" s="3068" t="s">
        <v>2599</v>
      </c>
      <c r="D1" s="3068" t="s">
        <v>2600</v>
      </c>
      <c r="E1" s="3068" t="s">
        <v>2601</v>
      </c>
      <c r="F1" s="3068" t="s">
        <v>2602</v>
      </c>
      <c r="G1" s="3068" t="s">
        <v>2603</v>
      </c>
      <c r="H1" s="3068" t="s">
        <v>2604</v>
      </c>
      <c r="I1" s="3068" t="s">
        <v>2605</v>
      </c>
      <c r="J1" s="3068" t="s">
        <v>2606</v>
      </c>
      <c r="K1" s="3068" t="s">
        <v>2607</v>
      </c>
      <c r="L1" s="3068" t="s">
        <v>2608</v>
      </c>
      <c r="M1" s="3069" t="s">
        <v>2609</v>
      </c>
    </row>
    <row r="2" spans="1:13" ht="19.5" customHeight="1">
      <c r="A2" s="3071" t="s">
        <v>2610</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2611</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2612</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2613</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2614</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2615</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2616</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2617</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2618</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2619</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2620</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2621</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2622</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2623</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2624</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2625</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2626</v>
      </c>
      <c r="B18" s="3093"/>
      <c r="C18" s="3094"/>
      <c r="D18" s="3094"/>
      <c r="E18" s="3093"/>
      <c r="F18" s="3094"/>
      <c r="G18" s="3094"/>
    </row>
    <row r="19" spans="1:13" ht="19.5" customHeight="1" thickBot="1">
      <c r="A19" s="3091" t="s">
        <v>2627</v>
      </c>
      <c r="B19" s="3096" t="s">
        <v>2628</v>
      </c>
      <c r="C19" s="3096" t="s">
        <v>2629</v>
      </c>
      <c r="D19" s="3097"/>
      <c r="E19" s="3091" t="s">
        <v>2630</v>
      </c>
      <c r="F19" s="3098"/>
      <c r="G19" s="3098"/>
    </row>
    <row r="20" spans="1:13" ht="19.5" customHeight="1">
      <c r="A20" s="3789" t="s">
        <v>2610</v>
      </c>
      <c r="B20" s="3782" t="s">
        <v>2631</v>
      </c>
      <c r="C20" s="3099" t="s">
        <v>2442</v>
      </c>
      <c r="D20" s="3100"/>
      <c r="E20" s="3101">
        <v>1</v>
      </c>
      <c r="F20" s="3102" t="s">
        <v>2443</v>
      </c>
      <c r="G20" s="3102"/>
    </row>
    <row r="21" spans="1:13" ht="19.5" customHeight="1">
      <c r="A21" s="3790"/>
      <c r="B21" s="3783"/>
      <c r="C21" s="3103" t="s">
        <v>2444</v>
      </c>
      <c r="D21" s="3104"/>
      <c r="E21" s="3105">
        <v>1</v>
      </c>
      <c r="F21" s="3102" t="s">
        <v>2445</v>
      </c>
      <c r="G21" s="3102"/>
    </row>
    <row r="22" spans="1:13" ht="19.5" customHeight="1">
      <c r="A22" s="3790"/>
      <c r="B22" s="3783"/>
      <c r="C22" s="3103" t="s">
        <v>2446</v>
      </c>
      <c r="D22" s="3104"/>
      <c r="E22" s="3105">
        <v>0.9</v>
      </c>
      <c r="F22" s="3102" t="s">
        <v>2447</v>
      </c>
      <c r="G22" s="3102"/>
    </row>
    <row r="23" spans="1:13" ht="19.5" customHeight="1">
      <c r="A23" s="3790"/>
      <c r="B23" s="3783"/>
      <c r="C23" s="3103" t="s">
        <v>2448</v>
      </c>
      <c r="D23" s="3104"/>
      <c r="E23" s="3105">
        <v>0.9</v>
      </c>
      <c r="F23" s="3102" t="s">
        <v>2449</v>
      </c>
      <c r="G23" s="3102"/>
    </row>
    <row r="24" spans="1:13" ht="19.5" customHeight="1">
      <c r="A24" s="3790"/>
      <c r="B24" s="3783"/>
      <c r="C24" s="3103" t="s">
        <v>2450</v>
      </c>
      <c r="D24" s="3104"/>
      <c r="E24" s="3105">
        <v>0.8</v>
      </c>
      <c r="F24" s="3102" t="s">
        <v>2451</v>
      </c>
      <c r="G24" s="3102"/>
    </row>
    <row r="25" spans="1:13" ht="19.5" customHeight="1" thickBot="1">
      <c r="A25" s="3791"/>
      <c r="B25" s="3784"/>
      <c r="C25" s="3106" t="s">
        <v>2452</v>
      </c>
      <c r="D25" s="3107"/>
      <c r="E25" s="3108">
        <v>0.8</v>
      </c>
      <c r="F25" s="3102" t="s">
        <v>2453</v>
      </c>
      <c r="G25" s="3102"/>
    </row>
    <row r="26" spans="1:13" ht="19.5" customHeight="1" thickBot="1">
      <c r="A26" s="3109" t="s">
        <v>2632</v>
      </c>
      <c r="B26" s="3110" t="s">
        <v>2631</v>
      </c>
      <c r="C26" s="3111" t="s">
        <v>2633</v>
      </c>
      <c r="D26" s="3112"/>
      <c r="E26" s="3113">
        <v>1</v>
      </c>
      <c r="F26" s="3102" t="s">
        <v>2454</v>
      </c>
      <c r="G26" s="3102"/>
    </row>
    <row r="27" spans="1:13" ht="19.5" customHeight="1">
      <c r="A27" s="3785" t="s">
        <v>2634</v>
      </c>
      <c r="B27" s="3782" t="s">
        <v>2615</v>
      </c>
      <c r="C27" s="3099" t="s">
        <v>2455</v>
      </c>
      <c r="D27" s="3100"/>
      <c r="E27" s="3101">
        <v>1</v>
      </c>
      <c r="F27" s="3102" t="s">
        <v>2456</v>
      </c>
      <c r="G27" s="3102"/>
    </row>
    <row r="28" spans="1:13" ht="19.5" customHeight="1">
      <c r="A28" s="3786"/>
      <c r="B28" s="3783"/>
      <c r="C28" s="3103" t="s">
        <v>2457</v>
      </c>
      <c r="D28" s="3104"/>
      <c r="E28" s="3105">
        <v>1</v>
      </c>
      <c r="F28" s="3102" t="s">
        <v>2458</v>
      </c>
      <c r="G28" s="3102"/>
    </row>
    <row r="29" spans="1:13" ht="19.5" customHeight="1">
      <c r="A29" s="3786"/>
      <c r="B29" s="3783"/>
      <c r="C29" s="3103" t="s">
        <v>2459</v>
      </c>
      <c r="D29" s="3104"/>
      <c r="E29" s="3105">
        <v>0.8</v>
      </c>
      <c r="F29" s="3102" t="s">
        <v>2460</v>
      </c>
      <c r="G29" s="3102"/>
    </row>
    <row r="30" spans="1:13" ht="19.5" customHeight="1">
      <c r="A30" s="3786"/>
      <c r="B30" s="3783"/>
      <c r="C30" s="3103" t="s">
        <v>2461</v>
      </c>
      <c r="D30" s="3104"/>
      <c r="E30" s="3105">
        <v>0.8</v>
      </c>
      <c r="F30" s="3102" t="s">
        <v>2462</v>
      </c>
      <c r="G30" s="3102"/>
    </row>
    <row r="31" spans="1:13" ht="19.5" customHeight="1">
      <c r="A31" s="3786"/>
      <c r="B31" s="3783"/>
      <c r="C31" s="3103" t="s">
        <v>2463</v>
      </c>
      <c r="D31" s="3104"/>
      <c r="E31" s="3105">
        <v>0.8</v>
      </c>
      <c r="F31" s="3102" t="s">
        <v>2464</v>
      </c>
      <c r="G31" s="3102"/>
    </row>
    <row r="32" spans="1:13" ht="19.5" customHeight="1">
      <c r="A32" s="3786"/>
      <c r="B32" s="3783"/>
      <c r="C32" s="3103" t="s">
        <v>2465</v>
      </c>
      <c r="D32" s="3104"/>
      <c r="E32" s="3105">
        <v>0.7</v>
      </c>
      <c r="F32" s="3102" t="s">
        <v>2466</v>
      </c>
      <c r="G32" s="3102"/>
    </row>
    <row r="33" spans="1:7" ht="19.5" customHeight="1">
      <c r="A33" s="3786"/>
      <c r="B33" s="3783"/>
      <c r="C33" s="3103" t="s">
        <v>2467</v>
      </c>
      <c r="D33" s="3104"/>
      <c r="E33" s="3105">
        <v>0.8</v>
      </c>
      <c r="F33" s="3102" t="s">
        <v>2468</v>
      </c>
      <c r="G33" s="3102"/>
    </row>
    <row r="34" spans="1:7" ht="19.5" customHeight="1">
      <c r="A34" s="3786"/>
      <c r="B34" s="3783"/>
      <c r="C34" s="3103" t="s">
        <v>2469</v>
      </c>
      <c r="D34" s="3104"/>
      <c r="E34" s="3105">
        <v>0.6</v>
      </c>
      <c r="F34" s="3102" t="s">
        <v>2470</v>
      </c>
      <c r="G34" s="3102"/>
    </row>
    <row r="35" spans="1:7" ht="19.5" customHeight="1">
      <c r="A35" s="3786"/>
      <c r="B35" s="3783"/>
      <c r="C35" s="3103" t="s">
        <v>2471</v>
      </c>
      <c r="D35" s="3104"/>
      <c r="E35" s="3105">
        <v>0.2</v>
      </c>
      <c r="F35" s="3102" t="s">
        <v>2472</v>
      </c>
      <c r="G35" s="3102"/>
    </row>
    <row r="36" spans="1:7" ht="19.5" customHeight="1">
      <c r="A36" s="3786"/>
      <c r="B36" s="3783"/>
      <c r="C36" s="3103" t="s">
        <v>2473</v>
      </c>
      <c r="D36" s="3104"/>
      <c r="E36" s="3105">
        <v>0.2</v>
      </c>
      <c r="F36" s="3102" t="s">
        <v>2474</v>
      </c>
      <c r="G36" s="3102"/>
    </row>
    <row r="37" spans="1:7" ht="19.5" customHeight="1">
      <c r="A37" s="3786"/>
      <c r="B37" s="3788" t="s">
        <v>2635</v>
      </c>
      <c r="C37" s="3103" t="s">
        <v>2475</v>
      </c>
      <c r="D37" s="3104"/>
      <c r="E37" s="3105">
        <v>0.6</v>
      </c>
      <c r="F37" s="3102" t="s">
        <v>2476</v>
      </c>
      <c r="G37" s="3102"/>
    </row>
    <row r="38" spans="1:7" ht="19.5" customHeight="1">
      <c r="A38" s="3786"/>
      <c r="B38" s="3783"/>
      <c r="C38" s="3103" t="s">
        <v>2477</v>
      </c>
      <c r="D38" s="3104"/>
      <c r="E38" s="3105">
        <v>0.6</v>
      </c>
      <c r="F38" s="3102" t="s">
        <v>2478</v>
      </c>
      <c r="G38" s="3102"/>
    </row>
    <row r="39" spans="1:7" ht="19.5" customHeight="1" thickBot="1">
      <c r="A39" s="3787"/>
      <c r="B39" s="3784"/>
      <c r="C39" s="3106" t="s">
        <v>2479</v>
      </c>
      <c r="D39" s="3107"/>
      <c r="E39" s="3108">
        <v>0.6</v>
      </c>
      <c r="F39" s="3102" t="s">
        <v>2480</v>
      </c>
      <c r="G39" s="3102"/>
    </row>
    <row r="40" spans="1:7" ht="19.5" customHeight="1" thickBot="1">
      <c r="A40" s="3109" t="s">
        <v>2612</v>
      </c>
      <c r="B40" s="3110" t="s">
        <v>2612</v>
      </c>
      <c r="C40" s="3111" t="s">
        <v>2636</v>
      </c>
      <c r="D40" s="3112"/>
      <c r="E40" s="3113">
        <v>1</v>
      </c>
      <c r="F40" s="3102" t="s">
        <v>2481</v>
      </c>
      <c r="G40" s="3102"/>
    </row>
    <row r="41" spans="1:7" ht="19.5" customHeight="1">
      <c r="A41" s="3789" t="s">
        <v>2613</v>
      </c>
      <c r="B41" s="3782" t="s">
        <v>2637</v>
      </c>
      <c r="C41" s="3099" t="s">
        <v>2482</v>
      </c>
      <c r="D41" s="3100"/>
      <c r="E41" s="3101">
        <v>1</v>
      </c>
      <c r="F41" s="3102" t="s">
        <v>2483</v>
      </c>
      <c r="G41" s="3102"/>
    </row>
    <row r="42" spans="1:7" ht="19.5" customHeight="1">
      <c r="A42" s="3790"/>
      <c r="B42" s="3783"/>
      <c r="C42" s="3103" t="s">
        <v>2484</v>
      </c>
      <c r="D42" s="3104"/>
      <c r="E42" s="3105">
        <v>1</v>
      </c>
      <c r="F42" s="3102" t="s">
        <v>2485</v>
      </c>
      <c r="G42" s="3102"/>
    </row>
    <row r="43" spans="1:7" ht="19.5" customHeight="1">
      <c r="A43" s="3790"/>
      <c r="B43" s="3792"/>
      <c r="C43" s="3103" t="s">
        <v>2486</v>
      </c>
      <c r="D43" s="3104"/>
      <c r="E43" s="3105">
        <v>1.5</v>
      </c>
      <c r="F43" s="3102" t="s">
        <v>2487</v>
      </c>
      <c r="G43" s="3102"/>
    </row>
    <row r="44" spans="1:7" ht="19.5" customHeight="1">
      <c r="A44" s="3790"/>
      <c r="B44" s="3114" t="s">
        <v>2638</v>
      </c>
      <c r="C44" s="3103" t="s">
        <v>2639</v>
      </c>
      <c r="D44" s="3104"/>
      <c r="E44" s="3105">
        <v>2</v>
      </c>
      <c r="F44" s="3102" t="s">
        <v>2488</v>
      </c>
      <c r="G44" s="3102"/>
    </row>
    <row r="45" spans="1:7" ht="19.5" customHeight="1">
      <c r="A45" s="3790"/>
      <c r="B45" s="3788" t="s">
        <v>2640</v>
      </c>
      <c r="C45" s="3103" t="s">
        <v>2489</v>
      </c>
      <c r="D45" s="3104"/>
      <c r="E45" s="3105">
        <v>1</v>
      </c>
      <c r="F45" s="3102" t="s">
        <v>2490</v>
      </c>
      <c r="G45" s="3102"/>
    </row>
    <row r="46" spans="1:7" ht="19.5" customHeight="1">
      <c r="A46" s="3790"/>
      <c r="B46" s="3783"/>
      <c r="C46" s="3103" t="s">
        <v>2491</v>
      </c>
      <c r="D46" s="3104"/>
      <c r="E46" s="3105">
        <v>1</v>
      </c>
      <c r="F46" s="3102" t="s">
        <v>2492</v>
      </c>
      <c r="G46" s="3102"/>
    </row>
    <row r="47" spans="1:7" ht="19.5" customHeight="1">
      <c r="A47" s="3790"/>
      <c r="B47" s="3783"/>
      <c r="C47" s="3103" t="s">
        <v>2493</v>
      </c>
      <c r="D47" s="3104"/>
      <c r="E47" s="3105">
        <v>1</v>
      </c>
      <c r="F47" s="3102" t="s">
        <v>2494</v>
      </c>
      <c r="G47" s="3102"/>
    </row>
    <row r="48" spans="1:7" ht="19.5" customHeight="1">
      <c r="A48" s="3790"/>
      <c r="B48" s="3783"/>
      <c r="C48" s="3103" t="s">
        <v>2495</v>
      </c>
      <c r="D48" s="3104"/>
      <c r="E48" s="3105">
        <v>1</v>
      </c>
      <c r="F48" s="3102" t="s">
        <v>2496</v>
      </c>
      <c r="G48" s="3102"/>
    </row>
    <row r="49" spans="1:7" ht="19.5" customHeight="1">
      <c r="A49" s="3790"/>
      <c r="B49" s="3783"/>
      <c r="C49" s="3103" t="s">
        <v>2497</v>
      </c>
      <c r="D49" s="3104"/>
      <c r="E49" s="3105">
        <v>1</v>
      </c>
      <c r="F49" s="3102" t="s">
        <v>2498</v>
      </c>
      <c r="G49" s="3102"/>
    </row>
    <row r="50" spans="1:7" ht="19.5" customHeight="1">
      <c r="A50" s="3790"/>
      <c r="B50" s="3783"/>
      <c r="C50" s="3103" t="s">
        <v>2499</v>
      </c>
      <c r="D50" s="3104"/>
      <c r="E50" s="3105">
        <v>1</v>
      </c>
      <c r="F50" s="3102" t="s">
        <v>2500</v>
      </c>
      <c r="G50" s="3102"/>
    </row>
    <row r="51" spans="1:7" ht="19.5" customHeight="1" thickBot="1">
      <c r="A51" s="3791"/>
      <c r="B51" s="3784"/>
      <c r="C51" s="3106" t="s">
        <v>2501</v>
      </c>
      <c r="D51" s="3107"/>
      <c r="E51" s="3108">
        <v>1</v>
      </c>
      <c r="F51" s="3102" t="s">
        <v>2502</v>
      </c>
      <c r="G51" s="3102"/>
    </row>
    <row r="52" spans="1:7" ht="19.5" customHeight="1">
      <c r="A52" s="3115"/>
      <c r="B52" s="3115"/>
      <c r="C52" s="3115"/>
      <c r="D52" s="3115"/>
      <c r="E52" s="3115"/>
      <c r="F52" s="3115"/>
      <c r="G52" s="3115"/>
    </row>
    <row r="54" spans="1:7" ht="19.5" customHeight="1">
      <c r="A54" s="3116"/>
      <c r="B54" s="3088" t="s">
        <v>2641</v>
      </c>
      <c r="C54" s="3088" t="s">
        <v>2641</v>
      </c>
      <c r="D54" s="3088" t="s">
        <v>2641</v>
      </c>
      <c r="E54" s="3091" t="s">
        <v>2641</v>
      </c>
      <c r="F54" s="3091" t="s">
        <v>2642</v>
      </c>
      <c r="G54" s="3091" t="s">
        <v>2643</v>
      </c>
    </row>
    <row r="55" spans="1:7" ht="19.5" customHeight="1">
      <c r="A55" s="3117"/>
      <c r="B55" s="3091" t="s">
        <v>2610</v>
      </c>
      <c r="C55" s="3091" t="s">
        <v>2610</v>
      </c>
      <c r="D55" s="3091" t="s">
        <v>2610</v>
      </c>
      <c r="E55" s="3088" t="s">
        <v>2611</v>
      </c>
      <c r="F55" s="3088" t="s">
        <v>2613</v>
      </c>
      <c r="G55" s="3088" t="s">
        <v>2644</v>
      </c>
    </row>
    <row r="56" spans="1:7" ht="19.5" customHeight="1">
      <c r="A56" s="3118"/>
      <c r="B56" s="3088">
        <v>1</v>
      </c>
      <c r="C56" s="3088">
        <v>2</v>
      </c>
      <c r="D56" s="3088">
        <v>3</v>
      </c>
      <c r="E56" s="3119" t="s">
        <v>2645</v>
      </c>
      <c r="F56" s="3119" t="s">
        <v>2645</v>
      </c>
      <c r="G56" s="3119" t="s">
        <v>2645</v>
      </c>
    </row>
    <row r="57" spans="1:7" ht="19.5" customHeight="1">
      <c r="A57" s="3120" t="s">
        <v>2598</v>
      </c>
      <c r="B57" s="3088">
        <v>0.7</v>
      </c>
      <c r="C57" s="3088">
        <v>0.4</v>
      </c>
      <c r="D57" s="3088">
        <v>0.3</v>
      </c>
      <c r="E57" s="3119">
        <v>0.3</v>
      </c>
      <c r="F57" s="3088">
        <v>0.3</v>
      </c>
      <c r="G57" s="3088">
        <v>0.2</v>
      </c>
    </row>
    <row r="58" spans="1:7" ht="19.5" customHeight="1">
      <c r="A58" s="3120" t="s">
        <v>2599</v>
      </c>
      <c r="B58" s="3088">
        <v>0.7</v>
      </c>
      <c r="C58" s="3088">
        <v>0.4</v>
      </c>
      <c r="D58" s="3088">
        <v>0.3</v>
      </c>
      <c r="E58" s="3088">
        <v>0.3</v>
      </c>
      <c r="F58" s="3088">
        <v>0.3</v>
      </c>
      <c r="G58" s="3088">
        <v>0.2</v>
      </c>
    </row>
    <row r="59" spans="1:7" ht="19.5" customHeight="1">
      <c r="A59" s="3120" t="s">
        <v>2600</v>
      </c>
      <c r="B59" s="3088">
        <v>0.6</v>
      </c>
      <c r="C59" s="3088">
        <v>0.3</v>
      </c>
      <c r="D59" s="3088">
        <v>0.25</v>
      </c>
      <c r="E59" s="3088">
        <v>0.25</v>
      </c>
      <c r="F59" s="3088">
        <v>0.25</v>
      </c>
      <c r="G59" s="3088">
        <v>0.15</v>
      </c>
    </row>
    <row r="60" spans="1:7" ht="19.5" customHeight="1">
      <c r="A60" s="3120" t="s">
        <v>2601</v>
      </c>
      <c r="B60" s="3088">
        <v>0.6</v>
      </c>
      <c r="C60" s="3088">
        <v>0.3</v>
      </c>
      <c r="D60" s="3088">
        <v>0.25</v>
      </c>
      <c r="E60" s="3088">
        <v>0.25</v>
      </c>
      <c r="F60" s="3088">
        <v>0.25</v>
      </c>
      <c r="G60" s="3088">
        <v>0.15</v>
      </c>
    </row>
    <row r="61" spans="1:7" ht="19.5" customHeight="1">
      <c r="A61" s="3120" t="s">
        <v>2602</v>
      </c>
      <c r="B61" s="3088">
        <v>0.6</v>
      </c>
      <c r="C61" s="3088">
        <v>0.3</v>
      </c>
      <c r="D61" s="3088">
        <v>0.25</v>
      </c>
      <c r="E61" s="3088">
        <v>0.25</v>
      </c>
      <c r="F61" s="3088">
        <v>0.25</v>
      </c>
      <c r="G61" s="3088">
        <v>0.15</v>
      </c>
    </row>
    <row r="62" spans="1:7" ht="19.5" customHeight="1">
      <c r="A62" s="3120" t="s">
        <v>2603</v>
      </c>
      <c r="B62" s="3088">
        <v>0.6</v>
      </c>
      <c r="C62" s="3088">
        <v>0.3</v>
      </c>
      <c r="D62" s="3088">
        <v>0.25</v>
      </c>
      <c r="E62" s="3088">
        <v>0.25</v>
      </c>
      <c r="F62" s="3088">
        <v>0.25</v>
      </c>
      <c r="G62" s="3088">
        <v>0.15</v>
      </c>
    </row>
    <row r="63" spans="1:7" ht="19.5" customHeight="1">
      <c r="A63" s="3120" t="s">
        <v>2604</v>
      </c>
      <c r="B63" s="3088">
        <v>0.6</v>
      </c>
      <c r="C63" s="3088">
        <v>0.3</v>
      </c>
      <c r="D63" s="3088">
        <v>0.25</v>
      </c>
      <c r="E63" s="3088">
        <v>0.25</v>
      </c>
      <c r="F63" s="3088">
        <v>0.25</v>
      </c>
      <c r="G63" s="3088">
        <v>0.15</v>
      </c>
    </row>
    <row r="64" spans="1:7" ht="19.5" customHeight="1">
      <c r="A64" s="3120" t="s">
        <v>2605</v>
      </c>
      <c r="B64" s="3088">
        <v>0.5</v>
      </c>
      <c r="C64" s="3088">
        <v>0.2</v>
      </c>
      <c r="D64" s="3088">
        <v>0.2</v>
      </c>
      <c r="E64" s="3088">
        <v>0.2</v>
      </c>
      <c r="F64" s="3088">
        <v>0.2</v>
      </c>
      <c r="G64" s="3088">
        <v>0.1</v>
      </c>
    </row>
    <row r="65" spans="1:7" ht="19.5" customHeight="1">
      <c r="A65" s="3120" t="s">
        <v>2606</v>
      </c>
      <c r="B65" s="3088">
        <v>0.5</v>
      </c>
      <c r="C65" s="3088">
        <v>0.2</v>
      </c>
      <c r="D65" s="3088">
        <v>0.2</v>
      </c>
      <c r="E65" s="3088">
        <v>0.2</v>
      </c>
      <c r="F65" s="3088">
        <v>0.2</v>
      </c>
      <c r="G65" s="3088">
        <v>0.1</v>
      </c>
    </row>
    <row r="66" spans="1:7" ht="19.5" customHeight="1">
      <c r="A66" s="3120" t="s">
        <v>2607</v>
      </c>
      <c r="B66" s="3088">
        <v>0.5</v>
      </c>
      <c r="C66" s="3088">
        <v>0.2</v>
      </c>
      <c r="D66" s="3088">
        <v>0.2</v>
      </c>
      <c r="E66" s="3088">
        <v>0.2</v>
      </c>
      <c r="F66" s="3088">
        <v>0.2</v>
      </c>
      <c r="G66" s="3088">
        <v>0.1</v>
      </c>
    </row>
    <row r="67" spans="1:7" ht="19.5" customHeight="1">
      <c r="A67" s="3120" t="s">
        <v>2608</v>
      </c>
      <c r="B67" s="3088">
        <v>0.5</v>
      </c>
      <c r="C67" s="3088">
        <v>0.2</v>
      </c>
      <c r="D67" s="3088">
        <v>0.2</v>
      </c>
      <c r="E67" s="3088">
        <v>0.2</v>
      </c>
      <c r="F67" s="3088">
        <v>0.2</v>
      </c>
      <c r="G67" s="3088">
        <v>0.1</v>
      </c>
    </row>
    <row r="68" spans="1:7" ht="19.5" customHeight="1">
      <c r="A68" s="3120" t="s">
        <v>2609</v>
      </c>
      <c r="B68" s="3088">
        <v>0.5</v>
      </c>
      <c r="C68" s="3088">
        <v>0.2</v>
      </c>
      <c r="D68" s="3088">
        <v>0.2</v>
      </c>
      <c r="E68" s="3088">
        <v>0.2</v>
      </c>
      <c r="F68" s="3088">
        <v>0.2</v>
      </c>
      <c r="G68" s="3088">
        <v>0.1</v>
      </c>
    </row>
    <row r="70" spans="1:7" ht="19.5" customHeight="1">
      <c r="A70" s="3121"/>
      <c r="B70" s="3122"/>
      <c r="C70" s="3122"/>
      <c r="D70" s="3122" t="s">
        <v>2646</v>
      </c>
      <c r="E70" s="3122"/>
      <c r="F70" s="3122"/>
    </row>
    <row r="71" spans="1:7" ht="19.5" customHeight="1">
      <c r="A71" s="3114" t="s">
        <v>2647</v>
      </c>
      <c r="B71" s="3114" t="s">
        <v>2648</v>
      </c>
      <c r="C71" s="3114" t="s">
        <v>2649</v>
      </c>
      <c r="D71" s="3114" t="s">
        <v>2650</v>
      </c>
      <c r="E71" s="3114" t="s">
        <v>2651</v>
      </c>
      <c r="F71" s="3114" t="s">
        <v>2652</v>
      </c>
    </row>
    <row r="72" spans="1:7" ht="14.4">
      <c r="A72" s="3114"/>
      <c r="B72" s="3114"/>
      <c r="C72" s="3114" t="s">
        <v>2653</v>
      </c>
      <c r="D72" s="3114"/>
      <c r="E72" s="3114" t="s">
        <v>2624</v>
      </c>
      <c r="F72" s="3114" t="s">
        <v>2624</v>
      </c>
    </row>
    <row r="73" spans="1:7" ht="14.4">
      <c r="A73" s="3114">
        <v>1</v>
      </c>
      <c r="B73" s="3788" t="s">
        <v>2654</v>
      </c>
      <c r="C73" s="3088" t="s">
        <v>2655</v>
      </c>
      <c r="D73" s="3088" t="s">
        <v>2656</v>
      </c>
      <c r="E73" s="3114">
        <v>0.2</v>
      </c>
      <c r="F73" s="3114">
        <v>25</v>
      </c>
    </row>
    <row r="74" spans="1:7" ht="24">
      <c r="A74" s="3114">
        <v>2</v>
      </c>
      <c r="B74" s="3783"/>
      <c r="C74" s="3088" t="s">
        <v>2657</v>
      </c>
      <c r="D74" s="3088" t="s">
        <v>2658</v>
      </c>
      <c r="E74" s="3114">
        <v>0.2</v>
      </c>
      <c r="F74" s="3114">
        <v>25</v>
      </c>
    </row>
    <row r="75" spans="1:7" ht="24">
      <c r="A75" s="3114">
        <v>3</v>
      </c>
      <c r="B75" s="3783"/>
      <c r="C75" s="3088" t="s">
        <v>2659</v>
      </c>
      <c r="D75" s="3088" t="s">
        <v>2660</v>
      </c>
      <c r="E75" s="3114">
        <v>0.2</v>
      </c>
      <c r="F75" s="3114">
        <v>25</v>
      </c>
    </row>
    <row r="76" spans="1:7" ht="14.4">
      <c r="A76" s="3114">
        <v>4</v>
      </c>
      <c r="B76" s="3783"/>
      <c r="C76" s="3088" t="s">
        <v>2661</v>
      </c>
      <c r="D76" s="3088" t="s">
        <v>2662</v>
      </c>
      <c r="E76" s="3114">
        <v>0.15</v>
      </c>
      <c r="F76" s="3114">
        <v>20</v>
      </c>
    </row>
    <row r="77" spans="1:7" ht="24">
      <c r="A77" s="3114">
        <v>5</v>
      </c>
      <c r="B77" s="3783"/>
      <c r="C77" s="3088" t="s">
        <v>2663</v>
      </c>
      <c r="D77" s="3088" t="s">
        <v>2664</v>
      </c>
      <c r="E77" s="3114">
        <v>0.15</v>
      </c>
      <c r="F77" s="3114">
        <v>20</v>
      </c>
    </row>
    <row r="78" spans="1:7" ht="24">
      <c r="A78" s="3114">
        <v>6</v>
      </c>
      <c r="B78" s="3783"/>
      <c r="C78" s="3088" t="s">
        <v>2665</v>
      </c>
      <c r="D78" s="3088" t="s">
        <v>2666</v>
      </c>
      <c r="E78" s="3114">
        <v>0.15</v>
      </c>
      <c r="F78" s="3114">
        <v>20</v>
      </c>
    </row>
    <row r="79" spans="1:7" ht="24">
      <c r="A79" s="3114">
        <v>7</v>
      </c>
      <c r="B79" s="3783"/>
      <c r="C79" s="3088" t="s">
        <v>2667</v>
      </c>
      <c r="D79" s="3088" t="s">
        <v>2668</v>
      </c>
      <c r="E79" s="3114">
        <v>0.15</v>
      </c>
      <c r="F79" s="3114">
        <v>20</v>
      </c>
    </row>
    <row r="80" spans="1:7" ht="24">
      <c r="A80" s="3114">
        <v>8</v>
      </c>
      <c r="B80" s="3783"/>
      <c r="C80" s="3088" t="s">
        <v>2669</v>
      </c>
      <c r="D80" s="3088" t="s">
        <v>2670</v>
      </c>
      <c r="E80" s="3114">
        <v>0.1</v>
      </c>
      <c r="F80" s="3114">
        <v>15</v>
      </c>
    </row>
    <row r="81" spans="1:6" ht="24">
      <c r="A81" s="3114">
        <v>9</v>
      </c>
      <c r="B81" s="3783"/>
      <c r="C81" s="3088" t="s">
        <v>2671</v>
      </c>
      <c r="D81" s="3088" t="s">
        <v>2672</v>
      </c>
      <c r="E81" s="3114">
        <v>0.1</v>
      </c>
      <c r="F81" s="3114">
        <v>15</v>
      </c>
    </row>
    <row r="82" spans="1:6" ht="24">
      <c r="A82" s="3114">
        <v>10</v>
      </c>
      <c r="B82" s="3783"/>
      <c r="C82" s="3088" t="s">
        <v>2673</v>
      </c>
      <c r="D82" s="3088" t="s">
        <v>2674</v>
      </c>
      <c r="E82" s="3114">
        <v>0.1</v>
      </c>
      <c r="F82" s="3114">
        <v>15</v>
      </c>
    </row>
    <row r="83" spans="1:6" ht="24">
      <c r="A83" s="3114">
        <v>11</v>
      </c>
      <c r="B83" s="3783"/>
      <c r="C83" s="3088" t="s">
        <v>2675</v>
      </c>
      <c r="D83" s="3088" t="s">
        <v>2676</v>
      </c>
      <c r="E83" s="3114">
        <v>0.1</v>
      </c>
      <c r="F83" s="3114">
        <v>15</v>
      </c>
    </row>
    <row r="84" spans="1:6" ht="24">
      <c r="A84" s="3114">
        <v>12</v>
      </c>
      <c r="B84" s="3783"/>
      <c r="C84" s="3088" t="s">
        <v>2677</v>
      </c>
      <c r="D84" s="3088" t="s">
        <v>2678</v>
      </c>
      <c r="E84" s="3114">
        <v>0.1</v>
      </c>
      <c r="F84" s="3114">
        <v>15</v>
      </c>
    </row>
    <row r="85" spans="1:6" ht="24">
      <c r="A85" s="3114">
        <v>13</v>
      </c>
      <c r="B85" s="3783"/>
      <c r="C85" s="3088" t="s">
        <v>2679</v>
      </c>
      <c r="D85" s="3088" t="s">
        <v>2680</v>
      </c>
      <c r="E85" s="3114">
        <v>0.1</v>
      </c>
      <c r="F85" s="3114">
        <v>15</v>
      </c>
    </row>
    <row r="86" spans="1:6" ht="24">
      <c r="A86" s="3114">
        <v>14</v>
      </c>
      <c r="B86" s="3783"/>
      <c r="C86" s="3088" t="s">
        <v>2681</v>
      </c>
      <c r="D86" s="3088" t="s">
        <v>2682</v>
      </c>
      <c r="E86" s="3114">
        <v>0.1</v>
      </c>
      <c r="F86" s="3114">
        <v>15</v>
      </c>
    </row>
    <row r="87" spans="1:6" ht="24">
      <c r="A87" s="3114">
        <v>15</v>
      </c>
      <c r="B87" s="3783"/>
      <c r="C87" s="3088" t="s">
        <v>2683</v>
      </c>
      <c r="D87" s="3088" t="s">
        <v>2684</v>
      </c>
      <c r="E87" s="3114">
        <v>0.1</v>
      </c>
      <c r="F87" s="3114">
        <v>15</v>
      </c>
    </row>
    <row r="88" spans="1:6" ht="24">
      <c r="A88" s="3114">
        <v>16</v>
      </c>
      <c r="B88" s="3783"/>
      <c r="C88" s="3088" t="s">
        <v>2685</v>
      </c>
      <c r="D88" s="3088" t="s">
        <v>2686</v>
      </c>
      <c r="E88" s="3114">
        <v>0.1</v>
      </c>
      <c r="F88" s="3114">
        <v>15</v>
      </c>
    </row>
    <row r="89" spans="1:6" ht="24">
      <c r="A89" s="3114">
        <v>17</v>
      </c>
      <c r="B89" s="3792"/>
      <c r="C89" s="3088" t="s">
        <v>2687</v>
      </c>
      <c r="D89" s="3088" t="s">
        <v>2688</v>
      </c>
      <c r="E89" s="3114">
        <v>0.1</v>
      </c>
      <c r="F89" s="3114">
        <v>15</v>
      </c>
    </row>
    <row r="90" spans="1:6" ht="14.4">
      <c r="A90" s="3114">
        <v>18</v>
      </c>
      <c r="B90" s="3788" t="s">
        <v>2689</v>
      </c>
      <c r="C90" s="3088" t="s">
        <v>2690</v>
      </c>
      <c r="D90" s="3088" t="s">
        <v>2691</v>
      </c>
      <c r="E90" s="3114">
        <v>0.2</v>
      </c>
      <c r="F90" s="3114">
        <v>25</v>
      </c>
    </row>
    <row r="91" spans="1:6" ht="24">
      <c r="A91" s="3114">
        <v>19</v>
      </c>
      <c r="B91" s="3783"/>
      <c r="C91" s="3088" t="s">
        <v>2692</v>
      </c>
      <c r="D91" s="3088" t="s">
        <v>2693</v>
      </c>
      <c r="E91" s="3114">
        <v>0.2</v>
      </c>
      <c r="F91" s="3114">
        <v>25</v>
      </c>
    </row>
    <row r="92" spans="1:6" ht="14.4">
      <c r="A92" s="3114">
        <v>20</v>
      </c>
      <c r="B92" s="3783"/>
      <c r="C92" s="3088" t="s">
        <v>2694</v>
      </c>
      <c r="D92" s="3088" t="s">
        <v>2695</v>
      </c>
      <c r="E92" s="3114">
        <v>0.15</v>
      </c>
      <c r="F92" s="3114">
        <v>20</v>
      </c>
    </row>
    <row r="93" spans="1:6" ht="24">
      <c r="A93" s="3114">
        <v>21</v>
      </c>
      <c r="B93" s="3783"/>
      <c r="C93" s="3088" t="s">
        <v>2696</v>
      </c>
      <c r="D93" s="3088" t="s">
        <v>2697</v>
      </c>
      <c r="E93" s="3114">
        <v>0.15</v>
      </c>
      <c r="F93" s="3114">
        <v>20</v>
      </c>
    </row>
    <row r="94" spans="1:6" ht="24">
      <c r="A94" s="3114">
        <v>22</v>
      </c>
      <c r="B94" s="3783"/>
      <c r="C94" s="3088" t="s">
        <v>2698</v>
      </c>
      <c r="D94" s="3088" t="s">
        <v>2699</v>
      </c>
      <c r="E94" s="3114">
        <v>0.15</v>
      </c>
      <c r="F94" s="3114">
        <v>20</v>
      </c>
    </row>
    <row r="95" spans="1:6" ht="36">
      <c r="A95" s="3114">
        <v>23</v>
      </c>
      <c r="B95" s="3783"/>
      <c r="C95" s="3088" t="s">
        <v>2700</v>
      </c>
      <c r="D95" s="3088" t="s">
        <v>2701</v>
      </c>
      <c r="E95" s="3114">
        <v>0.15</v>
      </c>
      <c r="F95" s="3114">
        <v>20</v>
      </c>
    </row>
    <row r="96" spans="1:6" ht="24">
      <c r="A96" s="3114">
        <v>24</v>
      </c>
      <c r="B96" s="3783"/>
      <c r="C96" s="3088" t="s">
        <v>2702</v>
      </c>
      <c r="D96" s="3088" t="s">
        <v>2703</v>
      </c>
      <c r="E96" s="3114">
        <v>0.1</v>
      </c>
      <c r="F96" s="3114">
        <v>15</v>
      </c>
    </row>
    <row r="97" spans="1:6" ht="24">
      <c r="A97" s="3114">
        <v>25</v>
      </c>
      <c r="B97" s="3783"/>
      <c r="C97" s="3088" t="s">
        <v>2704</v>
      </c>
      <c r="D97" s="3088" t="s">
        <v>2705</v>
      </c>
      <c r="E97" s="3114">
        <v>0.1</v>
      </c>
      <c r="F97" s="3114">
        <v>15</v>
      </c>
    </row>
    <row r="98" spans="1:6" ht="24">
      <c r="A98" s="3114">
        <v>26</v>
      </c>
      <c r="B98" s="3783"/>
      <c r="C98" s="3088" t="s">
        <v>2706</v>
      </c>
      <c r="D98" s="3088" t="s">
        <v>2707</v>
      </c>
      <c r="E98" s="3114">
        <v>0.1</v>
      </c>
      <c r="F98" s="3114">
        <v>15</v>
      </c>
    </row>
    <row r="99" spans="1:6" ht="24">
      <c r="A99" s="3114">
        <v>27</v>
      </c>
      <c r="B99" s="3783"/>
      <c r="C99" s="3088" t="s">
        <v>2708</v>
      </c>
      <c r="D99" s="3088" t="s">
        <v>2709</v>
      </c>
      <c r="E99" s="3114">
        <v>0.1</v>
      </c>
      <c r="F99" s="3114">
        <v>15</v>
      </c>
    </row>
    <row r="100" spans="1:6" ht="24">
      <c r="A100" s="3114">
        <v>28</v>
      </c>
      <c r="B100" s="3783"/>
      <c r="C100" s="3088" t="s">
        <v>2710</v>
      </c>
      <c r="D100" s="3088" t="s">
        <v>2711</v>
      </c>
      <c r="E100" s="3114">
        <v>0.1</v>
      </c>
      <c r="F100" s="3114">
        <v>15</v>
      </c>
    </row>
    <row r="101" spans="1:6" ht="24">
      <c r="A101" s="3114">
        <v>29</v>
      </c>
      <c r="B101" s="3783"/>
      <c r="C101" s="3088" t="s">
        <v>2712</v>
      </c>
      <c r="D101" s="3088" t="s">
        <v>2713</v>
      </c>
      <c r="E101" s="3114">
        <v>0.1</v>
      </c>
      <c r="F101" s="3114">
        <v>15</v>
      </c>
    </row>
    <row r="102" spans="1:6" ht="24">
      <c r="A102" s="3114">
        <v>30</v>
      </c>
      <c r="B102" s="3783"/>
      <c r="C102" s="3088" t="s">
        <v>2714</v>
      </c>
      <c r="D102" s="3088" t="s">
        <v>2715</v>
      </c>
      <c r="E102" s="3114">
        <v>0.1</v>
      </c>
      <c r="F102" s="3114">
        <v>15</v>
      </c>
    </row>
    <row r="103" spans="1:6" ht="24">
      <c r="A103" s="3114">
        <v>31</v>
      </c>
      <c r="B103" s="3783"/>
      <c r="C103" s="3088" t="s">
        <v>2716</v>
      </c>
      <c r="D103" s="3088" t="s">
        <v>2717</v>
      </c>
      <c r="E103" s="3114">
        <v>0.1</v>
      </c>
      <c r="F103" s="3114">
        <v>15</v>
      </c>
    </row>
    <row r="104" spans="1:6" ht="24">
      <c r="A104" s="3114">
        <v>32</v>
      </c>
      <c r="B104" s="3783"/>
      <c r="C104" s="3088" t="s">
        <v>2718</v>
      </c>
      <c r="D104" s="3088" t="s">
        <v>2719</v>
      </c>
      <c r="E104" s="3114">
        <v>0.1</v>
      </c>
      <c r="F104" s="3114">
        <v>15</v>
      </c>
    </row>
    <row r="105" spans="1:6" ht="24">
      <c r="A105" s="3114">
        <v>33</v>
      </c>
      <c r="B105" s="3783"/>
      <c r="C105" s="3088" t="s">
        <v>2720</v>
      </c>
      <c r="D105" s="3088" t="s">
        <v>2721</v>
      </c>
      <c r="E105" s="3114">
        <v>0.1</v>
      </c>
      <c r="F105" s="3114">
        <v>15</v>
      </c>
    </row>
    <row r="106" spans="1:6" ht="24">
      <c r="A106" s="3114">
        <v>34</v>
      </c>
      <c r="B106" s="3792"/>
      <c r="C106" s="3088" t="s">
        <v>2722</v>
      </c>
      <c r="D106" s="3088" t="s">
        <v>2723</v>
      </c>
      <c r="E106" s="3114">
        <v>0.1</v>
      </c>
      <c r="F106" s="3114">
        <v>15</v>
      </c>
    </row>
    <row r="107" spans="1:6" ht="36">
      <c r="A107" s="3114">
        <v>35</v>
      </c>
      <c r="B107" s="3788" t="s">
        <v>2724</v>
      </c>
      <c r="C107" s="3114" t="s">
        <v>2725</v>
      </c>
      <c r="D107" s="3088" t="s">
        <v>2726</v>
      </c>
      <c r="E107" s="3114">
        <v>0.15</v>
      </c>
      <c r="F107" s="3114">
        <v>20</v>
      </c>
    </row>
    <row r="108" spans="1:6" ht="24">
      <c r="A108" s="3114">
        <v>36</v>
      </c>
      <c r="B108" s="3783"/>
      <c r="C108" s="3114" t="s">
        <v>2727</v>
      </c>
      <c r="D108" s="3088" t="s">
        <v>2728</v>
      </c>
      <c r="E108" s="3114">
        <v>0.15</v>
      </c>
      <c r="F108" s="3114">
        <v>20</v>
      </c>
    </row>
    <row r="109" spans="1:6" ht="24">
      <c r="A109" s="3114">
        <v>37</v>
      </c>
      <c r="B109" s="3783"/>
      <c r="C109" s="3114" t="s">
        <v>2729</v>
      </c>
      <c r="D109" s="3088" t="s">
        <v>2730</v>
      </c>
      <c r="E109" s="3114">
        <v>0.15</v>
      </c>
      <c r="F109" s="3114">
        <v>20</v>
      </c>
    </row>
    <row r="110" spans="1:6" ht="24">
      <c r="A110" s="3114">
        <v>38</v>
      </c>
      <c r="B110" s="3783"/>
      <c r="C110" s="3114" t="s">
        <v>2731</v>
      </c>
      <c r="D110" s="3088" t="s">
        <v>2732</v>
      </c>
      <c r="E110" s="3114">
        <v>0.1</v>
      </c>
      <c r="F110" s="3114">
        <v>15</v>
      </c>
    </row>
    <row r="111" spans="1:6" ht="24">
      <c r="A111" s="3114">
        <v>39</v>
      </c>
      <c r="B111" s="3783"/>
      <c r="C111" s="3114" t="s">
        <v>2733</v>
      </c>
      <c r="D111" s="3088" t="s">
        <v>2734</v>
      </c>
      <c r="E111" s="3114">
        <v>0.1</v>
      </c>
      <c r="F111" s="3114">
        <v>15</v>
      </c>
    </row>
    <row r="112" spans="1:6" ht="24">
      <c r="A112" s="3114">
        <v>40</v>
      </c>
      <c r="B112" s="3792"/>
      <c r="C112" s="3114" t="s">
        <v>2735</v>
      </c>
      <c r="D112" s="3088" t="s">
        <v>2736</v>
      </c>
      <c r="E112" s="3114">
        <v>0.1</v>
      </c>
      <c r="F112" s="3114">
        <v>15</v>
      </c>
    </row>
    <row r="113" spans="1:6" ht="24">
      <c r="A113" s="3114">
        <v>41</v>
      </c>
      <c r="B113" s="3793" t="s">
        <v>2737</v>
      </c>
      <c r="C113" s="3114" t="s">
        <v>2738</v>
      </c>
      <c r="D113" s="3088" t="s">
        <v>2739</v>
      </c>
      <c r="E113" s="3114">
        <v>0.1</v>
      </c>
      <c r="F113" s="3114">
        <v>15</v>
      </c>
    </row>
    <row r="114" spans="1:6" ht="24">
      <c r="A114" s="3114">
        <v>42</v>
      </c>
      <c r="B114" s="3793"/>
      <c r="C114" s="3114" t="s">
        <v>2740</v>
      </c>
      <c r="D114" s="3088" t="s">
        <v>2741</v>
      </c>
      <c r="E114" s="3114">
        <v>0.1</v>
      </c>
      <c r="F114" s="3114">
        <v>15</v>
      </c>
    </row>
    <row r="115" spans="1:6" ht="24">
      <c r="A115" s="3114">
        <v>43</v>
      </c>
      <c r="B115" s="3793"/>
      <c r="C115" s="3114" t="s">
        <v>2742</v>
      </c>
      <c r="D115" s="3088" t="s">
        <v>2743</v>
      </c>
      <c r="E115" s="3114">
        <v>0.1</v>
      </c>
      <c r="F115" s="3114">
        <v>15</v>
      </c>
    </row>
    <row r="116" spans="1:6" ht="24">
      <c r="A116" s="3114">
        <v>44</v>
      </c>
      <c r="B116" s="3788" t="s">
        <v>2744</v>
      </c>
      <c r="C116" s="3114" t="s">
        <v>2745</v>
      </c>
      <c r="D116" s="3088" t="s">
        <v>2746</v>
      </c>
      <c r="E116" s="3114">
        <v>0.1</v>
      </c>
      <c r="F116" s="3114">
        <v>15</v>
      </c>
    </row>
    <row r="117" spans="1:6" ht="24">
      <c r="A117" s="3114">
        <v>45</v>
      </c>
      <c r="B117" s="3792"/>
      <c r="C117" s="3088" t="s">
        <v>2747</v>
      </c>
      <c r="D117" s="3088" t="s">
        <v>2748</v>
      </c>
      <c r="E117" s="3114">
        <v>0.1</v>
      </c>
      <c r="F117" s="3114">
        <v>15</v>
      </c>
    </row>
    <row r="118" spans="1:6" ht="24">
      <c r="A118" s="3114">
        <v>46</v>
      </c>
      <c r="B118" s="3788" t="s">
        <v>2749</v>
      </c>
      <c r="C118" s="3114" t="s">
        <v>2750</v>
      </c>
      <c r="D118" s="3088" t="s">
        <v>2751</v>
      </c>
      <c r="E118" s="3114">
        <v>0.1</v>
      </c>
      <c r="F118" s="3114">
        <v>15</v>
      </c>
    </row>
    <row r="119" spans="1:6" ht="24">
      <c r="A119" s="3114">
        <v>47</v>
      </c>
      <c r="B119" s="3792"/>
      <c r="C119" s="3114" t="s">
        <v>2752</v>
      </c>
      <c r="D119" s="3088" t="s">
        <v>2753</v>
      </c>
      <c r="E119" s="3114">
        <v>0.1</v>
      </c>
      <c r="F119" s="3114">
        <v>15</v>
      </c>
    </row>
    <row r="120" spans="1:6" ht="24">
      <c r="A120" s="3114">
        <v>48</v>
      </c>
      <c r="B120" s="3788" t="s">
        <v>2754</v>
      </c>
      <c r="C120" s="3114" t="s">
        <v>2755</v>
      </c>
      <c r="D120" s="3088" t="s">
        <v>2756</v>
      </c>
      <c r="E120" s="3114">
        <v>0.1</v>
      </c>
      <c r="F120" s="3114">
        <v>15</v>
      </c>
    </row>
    <row r="121" spans="1:6" ht="24">
      <c r="A121" s="3114">
        <v>49</v>
      </c>
      <c r="B121" s="3792"/>
      <c r="C121" s="3114" t="s">
        <v>2757</v>
      </c>
      <c r="D121" s="3088" t="s">
        <v>2758</v>
      </c>
      <c r="E121" s="3114">
        <v>0.1</v>
      </c>
      <c r="F121" s="3114">
        <v>15</v>
      </c>
    </row>
    <row r="122" spans="1:6" ht="24">
      <c r="A122" s="3114">
        <v>50</v>
      </c>
      <c r="B122" s="3793" t="s">
        <v>2759</v>
      </c>
      <c r="C122" s="3114" t="s">
        <v>2760</v>
      </c>
      <c r="D122" s="3088" t="s">
        <v>2761</v>
      </c>
      <c r="E122" s="3114">
        <v>0.1</v>
      </c>
      <c r="F122" s="3114">
        <v>15</v>
      </c>
    </row>
    <row r="123" spans="1:6" ht="24">
      <c r="A123" s="3114">
        <v>51</v>
      </c>
      <c r="B123" s="3793"/>
      <c r="C123" s="3114" t="s">
        <v>2762</v>
      </c>
      <c r="D123" s="3088" t="s">
        <v>2763</v>
      </c>
      <c r="E123" s="3114">
        <v>0.1</v>
      </c>
      <c r="F123" s="3114">
        <v>15</v>
      </c>
    </row>
    <row r="124" spans="1:6" ht="24">
      <c r="A124" s="3114">
        <v>52</v>
      </c>
      <c r="B124" s="3793" t="s">
        <v>2764</v>
      </c>
      <c r="C124" s="3114" t="s">
        <v>2765</v>
      </c>
      <c r="D124" s="3088" t="s">
        <v>2766</v>
      </c>
      <c r="E124" s="3114">
        <v>0.1</v>
      </c>
      <c r="F124" s="3114">
        <v>15</v>
      </c>
    </row>
    <row r="125" spans="1:6" ht="24">
      <c r="A125" s="3114">
        <v>53</v>
      </c>
      <c r="B125" s="3793"/>
      <c r="C125" s="3114" t="s">
        <v>2767</v>
      </c>
      <c r="D125" s="3088" t="s">
        <v>2768</v>
      </c>
      <c r="E125" s="3114">
        <v>0.1</v>
      </c>
      <c r="F125" s="3114">
        <v>15</v>
      </c>
    </row>
    <row r="126" spans="1:6" ht="24">
      <c r="A126" s="3114">
        <v>54</v>
      </c>
      <c r="B126" s="3114" t="s">
        <v>2769</v>
      </c>
      <c r="C126" s="3114" t="s">
        <v>2770</v>
      </c>
      <c r="D126" s="3088" t="s">
        <v>2771</v>
      </c>
      <c r="E126" s="3114">
        <v>0.1</v>
      </c>
      <c r="F126" s="3114">
        <v>15</v>
      </c>
    </row>
    <row r="127" spans="1:6" ht="24">
      <c r="A127" s="3114">
        <v>55</v>
      </c>
      <c r="B127" s="3793" t="s">
        <v>2772</v>
      </c>
      <c r="C127" s="3114" t="s">
        <v>2773</v>
      </c>
      <c r="D127" s="3088" t="s">
        <v>2774</v>
      </c>
      <c r="E127" s="3114">
        <v>0.1</v>
      </c>
      <c r="F127" s="3114">
        <v>15</v>
      </c>
    </row>
    <row r="128" spans="1:6" ht="24">
      <c r="A128" s="3114">
        <v>56</v>
      </c>
      <c r="B128" s="3793"/>
      <c r="C128" s="3114" t="s">
        <v>2775</v>
      </c>
      <c r="D128" s="3088" t="s">
        <v>2776</v>
      </c>
      <c r="E128" s="3114">
        <v>0.1</v>
      </c>
      <c r="F128" s="3114">
        <v>15</v>
      </c>
    </row>
    <row r="129" spans="1:6" ht="24">
      <c r="A129" s="3114">
        <v>57</v>
      </c>
      <c r="B129" s="3793"/>
      <c r="C129" s="3114" t="s">
        <v>2777</v>
      </c>
      <c r="D129" s="3088" t="s">
        <v>2778</v>
      </c>
      <c r="E129" s="3114">
        <v>0.1</v>
      </c>
      <c r="F129" s="3114">
        <v>15</v>
      </c>
    </row>
    <row r="130" spans="1:6" ht="24">
      <c r="A130" s="3114">
        <v>58</v>
      </c>
      <c r="B130" s="3793" t="s">
        <v>2779</v>
      </c>
      <c r="C130" s="3114" t="s">
        <v>2780</v>
      </c>
      <c r="D130" s="3088" t="s">
        <v>2781</v>
      </c>
      <c r="E130" s="3114">
        <v>0.1</v>
      </c>
      <c r="F130" s="3114">
        <v>15</v>
      </c>
    </row>
    <row r="131" spans="1:6" ht="24">
      <c r="A131" s="3114">
        <v>59</v>
      </c>
      <c r="B131" s="3793"/>
      <c r="C131" s="3114" t="s">
        <v>2782</v>
      </c>
      <c r="D131" s="3088" t="s">
        <v>2783</v>
      </c>
      <c r="E131" s="3114">
        <v>0.1</v>
      </c>
      <c r="F131" s="3114">
        <v>15</v>
      </c>
    </row>
    <row r="132" spans="1:6" ht="24">
      <c r="A132" s="3114">
        <v>60</v>
      </c>
      <c r="B132" s="3788" t="s">
        <v>2784</v>
      </c>
      <c r="C132" s="3114" t="s">
        <v>2785</v>
      </c>
      <c r="D132" s="3088" t="s">
        <v>2786</v>
      </c>
      <c r="E132" s="3114">
        <v>0.1</v>
      </c>
      <c r="F132" s="3114">
        <v>15</v>
      </c>
    </row>
    <row r="133" spans="1:6" ht="24">
      <c r="A133" s="3114">
        <v>61</v>
      </c>
      <c r="B133" s="3792"/>
      <c r="C133" s="3114" t="s">
        <v>2787</v>
      </c>
      <c r="D133" s="3088" t="s">
        <v>2788</v>
      </c>
      <c r="E133" s="3114">
        <v>0.1</v>
      </c>
      <c r="F133" s="3114">
        <v>15</v>
      </c>
    </row>
    <row r="134" spans="1:6" ht="24">
      <c r="A134" s="3114">
        <v>62</v>
      </c>
      <c r="B134" s="3114" t="s">
        <v>2789</v>
      </c>
      <c r="C134" s="3114" t="s">
        <v>2790</v>
      </c>
      <c r="D134" s="3088" t="s">
        <v>2791</v>
      </c>
      <c r="E134" s="3114">
        <v>0.1</v>
      </c>
      <c r="F134" s="3114">
        <v>15</v>
      </c>
    </row>
    <row r="135" spans="1:6" ht="24">
      <c r="A135" s="3114">
        <v>63</v>
      </c>
      <c r="B135" s="3793" t="s">
        <v>2792</v>
      </c>
      <c r="C135" s="3114" t="s">
        <v>2793</v>
      </c>
      <c r="D135" s="3088" t="s">
        <v>2794</v>
      </c>
      <c r="E135" s="3114">
        <v>0.1</v>
      </c>
      <c r="F135" s="3114">
        <v>15</v>
      </c>
    </row>
    <row r="136" spans="1:6" ht="24">
      <c r="A136" s="3114">
        <v>64</v>
      </c>
      <c r="B136" s="3793"/>
      <c r="C136" s="3114" t="s">
        <v>2795</v>
      </c>
      <c r="D136" s="3088" t="s">
        <v>2796</v>
      </c>
      <c r="E136" s="3114">
        <v>0.1</v>
      </c>
      <c r="F136" s="3114">
        <v>15</v>
      </c>
    </row>
    <row r="137" spans="1:6" ht="24">
      <c r="A137" s="3114">
        <v>65</v>
      </c>
      <c r="B137" s="3114" t="s">
        <v>2797</v>
      </c>
      <c r="C137" s="3114" t="s">
        <v>2798</v>
      </c>
      <c r="D137" s="3088" t="s">
        <v>2799</v>
      </c>
      <c r="E137" s="3114">
        <v>0.1</v>
      </c>
      <c r="F137" s="3114">
        <v>15</v>
      </c>
    </row>
    <row r="138" spans="1:6" ht="14.4">
      <c r="A138" s="3114"/>
      <c r="B138" s="3114"/>
      <c r="C138" s="3114"/>
      <c r="D138" s="3114"/>
      <c r="E138" s="3114" t="s">
        <v>2800</v>
      </c>
      <c r="F138" s="3114"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7"/>
    <col min="14" max="16384" width="9" style="746"/>
  </cols>
  <sheetData>
    <row r="1" spans="1:20" ht="16.2" thickBot="1">
      <c r="A1" s="3123" t="s">
        <v>2801</v>
      </c>
      <c r="B1" s="3123"/>
      <c r="C1" s="3123"/>
      <c r="D1" s="3123"/>
      <c r="E1" s="3123"/>
      <c r="F1" s="3123"/>
      <c r="G1" s="3123"/>
      <c r="H1" s="3123"/>
      <c r="I1" s="3123"/>
      <c r="J1" s="3123"/>
      <c r="K1" s="3123"/>
      <c r="L1" s="3123"/>
      <c r="M1" s="3123"/>
      <c r="N1" s="745"/>
    </row>
    <row r="2" spans="1:20">
      <c r="A2" s="3124" t="s">
        <v>2802</v>
      </c>
      <c r="B2" s="3125" t="s">
        <v>2598</v>
      </c>
      <c r="C2" s="3125" t="s">
        <v>2599</v>
      </c>
      <c r="D2" s="3125" t="s">
        <v>2600</v>
      </c>
      <c r="E2" s="3125" t="s">
        <v>2601</v>
      </c>
      <c r="F2" s="3125" t="s">
        <v>2602</v>
      </c>
      <c r="G2" s="3125" t="s">
        <v>2603</v>
      </c>
      <c r="H2" s="3126" t="s">
        <v>2604</v>
      </c>
      <c r="I2" s="3126" t="s">
        <v>2605</v>
      </c>
      <c r="J2" s="3127" t="s">
        <v>2606</v>
      </c>
      <c r="K2" s="3127" t="s">
        <v>2607</v>
      </c>
      <c r="L2" s="3127" t="s">
        <v>2608</v>
      </c>
      <c r="M2" s="3128" t="s">
        <v>2609</v>
      </c>
      <c r="Q2" s="3138" t="s">
        <v>2807</v>
      </c>
      <c r="R2" s="3138" t="s">
        <v>2808</v>
      </c>
      <c r="S2" s="3138" t="s">
        <v>2809</v>
      </c>
      <c r="T2" s="3138" t="s">
        <v>2810</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7"/>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7"/>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7"/>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6.2" thickBot="1">
      <c r="A93" s="3123" t="s">
        <v>2803</v>
      </c>
      <c r="B93" s="3123"/>
      <c r="C93" s="3123"/>
      <c r="D93" s="3123"/>
      <c r="E93" s="3123"/>
      <c r="F93" s="3123"/>
      <c r="G93" s="3123"/>
      <c r="H93" s="3123"/>
      <c r="I93" s="3123"/>
      <c r="J93" s="3123"/>
      <c r="K93" s="3123"/>
      <c r="L93" s="3123"/>
      <c r="M93" s="3123"/>
    </row>
    <row r="94" spans="1:20">
      <c r="A94" s="3124" t="s">
        <v>2802</v>
      </c>
      <c r="B94" s="3125" t="s">
        <v>2598</v>
      </c>
      <c r="C94" s="3125" t="s">
        <v>2599</v>
      </c>
      <c r="D94" s="3125" t="s">
        <v>2600</v>
      </c>
      <c r="E94" s="3125" t="s">
        <v>2601</v>
      </c>
      <c r="F94" s="3125" t="s">
        <v>2602</v>
      </c>
      <c r="G94" s="3125" t="s">
        <v>2603</v>
      </c>
      <c r="H94" s="3126" t="s">
        <v>2604</v>
      </c>
      <c r="I94" s="3126" t="s">
        <v>2605</v>
      </c>
      <c r="J94" s="3127" t="s">
        <v>2606</v>
      </c>
      <c r="K94" s="3127" t="s">
        <v>2607</v>
      </c>
      <c r="L94" s="3127" t="s">
        <v>2608</v>
      </c>
      <c r="M94" s="3128" t="s">
        <v>2609</v>
      </c>
      <c r="N94" s="746">
        <f>SUMPRODUCT((A95:A184=ROUNDDOWN(基准地价修正!G3,1))*(B94:M94=基准地价修正!G2)*(B95:M184))</f>
        <v>0.89239999999999997</v>
      </c>
      <c r="Q94" s="3138" t="s">
        <v>2807</v>
      </c>
      <c r="R94" s="3138" t="s">
        <v>2808</v>
      </c>
      <c r="S94" s="3138" t="s">
        <v>2809</v>
      </c>
      <c r="T94" s="3138" t="s">
        <v>2810</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5.6">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5"/>
    </row>
    <row r="104" spans="1:14" ht="15.6">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5"/>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6.2" thickBot="1">
      <c r="A185" s="3123" t="s">
        <v>2804</v>
      </c>
      <c r="B185" s="3123"/>
      <c r="C185" s="3123"/>
      <c r="D185" s="3123"/>
      <c r="E185" s="3123"/>
      <c r="F185" s="3123"/>
      <c r="G185" s="3123"/>
      <c r="H185" s="3123"/>
      <c r="I185" s="3123"/>
      <c r="J185" s="3123"/>
      <c r="K185" s="3123"/>
      <c r="L185" s="3123"/>
      <c r="M185" s="3123"/>
    </row>
    <row r="186" spans="1:20">
      <c r="A186" s="3124" t="s">
        <v>2802</v>
      </c>
      <c r="B186" s="3125" t="s">
        <v>2598</v>
      </c>
      <c r="C186" s="3125" t="s">
        <v>2599</v>
      </c>
      <c r="D186" s="3125" t="s">
        <v>2600</v>
      </c>
      <c r="E186" s="3125" t="s">
        <v>2601</v>
      </c>
      <c r="F186" s="3125" t="s">
        <v>2602</v>
      </c>
      <c r="G186" s="3125" t="s">
        <v>2603</v>
      </c>
      <c r="H186" s="3126" t="s">
        <v>2604</v>
      </c>
      <c r="I186" s="3126" t="s">
        <v>2605</v>
      </c>
      <c r="J186" s="3127" t="s">
        <v>2606</v>
      </c>
      <c r="K186" s="3127" t="s">
        <v>2607</v>
      </c>
      <c r="L186" s="3127" t="s">
        <v>2608</v>
      </c>
      <c r="M186" s="3128" t="s">
        <v>2609</v>
      </c>
      <c r="Q186" s="3138" t="s">
        <v>2807</v>
      </c>
      <c r="R186" s="3138" t="s">
        <v>2808</v>
      </c>
      <c r="S186" s="3138" t="s">
        <v>2809</v>
      </c>
      <c r="T186" s="3138" t="s">
        <v>2810</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6.2" thickBot="1">
      <c r="A277" s="3123" t="s">
        <v>2805</v>
      </c>
      <c r="B277" s="3123"/>
      <c r="C277" s="3123"/>
      <c r="D277" s="3123"/>
      <c r="E277" s="3123"/>
      <c r="F277" s="3123"/>
      <c r="G277" s="3123"/>
      <c r="H277" s="3123"/>
      <c r="I277" s="3123"/>
      <c r="J277" s="3123"/>
      <c r="K277" s="3123"/>
      <c r="L277" s="3123"/>
      <c r="M277" s="3123"/>
    </row>
    <row r="278" spans="1:21">
      <c r="A278" s="3124" t="s">
        <v>2802</v>
      </c>
      <c r="B278" s="3125" t="s">
        <v>2598</v>
      </c>
      <c r="C278" s="3125" t="s">
        <v>2599</v>
      </c>
      <c r="D278" s="3125" t="s">
        <v>2600</v>
      </c>
      <c r="E278" s="3125" t="s">
        <v>2601</v>
      </c>
      <c r="F278" s="3125" t="s">
        <v>2602</v>
      </c>
      <c r="G278" s="3125" t="s">
        <v>2603</v>
      </c>
      <c r="H278" s="3126" t="s">
        <v>2604</v>
      </c>
      <c r="I278" s="3126" t="s">
        <v>2605</v>
      </c>
      <c r="J278" s="3127" t="s">
        <v>2606</v>
      </c>
      <c r="K278" s="3127" t="s">
        <v>2607</v>
      </c>
      <c r="L278" s="3127" t="s">
        <v>2608</v>
      </c>
      <c r="M278" s="3128" t="s">
        <v>2609</v>
      </c>
      <c r="Q278" s="3138" t="s">
        <v>2807</v>
      </c>
      <c r="R278" s="3138" t="s">
        <v>2808</v>
      </c>
      <c r="S278" s="3138" t="s">
        <v>2811</v>
      </c>
      <c r="T278" s="3138" t="s">
        <v>2812</v>
      </c>
      <c r="U278" s="3138" t="s">
        <v>2810</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6.2" thickBot="1">
      <c r="A369" s="3123" t="s">
        <v>2806</v>
      </c>
      <c r="B369" s="3136"/>
      <c r="C369" s="3136"/>
      <c r="D369" s="3136"/>
      <c r="E369" s="3136"/>
      <c r="F369" s="3136"/>
      <c r="G369" s="3136"/>
      <c r="H369" s="3136"/>
      <c r="I369" s="3136"/>
      <c r="J369" s="3136"/>
      <c r="K369" s="3136"/>
      <c r="L369" s="3136"/>
      <c r="M369" s="3136"/>
    </row>
    <row r="370" spans="1:20">
      <c r="A370" s="3124" t="s">
        <v>2802</v>
      </c>
      <c r="B370" s="3125" t="s">
        <v>2598</v>
      </c>
      <c r="C370" s="3125" t="s">
        <v>2599</v>
      </c>
      <c r="D370" s="3125" t="s">
        <v>2600</v>
      </c>
      <c r="E370" s="3125" t="s">
        <v>2601</v>
      </c>
      <c r="F370" s="3125" t="s">
        <v>2602</v>
      </c>
      <c r="G370" s="3125" t="s">
        <v>2603</v>
      </c>
      <c r="H370" s="3126" t="s">
        <v>2604</v>
      </c>
      <c r="I370" s="3126" t="s">
        <v>2605</v>
      </c>
      <c r="J370" s="3127" t="s">
        <v>2606</v>
      </c>
      <c r="K370" s="3127" t="s">
        <v>2607</v>
      </c>
      <c r="L370" s="3127" t="s">
        <v>2608</v>
      </c>
      <c r="M370" s="3128" t="s">
        <v>2609</v>
      </c>
      <c r="N370" s="746">
        <f>SUMPRODUCT((A371:A460=ROUNDDOWN(基准地价修正!G3,1))*(B370:M370=基准地价修正!G2)*(B371:M460))</f>
        <v>0.84889999999999999</v>
      </c>
      <c r="Q370" s="3138" t="s">
        <v>2807</v>
      </c>
      <c r="R370" s="3138" t="s">
        <v>2808</v>
      </c>
      <c r="S370" s="3138" t="s">
        <v>2809</v>
      </c>
      <c r="T370" s="3138" t="s">
        <v>2810</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7" s="199" customFormat="1" ht="21">
      <c r="A1" s="195" t="s">
        <v>56</v>
      </c>
      <c r="B1" s="196"/>
      <c r="C1" s="197"/>
      <c r="D1" s="197"/>
      <c r="E1" s="197"/>
      <c r="F1" s="197"/>
      <c r="G1" s="198"/>
    </row>
    <row r="2" spans="1:7" s="199" customFormat="1" ht="18" customHeight="1">
      <c r="A2" s="200" t="s">
        <v>57</v>
      </c>
      <c r="B2" s="201">
        <f ca="1">C52</f>
        <v>100265</v>
      </c>
      <c r="C2" s="2" t="s">
        <v>106</v>
      </c>
      <c r="D2" s="198"/>
      <c r="E2" s="198"/>
      <c r="F2" s="198"/>
      <c r="G2" s="198"/>
    </row>
    <row r="3" spans="1:7" s="199" customFormat="1" ht="18" customHeight="1" thickBot="1">
      <c r="A3" s="202" t="s">
        <v>58</v>
      </c>
      <c r="B3" s="203">
        <f ca="1">ROUND(B2*10000/'数据-汇总表'!E3,0)</f>
        <v>10104</v>
      </c>
      <c r="C3" s="2" t="s">
        <v>107</v>
      </c>
      <c r="D3" s="198"/>
      <c r="E3" s="198"/>
      <c r="F3" s="198"/>
      <c r="G3" s="198"/>
    </row>
    <row r="4" spans="1:7" s="207" customFormat="1" ht="16.2">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4" t="s">
        <v>346</v>
      </c>
      <c r="B6" s="214" t="s">
        <v>64</v>
      </c>
      <c r="C6" s="215">
        <v>20000</v>
      </c>
      <c r="D6" s="216"/>
      <c r="E6" s="217"/>
      <c r="F6" s="217"/>
      <c r="G6" s="218"/>
    </row>
    <row r="7" spans="1:7" s="213" customFormat="1" ht="13.5" customHeight="1">
      <c r="A7" s="774" t="s">
        <v>347</v>
      </c>
      <c r="B7" s="214" t="s">
        <v>30</v>
      </c>
      <c r="C7" s="219">
        <f>ROUND(C6*F7,0)</f>
        <v>610</v>
      </c>
      <c r="D7" s="219"/>
      <c r="E7" s="217"/>
      <c r="F7" s="220">
        <f>'数据-取费表'!B48+'数据-取费表'!B49</f>
        <v>3.0499999999999999E-2</v>
      </c>
      <c r="G7" s="218"/>
    </row>
    <row r="8" spans="1:7" s="222" customFormat="1">
      <c r="A8" s="774" t="s">
        <v>348</v>
      </c>
      <c r="B8" s="214" t="s">
        <v>65</v>
      </c>
      <c r="C8" s="219" t="str">
        <f>IF(G8="已包含在土地购买价格中","0",'数据-取费表'!B29)</f>
        <v>0</v>
      </c>
      <c r="D8" s="221"/>
      <c r="E8" s="219"/>
      <c r="F8" s="220"/>
      <c r="G8" s="1" t="s">
        <v>451</v>
      </c>
    </row>
    <row r="9" spans="1:7" s="213" customFormat="1" ht="13.5" customHeight="1">
      <c r="A9" s="775" t="s">
        <v>355</v>
      </c>
      <c r="B9" s="223" t="s">
        <v>66</v>
      </c>
      <c r="C9" s="224">
        <f>ROUND(D9*E9/10000,0)</f>
        <v>0</v>
      </c>
      <c r="D9" s="841">
        <f>'数据-汇总表'!E5</f>
        <v>0</v>
      </c>
      <c r="E9" s="224">
        <f>'数据-取费表'!B27</f>
        <v>160</v>
      </c>
      <c r="F9" s="220"/>
      <c r="G9" s="225"/>
    </row>
    <row r="10" spans="1:7" s="213" customFormat="1" ht="13.5" customHeight="1">
      <c r="A10" s="775" t="s">
        <v>356</v>
      </c>
      <c r="B10" s="223" t="s">
        <v>67</v>
      </c>
      <c r="C10" s="224">
        <f>ROUND(D10*E10/10000,0)</f>
        <v>1985</v>
      </c>
      <c r="D10" s="841">
        <f>'数据-汇总表'!E6</f>
        <v>99232.329999999987</v>
      </c>
      <c r="E10" s="224">
        <f>'数据-取费表'!B28</f>
        <v>200</v>
      </c>
      <c r="F10" s="220"/>
      <c r="G10" s="225"/>
    </row>
    <row r="11" spans="1:7" s="213" customFormat="1" ht="13.5" hidden="1" customHeight="1">
      <c r="A11" s="226" t="s">
        <v>4</v>
      </c>
      <c r="B11" s="214" t="s">
        <v>68</v>
      </c>
      <c r="C11" s="210"/>
      <c r="D11" s="843"/>
      <c r="E11" s="217"/>
      <c r="F11" s="217"/>
      <c r="G11" s="218"/>
    </row>
    <row r="12" spans="1:7" s="213" customFormat="1" ht="13.5" hidden="1" customHeight="1">
      <c r="A12" s="226" t="s">
        <v>5</v>
      </c>
      <c r="B12" s="214" t="s">
        <v>69</v>
      </c>
      <c r="C12" s="210">
        <v>0</v>
      </c>
      <c r="D12" s="843"/>
      <c r="E12" s="227"/>
      <c r="F12" s="220">
        <v>3.0499999999999999E-2</v>
      </c>
      <c r="G12" s="218"/>
    </row>
    <row r="13" spans="1:7" s="213" customFormat="1" ht="13.5" hidden="1" customHeight="1">
      <c r="A13" s="226" t="s">
        <v>6</v>
      </c>
      <c r="B13" s="214" t="s">
        <v>70</v>
      </c>
      <c r="C13" s="210"/>
      <c r="D13" s="843"/>
      <c r="E13" s="217"/>
      <c r="F13" s="217"/>
      <c r="G13" s="218"/>
    </row>
    <row r="14" spans="1:7" s="213" customFormat="1" ht="13.5" hidden="1" customHeight="1">
      <c r="A14" s="226" t="s">
        <v>7</v>
      </c>
      <c r="B14" s="214" t="s">
        <v>65</v>
      </c>
      <c r="C14" s="210"/>
      <c r="D14" s="843"/>
      <c r="E14" s="217"/>
      <c r="F14" s="217"/>
      <c r="G14" s="218" t="s">
        <v>71</v>
      </c>
    </row>
    <row r="15" spans="1:7" s="213" customFormat="1" ht="13.5" hidden="1" customHeight="1">
      <c r="A15" s="226" t="s">
        <v>8</v>
      </c>
      <c r="B15" s="214" t="s">
        <v>72</v>
      </c>
      <c r="C15" s="219"/>
      <c r="D15" s="843"/>
      <c r="E15" s="217"/>
      <c r="F15" s="217"/>
      <c r="G15" s="218" t="s">
        <v>73</v>
      </c>
    </row>
    <row r="16" spans="1:7" s="213" customFormat="1" ht="13.5" hidden="1" customHeight="1">
      <c r="A16" s="226" t="s">
        <v>9</v>
      </c>
      <c r="B16" s="214" t="s">
        <v>65</v>
      </c>
      <c r="C16" s="219"/>
      <c r="D16" s="843"/>
      <c r="E16" s="217"/>
      <c r="F16" s="217"/>
      <c r="G16" s="218"/>
    </row>
    <row r="17" spans="1:7" s="213" customFormat="1" ht="13.5" hidden="1" customHeight="1">
      <c r="A17" s="226" t="s">
        <v>10</v>
      </c>
      <c r="B17" s="214" t="s">
        <v>74</v>
      </c>
      <c r="C17" s="228"/>
      <c r="D17" s="844"/>
      <c r="E17" s="228"/>
      <c r="F17" s="228"/>
      <c r="G17" s="218" t="s">
        <v>73</v>
      </c>
    </row>
    <row r="18" spans="1:7" s="213" customFormat="1" ht="13.5" hidden="1" customHeight="1">
      <c r="A18" s="226" t="s">
        <v>11</v>
      </c>
      <c r="B18" s="214" t="s">
        <v>75</v>
      </c>
      <c r="C18" s="219">
        <v>0</v>
      </c>
      <c r="D18" s="843"/>
      <c r="E18" s="217"/>
      <c r="F18" s="220">
        <v>3.0499999999999999E-2</v>
      </c>
      <c r="G18" s="218" t="s">
        <v>76</v>
      </c>
    </row>
    <row r="19" spans="1:7" s="222" customFormat="1" ht="13.5" customHeight="1">
      <c r="A19" s="773" t="s">
        <v>417</v>
      </c>
      <c r="B19" s="209" t="s">
        <v>84</v>
      </c>
      <c r="C19" s="210">
        <f>IF(G19="已包含在土地取得成本中","0",ROUND(D19*E19/10000,0))</f>
        <v>1985</v>
      </c>
      <c r="D19" s="845">
        <f>'数据-汇总表'!E3</f>
        <v>99232.329999999987</v>
      </c>
      <c r="E19" s="210">
        <f>'数据-取费表'!B31</f>
        <v>200</v>
      </c>
      <c r="F19" s="230"/>
      <c r="G19" s="1" t="s">
        <v>436</v>
      </c>
    </row>
    <row r="20" spans="1:7" s="213" customFormat="1" ht="13.5" customHeight="1">
      <c r="A20" s="773" t="s">
        <v>419</v>
      </c>
      <c r="B20" s="209" t="s">
        <v>77</v>
      </c>
      <c r="C20" s="231">
        <f>ROUND((C5+C19)*F20,0)</f>
        <v>678</v>
      </c>
      <c r="D20" s="231"/>
      <c r="E20" s="231"/>
      <c r="F20" s="232">
        <f>'数据-取费表'!B37</f>
        <v>0.03</v>
      </c>
      <c r="G20" s="1063" t="s">
        <v>430</v>
      </c>
    </row>
    <row r="21" spans="1:7" s="213" customFormat="1" ht="13.5" customHeight="1">
      <c r="A21" s="773" t="s">
        <v>421</v>
      </c>
      <c r="B21" s="209" t="s">
        <v>78</v>
      </c>
      <c r="C21" s="234">
        <f>F21</f>
        <v>0.03</v>
      </c>
      <c r="D21" s="235" t="s">
        <v>99</v>
      </c>
      <c r="E21" s="231"/>
      <c r="F21" s="232">
        <f>'数据-取费表'!B38</f>
        <v>0.03</v>
      </c>
      <c r="G21" s="233" t="s">
        <v>79</v>
      </c>
    </row>
    <row r="22" spans="1:7" s="213" customFormat="1" ht="13.5" customHeight="1">
      <c r="A22" s="773" t="s">
        <v>341</v>
      </c>
      <c r="B22" s="209" t="s">
        <v>80</v>
      </c>
      <c r="C22" s="1100">
        <f ca="1">ROUND(SUM(C23:C25),0)</f>
        <v>2975</v>
      </c>
      <c r="D22" s="234">
        <f ca="1">C26</f>
        <v>1.9E-3</v>
      </c>
      <c r="E22" s="235" t="s">
        <v>99</v>
      </c>
      <c r="F22" s="236">
        <f ca="1">'数据-取费表'!B40</f>
        <v>4.1499999999999995E-2</v>
      </c>
      <c r="G22" s="1063" t="str">
        <f>IF('数据-取费表'!B22&lt;=1,"单利计息","复利计息")</f>
        <v>复利计息</v>
      </c>
    </row>
    <row r="23" spans="1:7" s="213" customFormat="1" ht="13.5" customHeight="1">
      <c r="A23" s="776" t="s">
        <v>349</v>
      </c>
      <c r="B23" s="214" t="s">
        <v>423</v>
      </c>
      <c r="C23" s="1101">
        <f ca="1">ROUND(IF('数据-取费表'!B22&lt;=1,C5*F22*'数据-取费表'!B23,C5*(POWER((1+F22),'数据-取费表'!B23)-1)),0)</f>
        <v>2674</v>
      </c>
      <c r="D23" s="237"/>
      <c r="E23" s="237"/>
      <c r="F23" s="238"/>
      <c r="G23" s="239" t="s">
        <v>81</v>
      </c>
    </row>
    <row r="24" spans="1:7" s="213" customFormat="1" ht="13.5" customHeight="1">
      <c r="A24" s="776" t="s">
        <v>347</v>
      </c>
      <c r="B24" s="214" t="s">
        <v>418</v>
      </c>
      <c r="C24" s="1101">
        <f ca="1">ROUND(IF('数据-取费表'!B22&lt;=1,C19*F22*('数据-取费表'!B19/2+'数据-取费表'!B21),C19*(POWER((1+F22),('数据-取费表'!B19/2+'数据-取费表'!B21))-1)),0)</f>
        <v>258</v>
      </c>
      <c r="D24" s="237"/>
      <c r="E24" s="237"/>
      <c r="F24" s="238"/>
      <c r="G24" s="239" t="s">
        <v>82</v>
      </c>
    </row>
    <row r="25" spans="1:7" s="213" customFormat="1" ht="24">
      <c r="A25" s="776" t="s">
        <v>348</v>
      </c>
      <c r="B25" s="214" t="s">
        <v>420</v>
      </c>
      <c r="C25" s="1101">
        <f ca="1">ROUND(IF('数据-取费表'!B22&lt;=1,C20*F22*'数据-取费表'!B23/2,C20*(POWER((1+F22),'数据-取费表'!B23/2)-1)),0)</f>
        <v>43</v>
      </c>
      <c r="D25" s="237"/>
      <c r="E25" s="240"/>
      <c r="F25" s="238"/>
      <c r="G25" s="241" t="s">
        <v>83</v>
      </c>
    </row>
    <row r="26" spans="1:7" s="213" customFormat="1">
      <c r="A26" s="776" t="s">
        <v>350</v>
      </c>
      <c r="B26" s="214" t="s">
        <v>422</v>
      </c>
      <c r="C26" s="237">
        <f ca="1">ROUND(IF('数据-取费表'!B22&lt;=1,F21*F22*'数据-取费表'!B23/2,F21*(POWER((1+F22),'数据-取费表'!B23/2)-1)),4)</f>
        <v>1.9E-3</v>
      </c>
      <c r="D26" s="237"/>
      <c r="E26" s="240"/>
      <c r="F26" s="238"/>
      <c r="G26" s="242"/>
    </row>
    <row r="27" spans="1:7" s="213" customFormat="1" ht="26.4">
      <c r="A27" s="773" t="s">
        <v>342</v>
      </c>
      <c r="B27" s="243" t="s">
        <v>85</v>
      </c>
      <c r="C27" s="244">
        <f>C28</f>
        <v>3956</v>
      </c>
      <c r="D27" s="234">
        <f>C29</f>
        <v>5.1000000000000004E-3</v>
      </c>
      <c r="E27" s="235" t="s">
        <v>99</v>
      </c>
      <c r="F27" s="245">
        <f>'数据-取费表'!Q16</f>
        <v>0.17</v>
      </c>
      <c r="G27" s="246" t="s">
        <v>431</v>
      </c>
    </row>
    <row r="28" spans="1:7" s="213" customFormat="1" ht="13.5" customHeight="1">
      <c r="A28" s="776" t="s">
        <v>349</v>
      </c>
      <c r="B28" s="247" t="s">
        <v>424</v>
      </c>
      <c r="C28" s="248">
        <f>ROUND((C5+C19+C20)*F27*'数据-取费表'!B21/'数据-取费表'!B20,0)</f>
        <v>3956</v>
      </c>
      <c r="D28" s="234"/>
      <c r="E28" s="235"/>
      <c r="F28" s="245"/>
      <c r="G28" s="246"/>
    </row>
    <row r="29" spans="1:7" s="213" customFormat="1" ht="13.5" customHeight="1">
      <c r="A29" s="776" t="s">
        <v>347</v>
      </c>
      <c r="B29" s="247" t="s">
        <v>425</v>
      </c>
      <c r="C29" s="237">
        <f>ROUND(C21*F27*'数据-取费表'!B21/'数据-取费表'!B20,4)</f>
        <v>5.1000000000000004E-3</v>
      </c>
      <c r="D29" s="234"/>
      <c r="E29" s="235"/>
      <c r="F29" s="245"/>
      <c r="G29" s="246"/>
    </row>
    <row r="30" spans="1:7" s="213" customFormat="1" ht="13.5" customHeight="1">
      <c r="A30" s="773"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33203</v>
      </c>
      <c r="D31" s="229"/>
      <c r="E31" s="210"/>
      <c r="F31" s="249"/>
      <c r="G31" s="233" t="s">
        <v>432</v>
      </c>
    </row>
    <row r="32" spans="1:7" s="207" customFormat="1" ht="16.2">
      <c r="A32" s="251" t="s">
        <v>87</v>
      </c>
      <c r="B32" s="252"/>
      <c r="C32" s="252"/>
      <c r="D32" s="252"/>
      <c r="E32" s="252"/>
      <c r="F32" s="252"/>
      <c r="G32" s="253"/>
    </row>
    <row r="33" spans="1:7" s="213" customFormat="1" ht="13.5" customHeight="1">
      <c r="A33" s="254" t="s">
        <v>337</v>
      </c>
      <c r="B33" s="209" t="s">
        <v>88</v>
      </c>
      <c r="C33" s="255">
        <f>SUM(C34:C38)</f>
        <v>51655</v>
      </c>
      <c r="D33" s="231"/>
      <c r="E33" s="211"/>
      <c r="F33" s="240"/>
      <c r="G33" s="233"/>
    </row>
    <row r="34" spans="1:7" s="257" customFormat="1" ht="13.5" customHeight="1">
      <c r="A34" s="776" t="s">
        <v>349</v>
      </c>
      <c r="B34" s="214" t="s">
        <v>32</v>
      </c>
      <c r="C34" s="219">
        <f>IF(F34=100%,'数据-取费表'!M16-SUMIF('数据-取费表'!C:C,"公共配套",'数据-取费表'!M:M),'数据-取费表'!O16-SUMIF('数据-取费表'!C:C,"公共配套",'数据-取费表'!O:O))</f>
        <v>46638</v>
      </c>
      <c r="D34" s="216"/>
      <c r="E34" s="219"/>
      <c r="F34" s="256">
        <f>IF('数据-取费表'!B24=0,1,'数据-取费表'!N16)</f>
        <v>1</v>
      </c>
      <c r="G34" s="218" t="s">
        <v>89</v>
      </c>
    </row>
    <row r="35" spans="1:7" ht="13.5" customHeight="1">
      <c r="A35" s="776" t="s">
        <v>351</v>
      </c>
      <c r="B35" s="214" t="s">
        <v>33</v>
      </c>
      <c r="C35" s="219">
        <f>ROUND(C34*F35,0)</f>
        <v>2332</v>
      </c>
      <c r="D35" s="219"/>
      <c r="E35" s="219"/>
      <c r="F35" s="258">
        <f>'数据-取费表'!B33</f>
        <v>0.05</v>
      </c>
      <c r="G35" s="218" t="s">
        <v>90</v>
      </c>
    </row>
    <row r="36" spans="1:7" ht="24">
      <c r="A36" s="776"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6" t="s">
        <v>353</v>
      </c>
      <c r="B37" s="214" t="s">
        <v>91</v>
      </c>
      <c r="C37" s="248">
        <f>ROUND(E37*D37*F34/10000,0)</f>
        <v>1985</v>
      </c>
      <c r="D37" s="216">
        <f>'数据-汇总表'!E3</f>
        <v>99232.329999999987</v>
      </c>
      <c r="E37" s="248">
        <f>'数据-取费表'!B35</f>
        <v>200</v>
      </c>
      <c r="F37" s="258"/>
      <c r="G37" s="260" t="s">
        <v>92</v>
      </c>
    </row>
    <row r="38" spans="1:7" ht="13.5" customHeight="1">
      <c r="A38" s="776" t="s">
        <v>354</v>
      </c>
      <c r="B38" s="214" t="s">
        <v>36</v>
      </c>
      <c r="C38" s="219">
        <f>ROUND(C34*F38,0)</f>
        <v>700</v>
      </c>
      <c r="D38" s="219"/>
      <c r="E38" s="219"/>
      <c r="F38" s="258">
        <f>'数据-取费表'!B36</f>
        <v>1.4999999999999999E-2</v>
      </c>
      <c r="G38" s="218" t="s">
        <v>90</v>
      </c>
    </row>
    <row r="39" spans="1:7" s="213" customFormat="1" ht="13.5" customHeight="1">
      <c r="A39" s="773" t="s">
        <v>338</v>
      </c>
      <c r="B39" s="209" t="s">
        <v>77</v>
      </c>
      <c r="C39" s="231">
        <f>ROUND(C33*F20,0)</f>
        <v>1550</v>
      </c>
      <c r="D39" s="231"/>
      <c r="E39" s="231"/>
      <c r="F39" s="232"/>
      <c r="G39" s="1063" t="s">
        <v>433</v>
      </c>
    </row>
    <row r="40" spans="1:7" s="213" customFormat="1" ht="13.5" customHeight="1">
      <c r="A40" s="773" t="s">
        <v>339</v>
      </c>
      <c r="B40" s="209" t="s">
        <v>78</v>
      </c>
      <c r="C40" s="261">
        <f>F21</f>
        <v>0.03</v>
      </c>
      <c r="D40" s="235" t="s">
        <v>102</v>
      </c>
      <c r="E40" s="231"/>
      <c r="F40" s="232"/>
      <c r="G40" s="233" t="s">
        <v>93</v>
      </c>
    </row>
    <row r="41" spans="1:7" s="213" customFormat="1" ht="13.5" customHeight="1">
      <c r="A41" s="773" t="s">
        <v>340</v>
      </c>
      <c r="B41" s="209" t="s">
        <v>80</v>
      </c>
      <c r="C41" s="231">
        <f ca="1">ROUND(SUM(C42:C43),0)</f>
        <v>3346</v>
      </c>
      <c r="D41" s="234">
        <f ca="1">C44</f>
        <v>1.9E-3</v>
      </c>
      <c r="E41" s="235" t="s">
        <v>102</v>
      </c>
      <c r="F41" s="236"/>
      <c r="G41" s="1063" t="str">
        <f>IF('数据-取费表'!B22&lt;=1,"单利计息","复利计息")</f>
        <v>复利计息</v>
      </c>
    </row>
    <row r="42" spans="1:7" ht="13.5" customHeight="1">
      <c r="A42" s="776" t="s">
        <v>349</v>
      </c>
      <c r="B42" s="214" t="s">
        <v>423</v>
      </c>
      <c r="C42" s="237">
        <f ca="1">ROUND(IF('数据-取费表'!B22&lt;=1,C33*F22*'数据-取费表'!B21/2,C33*(POWER((1+F22),'数据-取费表'!B21/2)-1)),0)</f>
        <v>3249</v>
      </c>
      <c r="D42" s="237"/>
      <c r="E42" s="237"/>
      <c r="F42" s="238"/>
      <c r="G42" s="3677" t="s">
        <v>94</v>
      </c>
    </row>
    <row r="43" spans="1:7" ht="13.5" customHeight="1">
      <c r="A43" s="776" t="s">
        <v>347</v>
      </c>
      <c r="B43" s="214" t="s">
        <v>426</v>
      </c>
      <c r="C43" s="237">
        <f ca="1">ROUND(IF('数据-取费表'!B22&lt;=1,C39*F22*'数据-取费表'!B21/2,C39*(POWER((1+F22),'数据-取费表'!B21/2)-1)),0)</f>
        <v>97</v>
      </c>
      <c r="D43" s="237"/>
      <c r="E43" s="237"/>
      <c r="F43" s="238"/>
      <c r="G43" s="3678"/>
    </row>
    <row r="44" spans="1:7" ht="13.5" customHeight="1">
      <c r="A44" s="776" t="s">
        <v>348</v>
      </c>
      <c r="B44" s="214" t="s">
        <v>428</v>
      </c>
      <c r="C44" s="237">
        <f ca="1">ROUND(IF('数据-取费表'!B22&lt;=1,C40*F22*'数据-取费表'!B21/2,C40*(POWER((1+F22),'数据-取费表'!B21/2)-1)),4)</f>
        <v>1.9E-3</v>
      </c>
      <c r="D44" s="237"/>
      <c r="E44" s="237"/>
      <c r="F44" s="238"/>
      <c r="G44" s="3679"/>
    </row>
    <row r="45" spans="1:7" s="213" customFormat="1" ht="13.5" customHeight="1">
      <c r="A45" s="773" t="s">
        <v>341</v>
      </c>
      <c r="B45" s="243" t="s">
        <v>85</v>
      </c>
      <c r="C45" s="244">
        <f>C46</f>
        <v>9045</v>
      </c>
      <c r="D45" s="234">
        <f>C47</f>
        <v>5.1000000000000004E-3</v>
      </c>
      <c r="E45" s="235" t="s">
        <v>102</v>
      </c>
      <c r="F45" s="245"/>
      <c r="G45" s="246" t="s">
        <v>434</v>
      </c>
    </row>
    <row r="46" spans="1:7" s="213" customFormat="1" ht="13.5" customHeight="1">
      <c r="A46" s="776" t="s">
        <v>349</v>
      </c>
      <c r="B46" s="247" t="s">
        <v>427</v>
      </c>
      <c r="C46" s="248">
        <f>ROUND((C33+C39)*F27,0)</f>
        <v>9045</v>
      </c>
      <c r="D46" s="262"/>
      <c r="E46" s="235"/>
      <c r="F46" s="245"/>
      <c r="G46" s="246"/>
    </row>
    <row r="47" spans="1:7" s="213" customFormat="1" ht="13.5" customHeight="1">
      <c r="A47" s="776" t="s">
        <v>347</v>
      </c>
      <c r="B47" s="247" t="s">
        <v>429</v>
      </c>
      <c r="C47" s="237">
        <f>ROUND(C40*F27,4)</f>
        <v>5.1000000000000004E-3</v>
      </c>
      <c r="D47" s="262"/>
      <c r="E47" s="235"/>
      <c r="F47" s="245"/>
      <c r="G47" s="246"/>
    </row>
    <row r="48" spans="1:7" s="213" customFormat="1" ht="13.5" customHeight="1">
      <c r="A48" s="773" t="s">
        <v>342</v>
      </c>
      <c r="B48" s="209" t="s">
        <v>95</v>
      </c>
      <c r="C48" s="261">
        <f>F30</f>
        <v>5.6000000000000001E-2</v>
      </c>
      <c r="D48" s="235" t="s">
        <v>103</v>
      </c>
      <c r="E48" s="231"/>
      <c r="F48" s="236"/>
      <c r="G48" s="233" t="s">
        <v>96</v>
      </c>
    </row>
    <row r="49" spans="1:7" ht="16.5" customHeight="1">
      <c r="A49" s="773" t="s">
        <v>343</v>
      </c>
      <c r="B49" s="209" t="s">
        <v>104</v>
      </c>
      <c r="C49" s="231">
        <f ca="1">ROUND((C33+C39+C41+C45)/(1-C40-D41-D45-C48/(1+'数据-取费表'!B42)),0)</f>
        <v>72110</v>
      </c>
      <c r="D49" s="231"/>
      <c r="E49" s="231"/>
      <c r="F49" s="263"/>
      <c r="G49" s="233" t="s">
        <v>435</v>
      </c>
    </row>
    <row r="50" spans="1:7" s="257" customFormat="1" ht="24">
      <c r="A50" s="773" t="s">
        <v>344</v>
      </c>
      <c r="B50" s="209" t="s">
        <v>97</v>
      </c>
      <c r="C50" s="231"/>
      <c r="D50" s="231"/>
      <c r="E50" s="231"/>
      <c r="F50" s="263">
        <f>IF('数据-取费表'!B24=0,'数据-取费表'!N16,1)</f>
        <v>0.93</v>
      </c>
      <c r="G50" s="246" t="s">
        <v>98</v>
      </c>
    </row>
    <row r="51" spans="1:7" ht="16.5" customHeight="1">
      <c r="A51" s="773" t="s">
        <v>345</v>
      </c>
      <c r="B51" s="209" t="s">
        <v>105</v>
      </c>
      <c r="C51" s="231">
        <f ca="1">ROUND(C49*F50,0)</f>
        <v>67062</v>
      </c>
      <c r="D51" s="231"/>
      <c r="E51" s="231"/>
      <c r="F51" s="263"/>
      <c r="G51" s="233" t="s">
        <v>37</v>
      </c>
    </row>
    <row r="52" spans="1:7" s="207" customFormat="1" ht="16.8" thickBot="1">
      <c r="A52" s="264" t="s">
        <v>38</v>
      </c>
      <c r="B52" s="265"/>
      <c r="C52" s="266">
        <f ca="1">C31+C51</f>
        <v>100265</v>
      </c>
      <c r="D52" s="265"/>
      <c r="E52" s="265"/>
      <c r="F52" s="265"/>
      <c r="G52" s="267"/>
    </row>
    <row r="55" spans="1:7" ht="15">
      <c r="B55" s="269" t="s">
        <v>39</v>
      </c>
      <c r="C55" s="270"/>
    </row>
    <row r="56" spans="1:7">
      <c r="B56" s="272" t="s">
        <v>40</v>
      </c>
      <c r="C56" s="273">
        <f ca="1">ROUND(C51/C52,3)</f>
        <v>0.66900000000000004</v>
      </c>
    </row>
    <row r="57" spans="1:7">
      <c r="B57" s="272" t="s">
        <v>41</v>
      </c>
      <c r="C57" s="274">
        <f ca="1">1-C56</f>
        <v>0.33099999999999996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2" customWidth="1"/>
    <col min="2" max="2" width="18.6640625" style="3222" customWidth="1"/>
    <col min="3" max="6" width="10.21875" style="3222" customWidth="1"/>
    <col min="7" max="7" width="10.44140625" style="3222" bestFit="1" customWidth="1"/>
    <col min="8" max="8" width="8.88671875" style="3218"/>
    <col min="9" max="9" width="13.33203125" style="3218" customWidth="1"/>
    <col min="10" max="13" width="13.33203125" style="3222" customWidth="1"/>
    <col min="14" max="14" width="18.21875" style="3222" customWidth="1"/>
    <col min="15" max="17" width="15.109375" style="3222" customWidth="1"/>
    <col min="18" max="20" width="11.44140625" style="3222" customWidth="1"/>
    <col min="21" max="16384" width="8.88671875" style="3222"/>
  </cols>
  <sheetData>
    <row r="1" spans="1:20" ht="11.4" thickBot="1">
      <c r="A1" s="3796" t="s">
        <v>2846</v>
      </c>
      <c r="B1" s="3796"/>
      <c r="C1" s="3796"/>
      <c r="D1" s="3796"/>
      <c r="E1" s="3796"/>
      <c r="F1" s="3796"/>
      <c r="G1" s="3797"/>
      <c r="I1" s="3219" t="s">
        <v>2847</v>
      </c>
      <c r="J1" s="3220" t="s">
        <v>2848</v>
      </c>
      <c r="K1" s="3220" t="s">
        <v>2849</v>
      </c>
      <c r="L1" s="3220" t="s">
        <v>2850</v>
      </c>
      <c r="M1" s="3220" t="s">
        <v>2851</v>
      </c>
      <c r="N1" s="3220" t="s">
        <v>2852</v>
      </c>
      <c r="O1" s="3220" t="s">
        <v>2853</v>
      </c>
      <c r="P1" s="3220" t="s">
        <v>2854</v>
      </c>
      <c r="Q1" s="3220" t="s">
        <v>2855</v>
      </c>
      <c r="R1" s="3220" t="s">
        <v>2856</v>
      </c>
      <c r="S1" s="3220" t="s">
        <v>2857</v>
      </c>
      <c r="T1" s="3221" t="s">
        <v>2858</v>
      </c>
    </row>
    <row r="2" spans="1:20" ht="11.4" thickBot="1">
      <c r="A2" s="3223" t="s">
        <v>2859</v>
      </c>
      <c r="B2" s="3223"/>
      <c r="C2" s="3223"/>
      <c r="D2" s="3223"/>
      <c r="E2" s="3223"/>
      <c r="F2" s="3223"/>
      <c r="G2" s="3224" t="s">
        <v>2860</v>
      </c>
      <c r="I2" s="3225" t="s">
        <v>2861</v>
      </c>
      <c r="J2" s="3225" t="s">
        <v>2862</v>
      </c>
      <c r="K2" s="3225" t="s">
        <v>2863</v>
      </c>
      <c r="L2" s="3225" t="s">
        <v>2864</v>
      </c>
      <c r="M2" s="3225" t="s">
        <v>2865</v>
      </c>
      <c r="N2" s="3225" t="s">
        <v>2866</v>
      </c>
      <c r="O2" s="3225" t="s">
        <v>2867</v>
      </c>
      <c r="P2" s="3225" t="s">
        <v>2868</v>
      </c>
      <c r="Q2" s="3225" t="s">
        <v>2869</v>
      </c>
      <c r="R2" s="3225" t="s">
        <v>2870</v>
      </c>
      <c r="S2" s="3225" t="s">
        <v>2871</v>
      </c>
      <c r="T2" s="3225" t="s">
        <v>2872</v>
      </c>
    </row>
    <row r="3" spans="1:20" s="3231" customFormat="1">
      <c r="A3" s="3794" t="s">
        <v>2873</v>
      </c>
      <c r="B3" s="3226"/>
      <c r="C3" s="3227" t="s">
        <v>2814</v>
      </c>
      <c r="D3" s="3227" t="s">
        <v>2874</v>
      </c>
      <c r="E3" s="3227" t="s">
        <v>2816</v>
      </c>
      <c r="F3" s="3227" t="s">
        <v>2875</v>
      </c>
      <c r="G3" s="3227" t="s">
        <v>2634</v>
      </c>
      <c r="H3" s="3228"/>
      <c r="I3" s="3229" t="s">
        <v>2876</v>
      </c>
      <c r="J3" s="3230" t="s">
        <v>128</v>
      </c>
      <c r="K3" s="3230" t="s">
        <v>129</v>
      </c>
      <c r="L3" s="3229" t="s">
        <v>130</v>
      </c>
      <c r="M3" s="3229" t="s">
        <v>131</v>
      </c>
      <c r="N3" s="3229" t="s">
        <v>132</v>
      </c>
      <c r="O3" s="3229" t="s">
        <v>133</v>
      </c>
      <c r="P3" s="3229" t="s">
        <v>134</v>
      </c>
      <c r="Q3" s="3229" t="s">
        <v>135</v>
      </c>
      <c r="R3" s="3229" t="s">
        <v>136</v>
      </c>
      <c r="S3" s="3229" t="s">
        <v>2877</v>
      </c>
      <c r="T3" s="3229" t="s">
        <v>2878</v>
      </c>
    </row>
    <row r="4" spans="1:20" s="3231" customFormat="1" ht="11.4" thickBot="1">
      <c r="A4" s="3795"/>
      <c r="B4" s="3232" t="s">
        <v>2879</v>
      </c>
      <c r="C4" s="3232" t="s">
        <v>2880</v>
      </c>
      <c r="D4" s="3232" t="s">
        <v>2880</v>
      </c>
      <c r="E4" s="3232" t="s">
        <v>2880</v>
      </c>
      <c r="F4" s="3233" t="s">
        <v>2880</v>
      </c>
      <c r="G4" s="3233" t="s">
        <v>2880</v>
      </c>
      <c r="H4" s="3228"/>
      <c r="I4" s="3230" t="s">
        <v>137</v>
      </c>
      <c r="J4" s="3230" t="s">
        <v>111</v>
      </c>
      <c r="K4" s="3230" t="s">
        <v>138</v>
      </c>
      <c r="L4" s="3229" t="s">
        <v>139</v>
      </c>
      <c r="M4" s="3229" t="s">
        <v>140</v>
      </c>
      <c r="N4" s="3229" t="s">
        <v>141</v>
      </c>
      <c r="O4" s="3229" t="s">
        <v>142</v>
      </c>
      <c r="P4" s="3229" t="s">
        <v>143</v>
      </c>
      <c r="Q4" s="3229" t="s">
        <v>2881</v>
      </c>
      <c r="R4" s="3229" t="s">
        <v>2882</v>
      </c>
      <c r="S4" s="3229" t="s">
        <v>2883</v>
      </c>
      <c r="T4" s="3229" t="s">
        <v>2884</v>
      </c>
    </row>
    <row r="5" spans="1:20">
      <c r="A5" s="3234" t="s">
        <v>2847</v>
      </c>
      <c r="B5" s="3225" t="s">
        <v>2861</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2885</v>
      </c>
      <c r="R5" s="3229" t="s">
        <v>2886</v>
      </c>
      <c r="S5" s="3229" t="s">
        <v>153</v>
      </c>
      <c r="T5" s="3229" t="s">
        <v>2887</v>
      </c>
    </row>
    <row r="6" spans="1:20" ht="11.4" thickBot="1">
      <c r="A6" s="3229" t="s">
        <v>144</v>
      </c>
      <c r="B6" s="3229" t="s">
        <v>2876</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2888</v>
      </c>
      <c r="Q6" s="3229" t="s">
        <v>2889</v>
      </c>
      <c r="R6" s="3229" t="s">
        <v>161</v>
      </c>
      <c r="S6" s="3229" t="s">
        <v>2890</v>
      </c>
      <c r="T6" s="3229" t="s">
        <v>2891</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2892</v>
      </c>
      <c r="Q7" s="3229" t="s">
        <v>2893</v>
      </c>
      <c r="R7" s="3229" t="s">
        <v>2894</v>
      </c>
      <c r="S7" s="3229" t="s">
        <v>2895</v>
      </c>
      <c r="T7" s="3229" t="s">
        <v>2896</v>
      </c>
    </row>
    <row r="8" spans="1:20" ht="11.4"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2897</v>
      </c>
      <c r="Q8" s="3229" t="s">
        <v>174</v>
      </c>
      <c r="R8" s="3229" t="s">
        <v>2898</v>
      </c>
      <c r="S8" s="3229" t="s">
        <v>2899</v>
      </c>
      <c r="T8" s="3236" t="s">
        <v>2900</v>
      </c>
    </row>
    <row r="9" spans="1:20" ht="11.4"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2901</v>
      </c>
      <c r="Q9" s="3229" t="s">
        <v>182</v>
      </c>
      <c r="R9" s="3229" t="s">
        <v>183</v>
      </c>
      <c r="S9" s="3229" t="s">
        <v>200</v>
      </c>
    </row>
    <row r="10" spans="1:20">
      <c r="A10" s="3234" t="s">
        <v>184</v>
      </c>
      <c r="B10" s="3225" t="s">
        <v>2862</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2902</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2903</v>
      </c>
      <c r="P11" s="3229" t="s">
        <v>191</v>
      </c>
      <c r="Q11" s="3229" t="s">
        <v>199</v>
      </c>
      <c r="R11" s="3229" t="s">
        <v>2904</v>
      </c>
      <c r="S11" s="3229" t="s">
        <v>2905</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2906</v>
      </c>
      <c r="P12" s="3229" t="s">
        <v>2907</v>
      </c>
      <c r="Q12" s="3229" t="s">
        <v>2908</v>
      </c>
      <c r="R12" s="3229" t="s">
        <v>2909</v>
      </c>
      <c r="S12" s="3229" t="s">
        <v>2910</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2911</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2912</v>
      </c>
      <c r="K14" s="3230" t="s">
        <v>215</v>
      </c>
      <c r="L14" s="3229" t="s">
        <v>216</v>
      </c>
      <c r="M14" s="3229" t="s">
        <v>217</v>
      </c>
      <c r="N14" s="3229" t="s">
        <v>218</v>
      </c>
      <c r="O14" s="3229" t="s">
        <v>240</v>
      </c>
      <c r="P14" s="3229" t="s">
        <v>213</v>
      </c>
      <c r="Q14" s="3229" t="s">
        <v>2913</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2914</v>
      </c>
      <c r="P15" s="3229" t="s">
        <v>2915</v>
      </c>
      <c r="Q15" s="3229" t="s">
        <v>242</v>
      </c>
      <c r="R15" s="3229" t="s">
        <v>2916</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2917</v>
      </c>
      <c r="P16" s="3229" t="s">
        <v>227</v>
      </c>
      <c r="Q16" s="3229" t="s">
        <v>250</v>
      </c>
      <c r="R16" s="3229" t="s">
        <v>207</v>
      </c>
      <c r="S16" s="3229" t="s">
        <v>2918</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2919</v>
      </c>
      <c r="P17" s="3229" t="s">
        <v>2920</v>
      </c>
      <c r="Q17" s="3229" t="s">
        <v>256</v>
      </c>
      <c r="R17" s="3229" t="s">
        <v>2921</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2922</v>
      </c>
      <c r="P18" s="3229" t="s">
        <v>241</v>
      </c>
      <c r="Q18" s="3229" t="s">
        <v>2923</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2924</v>
      </c>
      <c r="P19" s="3229" t="s">
        <v>249</v>
      </c>
      <c r="Q19" s="3229" t="s">
        <v>2925</v>
      </c>
      <c r="R19" s="3229" t="s">
        <v>265</v>
      </c>
      <c r="S19" s="3229" t="s">
        <v>2926</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2927</v>
      </c>
      <c r="P20" s="3229" t="s">
        <v>2928</v>
      </c>
      <c r="Q20" s="3229" t="s">
        <v>290</v>
      </c>
      <c r="R20" s="3229" t="s">
        <v>2929</v>
      </c>
      <c r="S20" s="3229" t="s">
        <v>277</v>
      </c>
    </row>
    <row r="21" spans="1:19" ht="14.25" customHeight="1" thickBot="1">
      <c r="A21" s="3229" t="s">
        <v>184</v>
      </c>
      <c r="B21" s="3230" t="s">
        <v>208</v>
      </c>
      <c r="C21" s="3229">
        <v>32370</v>
      </c>
      <c r="D21" s="3229">
        <v>26730</v>
      </c>
      <c r="E21" s="3229">
        <v>26640</v>
      </c>
      <c r="F21" s="3229"/>
      <c r="G21" s="3229">
        <v>19440</v>
      </c>
      <c r="J21" s="3236" t="s">
        <v>2930</v>
      </c>
      <c r="K21" s="3230" t="s">
        <v>267</v>
      </c>
      <c r="L21" s="3229" t="s">
        <v>268</v>
      </c>
      <c r="M21" s="3229" t="s">
        <v>269</v>
      </c>
      <c r="N21" s="3229" t="s">
        <v>270</v>
      </c>
      <c r="O21" s="3229" t="s">
        <v>264</v>
      </c>
      <c r="P21" s="3229" t="s">
        <v>283</v>
      </c>
      <c r="Q21" s="3229" t="s">
        <v>293</v>
      </c>
      <c r="R21" s="3229" t="s">
        <v>2931</v>
      </c>
      <c r="S21" s="3236" t="s">
        <v>2932</v>
      </c>
    </row>
    <row r="22" spans="1:19" ht="14.25" customHeight="1">
      <c r="A22" s="3229" t="s">
        <v>184</v>
      </c>
      <c r="B22" s="3230" t="s">
        <v>2912</v>
      </c>
      <c r="C22" s="3229">
        <v>29830</v>
      </c>
      <c r="D22" s="3229">
        <v>27600</v>
      </c>
      <c r="E22" s="3229">
        <v>28150</v>
      </c>
      <c r="F22" s="3229"/>
      <c r="G22" s="3229">
        <v>20080</v>
      </c>
      <c r="K22" s="3230" t="s">
        <v>2933</v>
      </c>
      <c r="L22" s="3229" t="s">
        <v>272</v>
      </c>
      <c r="M22" s="3229" t="s">
        <v>273</v>
      </c>
      <c r="N22" s="3229" t="s">
        <v>274</v>
      </c>
      <c r="O22" s="3229" t="s">
        <v>2934</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2935</v>
      </c>
      <c r="L23" s="3229" t="s">
        <v>278</v>
      </c>
      <c r="M23" s="3229" t="s">
        <v>279</v>
      </c>
      <c r="N23" s="3229" t="s">
        <v>2936</v>
      </c>
      <c r="O23" s="3229" t="s">
        <v>2937</v>
      </c>
      <c r="P23" s="3229" t="s">
        <v>289</v>
      </c>
      <c r="Q23" s="3229" t="s">
        <v>298</v>
      </c>
      <c r="R23" s="3229" t="s">
        <v>2938</v>
      </c>
    </row>
    <row r="24" spans="1:19" ht="14.25" customHeight="1">
      <c r="A24" s="3229" t="s">
        <v>184</v>
      </c>
      <c r="B24" s="3230" t="s">
        <v>230</v>
      </c>
      <c r="C24" s="3229">
        <v>27930</v>
      </c>
      <c r="D24" s="3229">
        <v>32260</v>
      </c>
      <c r="E24" s="3229">
        <v>32120</v>
      </c>
      <c r="F24" s="3229"/>
      <c r="G24" s="3229">
        <v>23470</v>
      </c>
      <c r="K24" s="3230" t="s">
        <v>2939</v>
      </c>
      <c r="L24" s="3229" t="s">
        <v>281</v>
      </c>
      <c r="M24" s="3229" t="s">
        <v>282</v>
      </c>
      <c r="N24" s="3229" t="s">
        <v>2940</v>
      </c>
      <c r="O24" s="3229" t="s">
        <v>285</v>
      </c>
      <c r="P24" s="3229" t="s">
        <v>2941</v>
      </c>
      <c r="Q24" s="3238" t="s">
        <v>2942</v>
      </c>
      <c r="R24" s="3229" t="s">
        <v>2943</v>
      </c>
    </row>
    <row r="25" spans="1:19" ht="14.25" customHeight="1">
      <c r="A25" s="3229" t="s">
        <v>184</v>
      </c>
      <c r="B25" s="3230" t="s">
        <v>235</v>
      </c>
      <c r="C25" s="3229">
        <v>32230</v>
      </c>
      <c r="D25" s="3229">
        <v>29640</v>
      </c>
      <c r="E25" s="3229">
        <v>29510</v>
      </c>
      <c r="F25" s="3229"/>
      <c r="G25" s="3229">
        <v>21560</v>
      </c>
      <c r="K25" s="3230" t="s">
        <v>2944</v>
      </c>
      <c r="L25" s="3229" t="s">
        <v>2945</v>
      </c>
      <c r="M25" s="3229" t="s">
        <v>284</v>
      </c>
      <c r="N25" s="3229" t="s">
        <v>292</v>
      </c>
      <c r="O25" s="3229" t="s">
        <v>288</v>
      </c>
      <c r="P25" s="3229" t="s">
        <v>275</v>
      </c>
      <c r="Q25" s="3238" t="s">
        <v>271</v>
      </c>
      <c r="R25" s="3229" t="s">
        <v>2946</v>
      </c>
    </row>
    <row r="26" spans="1:19" ht="14.25" customHeight="1" thickBot="1">
      <c r="A26" s="3229" t="s">
        <v>184</v>
      </c>
      <c r="B26" s="3230" t="s">
        <v>244</v>
      </c>
      <c r="C26" s="3229">
        <v>31690</v>
      </c>
      <c r="D26" s="3229">
        <v>27650</v>
      </c>
      <c r="E26" s="3229">
        <v>28200</v>
      </c>
      <c r="F26" s="3229"/>
      <c r="G26" s="3229">
        <v>20110</v>
      </c>
      <c r="K26" s="3235" t="s">
        <v>2947</v>
      </c>
      <c r="L26" s="3229" t="s">
        <v>2948</v>
      </c>
      <c r="M26" s="3229" t="s">
        <v>287</v>
      </c>
      <c r="N26" s="3229" t="s">
        <v>294</v>
      </c>
      <c r="O26" s="3229" t="s">
        <v>2949</v>
      </c>
      <c r="P26" s="3229" t="s">
        <v>2950</v>
      </c>
      <c r="Q26" s="3238" t="s">
        <v>276</v>
      </c>
      <c r="R26" s="3229" t="s">
        <v>2951</v>
      </c>
    </row>
    <row r="27" spans="1:19" ht="14.25" customHeight="1">
      <c r="A27" s="3229" t="s">
        <v>184</v>
      </c>
      <c r="B27" s="3230" t="s">
        <v>251</v>
      </c>
      <c r="C27" s="3229">
        <v>29610</v>
      </c>
      <c r="D27" s="3229">
        <v>27770</v>
      </c>
      <c r="E27" s="3229">
        <v>28300</v>
      </c>
      <c r="F27" s="3229"/>
      <c r="G27" s="3229">
        <v>20210</v>
      </c>
      <c r="L27" s="3229" t="s">
        <v>2952</v>
      </c>
      <c r="M27" s="3229" t="s">
        <v>291</v>
      </c>
      <c r="N27" s="3229" t="s">
        <v>297</v>
      </c>
      <c r="O27" s="3229" t="s">
        <v>2953</v>
      </c>
      <c r="P27" s="3229" t="s">
        <v>2954</v>
      </c>
      <c r="Q27" s="3229" t="s">
        <v>2955</v>
      </c>
      <c r="R27" s="3229" t="s">
        <v>2956</v>
      </c>
    </row>
    <row r="28" spans="1:19" ht="14.25" customHeight="1">
      <c r="A28" s="3229" t="s">
        <v>184</v>
      </c>
      <c r="B28" s="3230" t="s">
        <v>259</v>
      </c>
      <c r="C28" s="3229"/>
      <c r="D28" s="3229">
        <v>31520</v>
      </c>
      <c r="E28" s="3229">
        <v>31410</v>
      </c>
      <c r="F28" s="3229"/>
      <c r="G28" s="3229">
        <v>22940</v>
      </c>
      <c r="L28" s="3229" t="s">
        <v>2957</v>
      </c>
      <c r="M28" s="3229" t="s">
        <v>2958</v>
      </c>
      <c r="N28" s="3229" t="s">
        <v>2959</v>
      </c>
      <c r="O28" s="3229" t="s">
        <v>2960</v>
      </c>
      <c r="P28" s="3229" t="s">
        <v>2961</v>
      </c>
      <c r="Q28" s="3229" t="s">
        <v>2962</v>
      </c>
      <c r="R28" s="3229" t="s">
        <v>2963</v>
      </c>
    </row>
    <row r="29" spans="1:19" ht="14.25" customHeight="1" thickBot="1">
      <c r="A29" s="3237" t="s">
        <v>184</v>
      </c>
      <c r="B29" s="3239" t="s">
        <v>2930</v>
      </c>
      <c r="C29" s="3240"/>
      <c r="D29" s="3240">
        <v>29460</v>
      </c>
      <c r="E29" s="3240">
        <v>28640</v>
      </c>
      <c r="F29" s="3240"/>
      <c r="G29" s="3240">
        <v>21430</v>
      </c>
      <c r="L29" s="3229" t="s">
        <v>2964</v>
      </c>
      <c r="M29" s="3229" t="s">
        <v>2965</v>
      </c>
      <c r="N29" s="3229" t="s">
        <v>2966</v>
      </c>
      <c r="O29" s="3229" t="s">
        <v>2967</v>
      </c>
      <c r="P29" s="3229" t="s">
        <v>2968</v>
      </c>
      <c r="Q29" s="3229" t="s">
        <v>2969</v>
      </c>
      <c r="R29" s="3229" t="s">
        <v>280</v>
      </c>
    </row>
    <row r="30" spans="1:19" ht="14.25" customHeight="1">
      <c r="A30" s="3234" t="s">
        <v>296</v>
      </c>
      <c r="B30" s="3225" t="s">
        <v>2863</v>
      </c>
      <c r="C30" s="3225">
        <v>26890</v>
      </c>
      <c r="D30" s="3225">
        <v>26770</v>
      </c>
      <c r="E30" s="3225">
        <v>25700</v>
      </c>
      <c r="F30" s="3225">
        <v>8180</v>
      </c>
      <c r="G30" s="3241">
        <v>18740</v>
      </c>
      <c r="L30" s="3229" t="s">
        <v>2970</v>
      </c>
      <c r="M30" s="3229" t="s">
        <v>2971</v>
      </c>
      <c r="N30" s="3229" t="s">
        <v>2972</v>
      </c>
      <c r="O30" s="3229" t="s">
        <v>2973</v>
      </c>
      <c r="P30" s="3229" t="s">
        <v>2974</v>
      </c>
      <c r="Q30" s="3229" t="s">
        <v>2975</v>
      </c>
      <c r="R30" s="3229" t="s">
        <v>2976</v>
      </c>
    </row>
    <row r="31" spans="1:19" ht="14.25" customHeight="1">
      <c r="A31" s="3229" t="s">
        <v>296</v>
      </c>
      <c r="B31" s="3230" t="s">
        <v>129</v>
      </c>
      <c r="C31" s="3229">
        <v>24550</v>
      </c>
      <c r="D31" s="3229">
        <v>23990</v>
      </c>
      <c r="E31" s="3229">
        <v>22930</v>
      </c>
      <c r="F31" s="3229">
        <v>7470</v>
      </c>
      <c r="G31" s="3242">
        <v>16790</v>
      </c>
      <c r="L31" s="3229" t="s">
        <v>2977</v>
      </c>
      <c r="M31" s="3229" t="s">
        <v>2978</v>
      </c>
      <c r="N31" s="3229" t="s">
        <v>2979</v>
      </c>
      <c r="O31" s="3229" t="s">
        <v>2980</v>
      </c>
      <c r="P31" s="3229" t="s">
        <v>2981</v>
      </c>
      <c r="Q31" s="3229" t="s">
        <v>2982</v>
      </c>
      <c r="R31" s="3229" t="s">
        <v>2983</v>
      </c>
    </row>
    <row r="32" spans="1:19" ht="14.25" customHeight="1" thickBot="1">
      <c r="A32" s="3229" t="s">
        <v>296</v>
      </c>
      <c r="B32" s="3230" t="s">
        <v>138</v>
      </c>
      <c r="C32" s="3229">
        <v>27210</v>
      </c>
      <c r="D32" s="3229">
        <v>23240</v>
      </c>
      <c r="E32" s="3229">
        <v>23260</v>
      </c>
      <c r="F32" s="3229">
        <v>7130</v>
      </c>
      <c r="G32" s="3242">
        <v>16270</v>
      </c>
      <c r="L32" s="3229" t="s">
        <v>2984</v>
      </c>
      <c r="M32" s="3229" t="s">
        <v>2985</v>
      </c>
      <c r="N32" s="3229" t="s">
        <v>300</v>
      </c>
      <c r="O32" s="3229" t="s">
        <v>2986</v>
      </c>
      <c r="P32" s="3229" t="s">
        <v>299</v>
      </c>
      <c r="Q32" s="3229" t="s">
        <v>2987</v>
      </c>
      <c r="R32" s="3236" t="s">
        <v>2988</v>
      </c>
    </row>
    <row r="33" spans="1:17" ht="14.25" customHeight="1" thickBot="1">
      <c r="A33" s="3229" t="s">
        <v>296</v>
      </c>
      <c r="B33" s="3230" t="s">
        <v>147</v>
      </c>
      <c r="C33" s="3229">
        <v>27300</v>
      </c>
      <c r="D33" s="3229">
        <v>22980</v>
      </c>
      <c r="E33" s="3229">
        <v>24260</v>
      </c>
      <c r="F33" s="3229">
        <v>5860</v>
      </c>
      <c r="G33" s="3242">
        <v>16090</v>
      </c>
      <c r="L33" s="3236" t="s">
        <v>2989</v>
      </c>
      <c r="M33" s="3229" t="s">
        <v>2990</v>
      </c>
      <c r="N33" s="3229" t="s">
        <v>301</v>
      </c>
      <c r="O33" s="3229" t="s">
        <v>2991</v>
      </c>
      <c r="P33" s="3229" t="s">
        <v>2992</v>
      </c>
      <c r="Q33" s="3229" t="s">
        <v>2993</v>
      </c>
    </row>
    <row r="34" spans="1:17" ht="14.25" customHeight="1">
      <c r="A34" s="3229" t="s">
        <v>296</v>
      </c>
      <c r="B34" s="3230" t="s">
        <v>156</v>
      </c>
      <c r="C34" s="3229">
        <v>23090</v>
      </c>
      <c r="D34" s="3229">
        <v>23390</v>
      </c>
      <c r="E34" s="3229">
        <v>23510</v>
      </c>
      <c r="F34" s="3229">
        <v>6700</v>
      </c>
      <c r="G34" s="3242">
        <v>16370</v>
      </c>
      <c r="M34" s="3229" t="s">
        <v>2994</v>
      </c>
      <c r="N34" s="3229" t="s">
        <v>302</v>
      </c>
      <c r="O34" s="3229" t="s">
        <v>2995</v>
      </c>
      <c r="P34" s="3229" t="s">
        <v>2996</v>
      </c>
      <c r="Q34" s="3229" t="s">
        <v>2997</v>
      </c>
    </row>
    <row r="35" spans="1:17" ht="14.25" customHeight="1">
      <c r="A35" s="3229" t="s">
        <v>296</v>
      </c>
      <c r="B35" s="3230" t="s">
        <v>163</v>
      </c>
      <c r="C35" s="3229">
        <v>27270</v>
      </c>
      <c r="D35" s="3229">
        <v>24270</v>
      </c>
      <c r="E35" s="3229">
        <v>24950</v>
      </c>
      <c r="F35" s="3229">
        <v>6600</v>
      </c>
      <c r="G35" s="3242">
        <v>16990</v>
      </c>
      <c r="M35" s="3229" t="s">
        <v>2998</v>
      </c>
      <c r="N35" s="3229" t="s">
        <v>2999</v>
      </c>
      <c r="O35" s="3229" t="s">
        <v>3000</v>
      </c>
      <c r="P35" s="3229" t="s">
        <v>3001</v>
      </c>
      <c r="Q35" s="3229" t="s">
        <v>3002</v>
      </c>
    </row>
    <row r="36" spans="1:17" ht="14.25" customHeight="1">
      <c r="A36" s="3229" t="s">
        <v>296</v>
      </c>
      <c r="B36" s="3230" t="s">
        <v>169</v>
      </c>
      <c r="C36" s="3229">
        <v>23490</v>
      </c>
      <c r="D36" s="3229">
        <v>23020</v>
      </c>
      <c r="E36" s="3229">
        <v>25230</v>
      </c>
      <c r="F36" s="3229">
        <v>6780</v>
      </c>
      <c r="G36" s="3242">
        <v>16120</v>
      </c>
      <c r="M36" s="3229" t="s">
        <v>3003</v>
      </c>
      <c r="N36" s="3229" t="s">
        <v>3004</v>
      </c>
      <c r="O36" s="3229" t="s">
        <v>3005</v>
      </c>
      <c r="P36" s="3229" t="s">
        <v>3006</v>
      </c>
      <c r="Q36" s="3229" t="s">
        <v>3007</v>
      </c>
    </row>
    <row r="37" spans="1:17" ht="14.25" customHeight="1">
      <c r="A37" s="3229" t="s">
        <v>296</v>
      </c>
      <c r="B37" s="3230" t="s">
        <v>176</v>
      </c>
      <c r="C37" s="3229">
        <v>24380</v>
      </c>
      <c r="D37" s="3229">
        <v>22240</v>
      </c>
      <c r="E37" s="3229">
        <v>25980</v>
      </c>
      <c r="F37" s="3229">
        <v>8160</v>
      </c>
      <c r="G37" s="3242">
        <v>15570</v>
      </c>
      <c r="M37" s="3229" t="s">
        <v>3008</v>
      </c>
      <c r="N37" s="3229" t="s">
        <v>3009</v>
      </c>
      <c r="O37" s="3229" t="s">
        <v>3010</v>
      </c>
      <c r="P37" s="3229" t="s">
        <v>3011</v>
      </c>
      <c r="Q37" s="3229" t="s">
        <v>3012</v>
      </c>
    </row>
    <row r="38" spans="1:17" ht="14.25" customHeight="1">
      <c r="A38" s="3229" t="s">
        <v>296</v>
      </c>
      <c r="B38" s="3230" t="s">
        <v>186</v>
      </c>
      <c r="C38" s="3229">
        <v>23120</v>
      </c>
      <c r="D38" s="3229">
        <v>24630</v>
      </c>
      <c r="E38" s="3229">
        <v>25030</v>
      </c>
      <c r="F38" s="3229">
        <v>7710</v>
      </c>
      <c r="G38" s="3242">
        <v>17240</v>
      </c>
      <c r="M38" s="3229" t="s">
        <v>3013</v>
      </c>
      <c r="N38" s="3229" t="s">
        <v>3014</v>
      </c>
      <c r="O38" s="3229" t="s">
        <v>3015</v>
      </c>
      <c r="P38" s="3229" t="s">
        <v>3016</v>
      </c>
      <c r="Q38" s="3229" t="s">
        <v>3017</v>
      </c>
    </row>
    <row r="39" spans="1:17" ht="14.25" customHeight="1">
      <c r="A39" s="3229" t="s">
        <v>296</v>
      </c>
      <c r="B39" s="3230" t="s">
        <v>195</v>
      </c>
      <c r="C39" s="3229">
        <v>22330</v>
      </c>
      <c r="D39" s="3229">
        <v>21140</v>
      </c>
      <c r="E39" s="3229">
        <v>23970</v>
      </c>
      <c r="F39" s="3229">
        <v>7940</v>
      </c>
      <c r="G39" s="3242">
        <v>14790</v>
      </c>
      <c r="M39" s="3229" t="s">
        <v>3018</v>
      </c>
      <c r="N39" s="3229" t="s">
        <v>3019</v>
      </c>
      <c r="O39" s="3229" t="s">
        <v>3020</v>
      </c>
      <c r="P39" s="3229" t="s">
        <v>3021</v>
      </c>
      <c r="Q39" s="3229" t="s">
        <v>3022</v>
      </c>
    </row>
    <row r="40" spans="1:17" ht="14.25" customHeight="1">
      <c r="A40" s="3229" t="s">
        <v>296</v>
      </c>
      <c r="B40" s="3230" t="s">
        <v>202</v>
      </c>
      <c r="C40" s="3229">
        <v>24740</v>
      </c>
      <c r="D40" s="3229">
        <v>24690</v>
      </c>
      <c r="E40" s="3229">
        <v>22610</v>
      </c>
      <c r="F40" s="3229"/>
      <c r="G40" s="3242">
        <v>17280</v>
      </c>
      <c r="M40" s="3229" t="s">
        <v>3023</v>
      </c>
      <c r="N40" s="3229" t="s">
        <v>3024</v>
      </c>
      <c r="O40" s="3229" t="s">
        <v>3025</v>
      </c>
      <c r="P40" s="3229" t="s">
        <v>3026</v>
      </c>
      <c r="Q40" s="3229" t="s">
        <v>3027</v>
      </c>
    </row>
    <row r="41" spans="1:17" ht="14.25" customHeight="1" thickBot="1">
      <c r="A41" s="3229" t="s">
        <v>296</v>
      </c>
      <c r="B41" s="3230" t="s">
        <v>209</v>
      </c>
      <c r="C41" s="3229">
        <v>21220</v>
      </c>
      <c r="D41" s="3229">
        <v>21120</v>
      </c>
      <c r="E41" s="3229">
        <v>22590</v>
      </c>
      <c r="F41" s="3229"/>
      <c r="G41" s="3242">
        <v>14780</v>
      </c>
      <c r="M41" s="3236" t="s">
        <v>3028</v>
      </c>
      <c r="N41" s="3229" t="s">
        <v>3029</v>
      </c>
      <c r="O41" s="3229" t="s">
        <v>3030</v>
      </c>
      <c r="P41" s="3229" t="s">
        <v>3031</v>
      </c>
      <c r="Q41" s="3229" t="s">
        <v>3032</v>
      </c>
    </row>
    <row r="42" spans="1:17" ht="14.25" customHeight="1">
      <c r="A42" s="3229" t="s">
        <v>296</v>
      </c>
      <c r="B42" s="3230" t="s">
        <v>215</v>
      </c>
      <c r="C42" s="3229">
        <v>24800</v>
      </c>
      <c r="D42" s="3229">
        <v>22280</v>
      </c>
      <c r="E42" s="3229">
        <v>24350</v>
      </c>
      <c r="F42" s="3229"/>
      <c r="G42" s="3242">
        <v>15590</v>
      </c>
      <c r="N42" s="3229" t="s">
        <v>3033</v>
      </c>
      <c r="O42" s="3229" t="s">
        <v>3034</v>
      </c>
      <c r="P42" s="3229" t="s">
        <v>3035</v>
      </c>
      <c r="Q42" s="3229" t="s">
        <v>3036</v>
      </c>
    </row>
    <row r="43" spans="1:17" ht="14.25" customHeight="1">
      <c r="A43" s="3229" t="s">
        <v>3037</v>
      </c>
      <c r="B43" s="3230" t="s">
        <v>223</v>
      </c>
      <c r="C43" s="3229">
        <v>21210</v>
      </c>
      <c r="D43" s="3229">
        <v>21160</v>
      </c>
      <c r="E43" s="3229">
        <v>22650</v>
      </c>
      <c r="F43" s="3229"/>
      <c r="G43" s="3242">
        <v>14800</v>
      </c>
      <c r="N43" s="3229" t="s">
        <v>3038</v>
      </c>
      <c r="O43" s="3229" t="s">
        <v>3039</v>
      </c>
      <c r="P43" s="3229" t="s">
        <v>3040</v>
      </c>
      <c r="Q43" s="3229" t="s">
        <v>3041</v>
      </c>
    </row>
    <row r="44" spans="1:17" ht="14.25" customHeight="1" thickBot="1">
      <c r="A44" s="3229" t="s">
        <v>296</v>
      </c>
      <c r="B44" s="3230" t="s">
        <v>231</v>
      </c>
      <c r="C44" s="3229">
        <v>22370</v>
      </c>
      <c r="D44" s="3229">
        <v>23140</v>
      </c>
      <c r="E44" s="3229">
        <v>25090</v>
      </c>
      <c r="F44" s="3229"/>
      <c r="G44" s="3242">
        <v>16190</v>
      </c>
      <c r="N44" s="3229" t="s">
        <v>3042</v>
      </c>
      <c r="O44" s="3229" t="s">
        <v>3043</v>
      </c>
      <c r="P44" s="3236" t="s">
        <v>3044</v>
      </c>
      <c r="Q44" s="3229" t="s">
        <v>3045</v>
      </c>
    </row>
    <row r="45" spans="1:17" ht="14.25" customHeight="1" thickBot="1">
      <c r="A45" s="3229" t="s">
        <v>296</v>
      </c>
      <c r="B45" s="3230" t="s">
        <v>236</v>
      </c>
      <c r="C45" s="3229">
        <v>21240</v>
      </c>
      <c r="D45" s="3229">
        <v>27050</v>
      </c>
      <c r="E45" s="3229">
        <v>28000</v>
      </c>
      <c r="F45" s="3229"/>
      <c r="G45" s="3242">
        <v>18940</v>
      </c>
      <c r="N45" s="3229" t="s">
        <v>3046</v>
      </c>
      <c r="O45" s="3236" t="s">
        <v>3047</v>
      </c>
      <c r="Q45" s="3229" t="s">
        <v>3048</v>
      </c>
    </row>
    <row r="46" spans="1:17" ht="14.25" customHeight="1">
      <c r="A46" s="3229" t="s">
        <v>296</v>
      </c>
      <c r="B46" s="3230" t="s">
        <v>245</v>
      </c>
      <c r="C46" s="3229">
        <v>23240</v>
      </c>
      <c r="D46" s="3229">
        <v>23000</v>
      </c>
      <c r="E46" s="3229">
        <v>24980</v>
      </c>
      <c r="F46" s="3229"/>
      <c r="G46" s="3242">
        <v>16100</v>
      </c>
      <c r="N46" s="3229" t="s">
        <v>3049</v>
      </c>
      <c r="Q46" s="3229" t="s">
        <v>3050</v>
      </c>
    </row>
    <row r="47" spans="1:17" ht="14.25" customHeight="1">
      <c r="A47" s="3229" t="s">
        <v>296</v>
      </c>
      <c r="B47" s="3230" t="s">
        <v>252</v>
      </c>
      <c r="C47" s="3229">
        <v>27150</v>
      </c>
      <c r="D47" s="3229">
        <v>23310</v>
      </c>
      <c r="E47" s="3229">
        <v>25150</v>
      </c>
      <c r="F47" s="3229"/>
      <c r="G47" s="3242">
        <v>16310</v>
      </c>
      <c r="N47" s="3229" t="s">
        <v>3051</v>
      </c>
      <c r="Q47" s="3229" t="s">
        <v>3052</v>
      </c>
    </row>
    <row r="48" spans="1:17" ht="14.25" customHeight="1">
      <c r="A48" s="3229" t="s">
        <v>296</v>
      </c>
      <c r="B48" s="3230" t="s">
        <v>260</v>
      </c>
      <c r="C48" s="3229">
        <v>23100</v>
      </c>
      <c r="D48" s="3229">
        <v>21110</v>
      </c>
      <c r="E48" s="3229">
        <v>23080</v>
      </c>
      <c r="F48" s="3229"/>
      <c r="G48" s="3242">
        <v>14780</v>
      </c>
      <c r="N48" s="3229" t="s">
        <v>3053</v>
      </c>
      <c r="Q48" s="3229" t="s">
        <v>3054</v>
      </c>
    </row>
    <row r="49" spans="1:17" ht="14.25" customHeight="1">
      <c r="A49" s="3229" t="s">
        <v>296</v>
      </c>
      <c r="B49" s="3230" t="s">
        <v>267</v>
      </c>
      <c r="C49" s="3229">
        <v>23400</v>
      </c>
      <c r="D49" s="3229">
        <v>22920</v>
      </c>
      <c r="E49" s="3229">
        <v>24900</v>
      </c>
      <c r="F49" s="3229"/>
      <c r="G49" s="3242">
        <v>16040</v>
      </c>
      <c r="N49" s="3229" t="s">
        <v>3055</v>
      </c>
      <c r="Q49" s="3229" t="s">
        <v>3056</v>
      </c>
    </row>
    <row r="50" spans="1:17" ht="14.25" customHeight="1">
      <c r="A50" s="3229" t="s">
        <v>296</v>
      </c>
      <c r="B50" s="3230" t="s">
        <v>2933</v>
      </c>
      <c r="C50" s="3229">
        <v>21200</v>
      </c>
      <c r="D50" s="3229">
        <v>26540</v>
      </c>
      <c r="E50" s="3229">
        <v>23200</v>
      </c>
      <c r="F50" s="3229"/>
      <c r="G50" s="3242">
        <v>18580</v>
      </c>
      <c r="N50" s="3229" t="s">
        <v>3057</v>
      </c>
      <c r="Q50" s="3230" t="s">
        <v>3058</v>
      </c>
    </row>
    <row r="51" spans="1:17" ht="14.25" customHeight="1" thickBot="1">
      <c r="A51" s="3229" t="s">
        <v>296</v>
      </c>
      <c r="B51" s="3230" t="s">
        <v>2935</v>
      </c>
      <c r="C51" s="3229">
        <v>23000</v>
      </c>
      <c r="D51" s="3229">
        <v>23460</v>
      </c>
      <c r="E51" s="3229">
        <v>25290</v>
      </c>
      <c r="F51" s="3229"/>
      <c r="G51" s="3242">
        <v>16420</v>
      </c>
      <c r="N51" s="3229" t="s">
        <v>3059</v>
      </c>
      <c r="Q51" s="3236" t="s">
        <v>3060</v>
      </c>
    </row>
    <row r="52" spans="1:17" ht="14.25" customHeight="1">
      <c r="A52" s="3229" t="s">
        <v>296</v>
      </c>
      <c r="B52" s="3230" t="s">
        <v>2939</v>
      </c>
      <c r="C52" s="3229">
        <v>26660</v>
      </c>
      <c r="D52" s="3229">
        <v>22350</v>
      </c>
      <c r="E52" s="3229">
        <v>22920</v>
      </c>
      <c r="F52" s="3229"/>
      <c r="G52" s="3242">
        <v>15640</v>
      </c>
      <c r="N52" s="3229" t="s">
        <v>3061</v>
      </c>
    </row>
    <row r="53" spans="1:17" ht="14.25" customHeight="1">
      <c r="A53" s="3229" t="s">
        <v>296</v>
      </c>
      <c r="B53" s="3230" t="s">
        <v>2944</v>
      </c>
      <c r="C53" s="3229">
        <v>23580</v>
      </c>
      <c r="D53" s="3229"/>
      <c r="E53" s="3229">
        <v>24280</v>
      </c>
      <c r="F53" s="3229"/>
      <c r="G53" s="3242"/>
      <c r="N53" s="3229" t="s">
        <v>3062</v>
      </c>
    </row>
    <row r="54" spans="1:17" ht="14.25" customHeight="1" thickBot="1">
      <c r="A54" s="3243" t="s">
        <v>296</v>
      </c>
      <c r="B54" s="3235" t="s">
        <v>2947</v>
      </c>
      <c r="C54" s="3236">
        <v>22460</v>
      </c>
      <c r="D54" s="3236"/>
      <c r="E54" s="3236"/>
      <c r="F54" s="3236"/>
      <c r="G54" s="3244"/>
      <c r="N54" s="3229" t="s">
        <v>3063</v>
      </c>
    </row>
    <row r="55" spans="1:17" ht="14.25" customHeight="1">
      <c r="A55" s="3234" t="s">
        <v>110</v>
      </c>
      <c r="B55" s="3225" t="s">
        <v>3064</v>
      </c>
      <c r="C55" s="3229">
        <v>21970</v>
      </c>
      <c r="D55" s="3229">
        <v>20370</v>
      </c>
      <c r="E55" s="3229">
        <v>20180</v>
      </c>
      <c r="F55" s="3229">
        <v>5730</v>
      </c>
      <c r="G55" s="3229">
        <v>13820</v>
      </c>
      <c r="N55" s="3229" t="s">
        <v>3065</v>
      </c>
    </row>
    <row r="56" spans="1:17" ht="14.25" customHeight="1">
      <c r="A56" s="3229" t="s">
        <v>110</v>
      </c>
      <c r="B56" s="3229" t="s">
        <v>130</v>
      </c>
      <c r="C56" s="3229">
        <v>20470</v>
      </c>
      <c r="D56" s="3229">
        <v>20700</v>
      </c>
      <c r="E56" s="3229">
        <v>20380</v>
      </c>
      <c r="F56" s="3229">
        <v>4760</v>
      </c>
      <c r="G56" s="3229">
        <v>14050</v>
      </c>
      <c r="N56" s="3229" t="s">
        <v>3066</v>
      </c>
    </row>
    <row r="57" spans="1:17" ht="14.25" customHeight="1">
      <c r="A57" s="3229" t="s">
        <v>110</v>
      </c>
      <c r="B57" s="3229" t="s">
        <v>139</v>
      </c>
      <c r="C57" s="3229">
        <v>20790</v>
      </c>
      <c r="D57" s="3229">
        <v>21370</v>
      </c>
      <c r="E57" s="3229">
        <v>20890</v>
      </c>
      <c r="F57" s="3229">
        <v>4910</v>
      </c>
      <c r="G57" s="3229">
        <v>14510</v>
      </c>
      <c r="N57" s="3229" t="s">
        <v>3067</v>
      </c>
    </row>
    <row r="58" spans="1:17" ht="14.25" customHeight="1">
      <c r="A58" s="3229" t="s">
        <v>110</v>
      </c>
      <c r="B58" s="3229" t="s">
        <v>148</v>
      </c>
      <c r="C58" s="3229">
        <v>21460</v>
      </c>
      <c r="D58" s="3229">
        <v>20920</v>
      </c>
      <c r="E58" s="3229">
        <v>23410</v>
      </c>
      <c r="F58" s="3229">
        <v>5100</v>
      </c>
      <c r="G58" s="3229">
        <v>14200</v>
      </c>
      <c r="N58" s="3229" t="s">
        <v>3068</v>
      </c>
    </row>
    <row r="59" spans="1:17" ht="14.25" customHeight="1">
      <c r="A59" s="3229" t="s">
        <v>110</v>
      </c>
      <c r="B59" s="3229" t="s">
        <v>157</v>
      </c>
      <c r="C59" s="3229">
        <v>21000</v>
      </c>
      <c r="D59" s="3229">
        <v>21550</v>
      </c>
      <c r="E59" s="3229">
        <v>21150</v>
      </c>
      <c r="F59" s="3229">
        <v>5250</v>
      </c>
      <c r="G59" s="3229">
        <v>14630</v>
      </c>
      <c r="N59" s="3229" t="s">
        <v>3069</v>
      </c>
    </row>
    <row r="60" spans="1:17" ht="14.25" customHeight="1">
      <c r="A60" s="3229" t="s">
        <v>110</v>
      </c>
      <c r="B60" s="3229" t="s">
        <v>164</v>
      </c>
      <c r="C60" s="3229">
        <v>21640</v>
      </c>
      <c r="D60" s="3229">
        <v>21260</v>
      </c>
      <c r="E60" s="3229">
        <v>24040</v>
      </c>
      <c r="F60" s="3229">
        <v>4470</v>
      </c>
      <c r="G60" s="3229">
        <v>14430</v>
      </c>
      <c r="N60" s="3229" t="s">
        <v>3070</v>
      </c>
    </row>
    <row r="61" spans="1:17" ht="14.25" customHeight="1">
      <c r="A61" s="3229" t="s">
        <v>110</v>
      </c>
      <c r="B61" s="3229" t="s">
        <v>170</v>
      </c>
      <c r="C61" s="3229">
        <v>21330</v>
      </c>
      <c r="D61" s="3229">
        <v>18640</v>
      </c>
      <c r="E61" s="3229">
        <v>21190</v>
      </c>
      <c r="F61" s="3229">
        <v>4180</v>
      </c>
      <c r="G61" s="3229">
        <v>12650</v>
      </c>
      <c r="N61" s="3229" t="s">
        <v>3071</v>
      </c>
    </row>
    <row r="62" spans="1:17" ht="14.25" customHeight="1">
      <c r="A62" s="3229" t="s">
        <v>110</v>
      </c>
      <c r="B62" s="3229" t="s">
        <v>177</v>
      </c>
      <c r="C62" s="3229">
        <v>18710</v>
      </c>
      <c r="D62" s="3229">
        <v>19400</v>
      </c>
      <c r="E62" s="3229">
        <v>23750</v>
      </c>
      <c r="F62" s="3229">
        <v>4860</v>
      </c>
      <c r="G62" s="3229">
        <v>13170</v>
      </c>
      <c r="N62" s="3229" t="s">
        <v>3072</v>
      </c>
    </row>
    <row r="63" spans="1:17" ht="14.25" customHeight="1">
      <c r="A63" s="3229" t="s">
        <v>110</v>
      </c>
      <c r="B63" s="3229" t="s">
        <v>187</v>
      </c>
      <c r="C63" s="3229">
        <v>19480</v>
      </c>
      <c r="D63" s="3229">
        <v>16830</v>
      </c>
      <c r="E63" s="3229">
        <v>21590</v>
      </c>
      <c r="F63" s="3229">
        <v>4560</v>
      </c>
      <c r="G63" s="3229">
        <v>11420</v>
      </c>
      <c r="N63" s="3229" t="s">
        <v>3073</v>
      </c>
    </row>
    <row r="64" spans="1:17" ht="14.25" customHeight="1" thickBot="1">
      <c r="A64" s="3229" t="s">
        <v>110</v>
      </c>
      <c r="B64" s="3229" t="s">
        <v>196</v>
      </c>
      <c r="C64" s="3229">
        <v>16920</v>
      </c>
      <c r="D64" s="3229">
        <v>19190</v>
      </c>
      <c r="E64" s="3229">
        <v>22200</v>
      </c>
      <c r="F64" s="3229">
        <v>4390</v>
      </c>
      <c r="G64" s="3229">
        <v>13030</v>
      </c>
      <c r="N64" s="3236" t="s">
        <v>3074</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2945</v>
      </c>
      <c r="C78" s="3229">
        <v>19820</v>
      </c>
      <c r="D78" s="3229">
        <v>19780</v>
      </c>
      <c r="E78" s="3229">
        <v>18560</v>
      </c>
      <c r="F78" s="3229"/>
      <c r="G78" s="3229">
        <v>13430</v>
      </c>
    </row>
    <row r="79" spans="1:7" s="3218" customFormat="1" ht="14.25" customHeight="1">
      <c r="A79" s="3229" t="s">
        <v>110</v>
      </c>
      <c r="B79" s="3229" t="s">
        <v>2948</v>
      </c>
      <c r="C79" s="3229">
        <v>21660</v>
      </c>
      <c r="D79" s="3229">
        <v>18000</v>
      </c>
      <c r="E79" s="3229">
        <v>22570</v>
      </c>
      <c r="F79" s="3229"/>
      <c r="G79" s="3229">
        <v>12220</v>
      </c>
    </row>
    <row r="80" spans="1:7" s="3218" customFormat="1" ht="14.25" customHeight="1">
      <c r="A80" s="3229" t="s">
        <v>110</v>
      </c>
      <c r="B80" s="3229" t="s">
        <v>2952</v>
      </c>
      <c r="C80" s="3229">
        <v>19850</v>
      </c>
      <c r="D80" s="3229"/>
      <c r="E80" s="3229">
        <v>21700</v>
      </c>
      <c r="F80" s="3229"/>
      <c r="G80" s="3229"/>
    </row>
    <row r="81" spans="1:7" s="3218" customFormat="1" ht="14.25" customHeight="1">
      <c r="A81" s="3229" t="s">
        <v>110</v>
      </c>
      <c r="B81" s="3229" t="s">
        <v>2957</v>
      </c>
      <c r="C81" s="3229">
        <v>18080</v>
      </c>
      <c r="D81" s="3229"/>
      <c r="E81" s="3229">
        <v>20900</v>
      </c>
      <c r="F81" s="3229"/>
      <c r="G81" s="3229"/>
    </row>
    <row r="82" spans="1:7" s="3218" customFormat="1" ht="14.25" customHeight="1">
      <c r="A82" s="3229" t="s">
        <v>110</v>
      </c>
      <c r="B82" s="3229" t="s">
        <v>2964</v>
      </c>
      <c r="C82" s="3229"/>
      <c r="D82" s="3229"/>
      <c r="E82" s="3229">
        <v>20840</v>
      </c>
      <c r="F82" s="3229"/>
      <c r="G82" s="3229"/>
    </row>
    <row r="83" spans="1:7" s="3218" customFormat="1" ht="14.25" customHeight="1">
      <c r="A83" s="3229" t="s">
        <v>110</v>
      </c>
      <c r="B83" s="3229" t="s">
        <v>3075</v>
      </c>
      <c r="C83" s="3229"/>
      <c r="D83" s="3229"/>
      <c r="E83" s="3229"/>
      <c r="F83" s="3229">
        <v>4770</v>
      </c>
      <c r="G83" s="3229"/>
    </row>
    <row r="84" spans="1:7" s="3218" customFormat="1" ht="14.25" customHeight="1">
      <c r="A84" s="3229" t="s">
        <v>110</v>
      </c>
      <c r="B84" s="3229" t="s">
        <v>3076</v>
      </c>
      <c r="C84" s="3229"/>
      <c r="D84" s="3229"/>
      <c r="E84" s="3229"/>
      <c r="F84" s="3229">
        <v>4600</v>
      </c>
      <c r="G84" s="3229"/>
    </row>
    <row r="85" spans="1:7" s="3218" customFormat="1" ht="14.25" customHeight="1">
      <c r="A85" s="3229" t="s">
        <v>110</v>
      </c>
      <c r="B85" s="3229" t="s">
        <v>3077</v>
      </c>
      <c r="C85" s="3229"/>
      <c r="D85" s="3229"/>
      <c r="E85" s="3229"/>
      <c r="F85" s="3229">
        <v>4680</v>
      </c>
      <c r="G85" s="3229"/>
    </row>
    <row r="86" spans="1:7" s="3218" customFormat="1" ht="14.25" customHeight="1" thickBot="1">
      <c r="A86" s="3237" t="s">
        <v>110</v>
      </c>
      <c r="B86" s="3239" t="s">
        <v>3078</v>
      </c>
      <c r="C86" s="3240">
        <v>16610</v>
      </c>
      <c r="D86" s="3240">
        <v>16540</v>
      </c>
      <c r="E86" s="3240">
        <v>18850</v>
      </c>
      <c r="F86" s="3240"/>
      <c r="G86" s="3240">
        <v>11220</v>
      </c>
    </row>
    <row r="87" spans="1:7" s="3218" customFormat="1" ht="14.25" customHeight="1">
      <c r="A87" s="3234" t="s">
        <v>303</v>
      </c>
      <c r="B87" s="3225" t="s">
        <v>3079</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2958</v>
      </c>
      <c r="C113" s="3229">
        <v>15520</v>
      </c>
      <c r="D113" s="3229">
        <v>15450</v>
      </c>
      <c r="E113" s="3229"/>
      <c r="F113" s="3229"/>
      <c r="G113" s="3242">
        <v>10210</v>
      </c>
    </row>
    <row r="114" spans="1:7" s="3218" customFormat="1" ht="14.25" customHeight="1">
      <c r="A114" s="3229" t="s">
        <v>303</v>
      </c>
      <c r="B114" s="3229" t="s">
        <v>2965</v>
      </c>
      <c r="C114" s="3229">
        <v>13110</v>
      </c>
      <c r="D114" s="3229">
        <v>13050</v>
      </c>
      <c r="E114" s="3229"/>
      <c r="F114" s="3229"/>
      <c r="G114" s="3242">
        <v>8620</v>
      </c>
    </row>
    <row r="115" spans="1:7" s="3218" customFormat="1" ht="14.25" customHeight="1">
      <c r="A115" s="3229" t="s">
        <v>303</v>
      </c>
      <c r="B115" s="3229" t="s">
        <v>2971</v>
      </c>
      <c r="C115" s="3229">
        <v>12460</v>
      </c>
      <c r="D115" s="3229">
        <v>12390</v>
      </c>
      <c r="E115" s="3229"/>
      <c r="F115" s="3229"/>
      <c r="G115" s="3242">
        <v>8190</v>
      </c>
    </row>
    <row r="116" spans="1:7" s="3218" customFormat="1" ht="14.25" customHeight="1">
      <c r="A116" s="3229" t="s">
        <v>303</v>
      </c>
      <c r="B116" s="3229" t="s">
        <v>2978</v>
      </c>
      <c r="C116" s="3229">
        <v>13580</v>
      </c>
      <c r="D116" s="3229">
        <v>13520</v>
      </c>
      <c r="E116" s="3229"/>
      <c r="F116" s="3229"/>
      <c r="G116" s="3242">
        <v>8930</v>
      </c>
    </row>
    <row r="117" spans="1:7" s="3218" customFormat="1" ht="14.25" customHeight="1">
      <c r="A117" s="3229" t="s">
        <v>303</v>
      </c>
      <c r="B117" s="3229" t="s">
        <v>2985</v>
      </c>
      <c r="C117" s="3229">
        <v>17120</v>
      </c>
      <c r="D117" s="3229">
        <v>17040</v>
      </c>
      <c r="E117" s="3229"/>
      <c r="F117" s="3229"/>
      <c r="G117" s="3242">
        <v>11260</v>
      </c>
    </row>
    <row r="118" spans="1:7" s="3218" customFormat="1" ht="14.25" customHeight="1">
      <c r="A118" s="3229" t="s">
        <v>303</v>
      </c>
      <c r="B118" s="3229" t="s">
        <v>2990</v>
      </c>
      <c r="C118" s="3229">
        <v>14860</v>
      </c>
      <c r="D118" s="3229">
        <v>14790</v>
      </c>
      <c r="E118" s="3229"/>
      <c r="F118" s="3229"/>
      <c r="G118" s="3242">
        <v>9780</v>
      </c>
    </row>
    <row r="119" spans="1:7" s="3218" customFormat="1" ht="14.25" customHeight="1">
      <c r="A119" s="3229" t="s">
        <v>303</v>
      </c>
      <c r="B119" s="3229" t="s">
        <v>2994</v>
      </c>
      <c r="C119" s="3229">
        <v>16470</v>
      </c>
      <c r="D119" s="3229">
        <v>16400</v>
      </c>
      <c r="E119" s="3229"/>
      <c r="F119" s="3229"/>
      <c r="G119" s="3242">
        <v>10840</v>
      </c>
    </row>
    <row r="120" spans="1:7" s="3218" customFormat="1" ht="14.25" customHeight="1">
      <c r="A120" s="3229" t="s">
        <v>303</v>
      </c>
      <c r="B120" s="3229" t="s">
        <v>3080</v>
      </c>
      <c r="C120" s="3229"/>
      <c r="D120" s="3229"/>
      <c r="E120" s="3229"/>
      <c r="F120" s="3229">
        <v>4160</v>
      </c>
      <c r="G120" s="3242"/>
    </row>
    <row r="121" spans="1:7" s="3218" customFormat="1" ht="14.25" customHeight="1">
      <c r="A121" s="3229" t="s">
        <v>303</v>
      </c>
      <c r="B121" s="3229" t="s">
        <v>3081</v>
      </c>
      <c r="C121" s="3229"/>
      <c r="D121" s="3229"/>
      <c r="E121" s="3229"/>
      <c r="F121" s="3229">
        <v>3880</v>
      </c>
      <c r="G121" s="3242"/>
    </row>
    <row r="122" spans="1:7" s="3218" customFormat="1" ht="14.25" customHeight="1">
      <c r="A122" s="3229" t="s">
        <v>303</v>
      </c>
      <c r="B122" s="3229" t="s">
        <v>3082</v>
      </c>
      <c r="C122" s="3229">
        <v>13750</v>
      </c>
      <c r="D122" s="3229">
        <v>13680</v>
      </c>
      <c r="E122" s="3229">
        <v>16460</v>
      </c>
      <c r="F122" s="3229">
        <v>2880</v>
      </c>
      <c r="G122" s="3242">
        <v>9040</v>
      </c>
    </row>
    <row r="123" spans="1:7" s="3218" customFormat="1" ht="14.25" customHeight="1">
      <c r="A123" s="3229" t="s">
        <v>303</v>
      </c>
      <c r="B123" s="3229" t="s">
        <v>3013</v>
      </c>
      <c r="C123" s="3229">
        <v>13590</v>
      </c>
      <c r="D123" s="3229">
        <v>13520</v>
      </c>
      <c r="E123" s="3229">
        <v>16290</v>
      </c>
      <c r="F123" s="3229">
        <v>2790</v>
      </c>
      <c r="G123" s="3242">
        <v>8930</v>
      </c>
    </row>
    <row r="124" spans="1:7" s="3218" customFormat="1" ht="14.25" customHeight="1">
      <c r="A124" s="3229" t="s">
        <v>303</v>
      </c>
      <c r="B124" s="3229" t="s">
        <v>3018</v>
      </c>
      <c r="C124" s="3229">
        <v>13400</v>
      </c>
      <c r="D124" s="3229">
        <v>13320</v>
      </c>
      <c r="E124" s="3229">
        <v>16100</v>
      </c>
      <c r="F124" s="3229">
        <v>2320</v>
      </c>
      <c r="G124" s="3242">
        <v>8800</v>
      </c>
    </row>
    <row r="125" spans="1:7" s="3218" customFormat="1" ht="14.25" customHeight="1">
      <c r="A125" s="3229" t="s">
        <v>303</v>
      </c>
      <c r="B125" s="3229" t="s">
        <v>3023</v>
      </c>
      <c r="C125" s="3229">
        <v>12860</v>
      </c>
      <c r="D125" s="3229">
        <v>12790</v>
      </c>
      <c r="E125" s="3229">
        <v>15370</v>
      </c>
      <c r="F125" s="3229">
        <v>2280</v>
      </c>
      <c r="G125" s="3242">
        <v>8450</v>
      </c>
    </row>
    <row r="126" spans="1:7" s="3218" customFormat="1" ht="14.25" customHeight="1" thickBot="1">
      <c r="A126" s="3243" t="s">
        <v>303</v>
      </c>
      <c r="B126" s="3236" t="s">
        <v>3028</v>
      </c>
      <c r="C126" s="3236">
        <v>12960</v>
      </c>
      <c r="D126" s="3236">
        <v>12890</v>
      </c>
      <c r="E126" s="3236">
        <v>15530</v>
      </c>
      <c r="F126" s="3236">
        <v>2910</v>
      </c>
      <c r="G126" s="3244">
        <v>8520</v>
      </c>
    </row>
    <row r="127" spans="1:7" s="3218" customFormat="1" ht="14.25" customHeight="1">
      <c r="A127" s="3234" t="s">
        <v>29</v>
      </c>
      <c r="B127" s="3225" t="s">
        <v>3083</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3084</v>
      </c>
      <c r="C148" s="3229">
        <v>10370</v>
      </c>
      <c r="D148" s="3229">
        <v>10310</v>
      </c>
      <c r="E148" s="3229">
        <v>12970</v>
      </c>
      <c r="F148" s="3229"/>
      <c r="G148" s="3229">
        <v>6630</v>
      </c>
    </row>
    <row r="149" spans="1:7" s="3218" customFormat="1" ht="14.25" customHeight="1">
      <c r="A149" s="3229" t="s">
        <v>29</v>
      </c>
      <c r="B149" s="3229" t="s">
        <v>3085</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2959</v>
      </c>
      <c r="C153" s="3229">
        <v>10880</v>
      </c>
      <c r="D153" s="3229">
        <v>10820</v>
      </c>
      <c r="E153" s="3229">
        <v>13660</v>
      </c>
      <c r="F153" s="3229">
        <v>2260</v>
      </c>
      <c r="G153" s="3229">
        <v>6970</v>
      </c>
    </row>
    <row r="154" spans="1:7" s="3218" customFormat="1" ht="14.25" customHeight="1">
      <c r="A154" s="3229" t="s">
        <v>29</v>
      </c>
      <c r="B154" s="3229" t="s">
        <v>3086</v>
      </c>
      <c r="C154" s="3229">
        <v>11220</v>
      </c>
      <c r="D154" s="3229">
        <v>11160</v>
      </c>
      <c r="E154" s="3229">
        <v>14130</v>
      </c>
      <c r="F154" s="3229">
        <v>2230</v>
      </c>
      <c r="G154" s="3229">
        <v>7180</v>
      </c>
    </row>
    <row r="155" spans="1:7" s="3218" customFormat="1" ht="14.25" customHeight="1">
      <c r="A155" s="3229" t="s">
        <v>29</v>
      </c>
      <c r="B155" s="3229" t="s">
        <v>2972</v>
      </c>
      <c r="C155" s="3229">
        <v>10430</v>
      </c>
      <c r="D155" s="3229">
        <v>10380</v>
      </c>
      <c r="E155" s="3229">
        <v>13140</v>
      </c>
      <c r="F155" s="3229">
        <v>2080</v>
      </c>
      <c r="G155" s="3229">
        <v>6650</v>
      </c>
    </row>
    <row r="156" spans="1:7" s="3218" customFormat="1" ht="14.25" customHeight="1">
      <c r="A156" s="3229" t="s">
        <v>29</v>
      </c>
      <c r="B156" s="3229" t="s">
        <v>3087</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3088</v>
      </c>
      <c r="C160" s="3229">
        <v>11180</v>
      </c>
      <c r="D160" s="3229">
        <v>11140</v>
      </c>
      <c r="E160" s="3229">
        <v>14050</v>
      </c>
      <c r="F160" s="3229">
        <v>2270</v>
      </c>
      <c r="G160" s="3229">
        <v>7170</v>
      </c>
    </row>
    <row r="161" spans="1:7" s="3218" customFormat="1" ht="14.25" customHeight="1">
      <c r="A161" s="3229" t="s">
        <v>29</v>
      </c>
      <c r="B161" s="3229" t="s">
        <v>3004</v>
      </c>
      <c r="C161" s="3229">
        <v>11160</v>
      </c>
      <c r="D161" s="3229">
        <v>11120</v>
      </c>
      <c r="E161" s="3229">
        <v>14020</v>
      </c>
      <c r="F161" s="3229">
        <v>2150</v>
      </c>
      <c r="G161" s="3229">
        <v>7160</v>
      </c>
    </row>
    <row r="162" spans="1:7" s="3218" customFormat="1" ht="14.25" customHeight="1">
      <c r="A162" s="3229" t="s">
        <v>29</v>
      </c>
      <c r="B162" s="3229" t="s">
        <v>3009</v>
      </c>
      <c r="C162" s="3229">
        <v>9620</v>
      </c>
      <c r="D162" s="3229">
        <v>9570</v>
      </c>
      <c r="E162" s="3229">
        <v>12320</v>
      </c>
      <c r="F162" s="3229">
        <v>2010</v>
      </c>
      <c r="G162" s="3229">
        <v>6160</v>
      </c>
    </row>
    <row r="163" spans="1:7" s="3218" customFormat="1" ht="14.25" customHeight="1">
      <c r="A163" s="3229" t="s">
        <v>29</v>
      </c>
      <c r="B163" s="3229" t="s">
        <v>3014</v>
      </c>
      <c r="C163" s="3229">
        <v>9320</v>
      </c>
      <c r="D163" s="3229">
        <v>9270</v>
      </c>
      <c r="E163" s="3229">
        <v>11790</v>
      </c>
      <c r="F163" s="3229">
        <v>1920</v>
      </c>
      <c r="G163" s="3229">
        <v>5960</v>
      </c>
    </row>
    <row r="164" spans="1:7" s="3218" customFormat="1" ht="14.25" customHeight="1">
      <c r="A164" s="3229" t="s">
        <v>29</v>
      </c>
      <c r="B164" s="3229" t="s">
        <v>3019</v>
      </c>
      <c r="C164" s="3229"/>
      <c r="D164" s="3229"/>
      <c r="E164" s="3229"/>
      <c r="F164" s="3229">
        <v>1980</v>
      </c>
      <c r="G164" s="3229"/>
    </row>
    <row r="165" spans="1:7" s="3218" customFormat="1" ht="14.25" customHeight="1">
      <c r="A165" s="3229" t="s">
        <v>29</v>
      </c>
      <c r="B165" s="3229" t="s">
        <v>3089</v>
      </c>
      <c r="C165" s="3229">
        <v>11060</v>
      </c>
      <c r="D165" s="3229">
        <v>11030</v>
      </c>
      <c r="E165" s="3229">
        <v>13850</v>
      </c>
      <c r="F165" s="3229">
        <v>2170</v>
      </c>
      <c r="G165" s="3229">
        <v>7090</v>
      </c>
    </row>
    <row r="166" spans="1:7" s="3218" customFormat="1" ht="14.25" customHeight="1">
      <c r="A166" s="3229" t="s">
        <v>29</v>
      </c>
      <c r="B166" s="3229" t="s">
        <v>3029</v>
      </c>
      <c r="C166" s="3229">
        <v>11050</v>
      </c>
      <c r="D166" s="3229">
        <v>11010</v>
      </c>
      <c r="E166" s="3229">
        <v>13920</v>
      </c>
      <c r="F166" s="3229">
        <v>2140</v>
      </c>
      <c r="G166" s="3229">
        <v>7080</v>
      </c>
    </row>
    <row r="167" spans="1:7" s="3218" customFormat="1" ht="14.25" customHeight="1">
      <c r="A167" s="3229" t="s">
        <v>29</v>
      </c>
      <c r="B167" s="3229" t="s">
        <v>3033</v>
      </c>
      <c r="C167" s="3229">
        <v>10930</v>
      </c>
      <c r="D167" s="3229">
        <v>10890</v>
      </c>
      <c r="E167" s="3229">
        <v>13790</v>
      </c>
      <c r="F167" s="3229">
        <v>2010</v>
      </c>
      <c r="G167" s="3229">
        <v>7000</v>
      </c>
    </row>
    <row r="168" spans="1:7" s="3218" customFormat="1" ht="14.25" customHeight="1">
      <c r="A168" s="3229" t="s">
        <v>29</v>
      </c>
      <c r="B168" s="3229" t="s">
        <v>3038</v>
      </c>
      <c r="C168" s="3229">
        <v>9420</v>
      </c>
      <c r="D168" s="3229">
        <v>9380</v>
      </c>
      <c r="E168" s="3229">
        <v>11970</v>
      </c>
      <c r="F168" s="3229"/>
      <c r="G168" s="3229">
        <v>6040</v>
      </c>
    </row>
    <row r="169" spans="1:7" s="3218" customFormat="1" ht="14.25" customHeight="1">
      <c r="A169" s="3229" t="s">
        <v>29</v>
      </c>
      <c r="B169" s="3229" t="s">
        <v>3090</v>
      </c>
      <c r="C169" s="3229"/>
      <c r="D169" s="3229"/>
      <c r="E169" s="3229"/>
      <c r="F169" s="3229">
        <v>2880</v>
      </c>
      <c r="G169" s="3229"/>
    </row>
    <row r="170" spans="1:7" s="3218" customFormat="1" ht="14.25" customHeight="1">
      <c r="A170" s="3229" t="s">
        <v>29</v>
      </c>
      <c r="B170" s="3229" t="s">
        <v>3046</v>
      </c>
      <c r="C170" s="3229"/>
      <c r="D170" s="3229"/>
      <c r="E170" s="3229"/>
      <c r="F170" s="3229">
        <v>2880</v>
      </c>
      <c r="G170" s="3229"/>
    </row>
    <row r="171" spans="1:7" s="3218" customFormat="1" ht="14.25" customHeight="1">
      <c r="A171" s="3229" t="s">
        <v>29</v>
      </c>
      <c r="B171" s="3229" t="s">
        <v>3049</v>
      </c>
      <c r="C171" s="3229"/>
      <c r="D171" s="3229"/>
      <c r="E171" s="3229"/>
      <c r="F171" s="3229">
        <v>2880</v>
      </c>
      <c r="G171" s="3229"/>
    </row>
    <row r="172" spans="1:7" s="3218" customFormat="1" ht="14.25" customHeight="1">
      <c r="A172" s="3229" t="s">
        <v>29</v>
      </c>
      <c r="B172" s="3229" t="s">
        <v>3051</v>
      </c>
      <c r="C172" s="3229"/>
      <c r="D172" s="3229"/>
      <c r="E172" s="3229"/>
      <c r="F172" s="3229">
        <v>2880</v>
      </c>
      <c r="G172" s="3229"/>
    </row>
    <row r="173" spans="1:7" s="3218" customFormat="1" ht="14.25" customHeight="1">
      <c r="A173" s="3229" t="s">
        <v>29</v>
      </c>
      <c r="B173" s="3229" t="s">
        <v>3053</v>
      </c>
      <c r="C173" s="3229"/>
      <c r="D173" s="3229"/>
      <c r="E173" s="3229"/>
      <c r="F173" s="3229">
        <v>2150</v>
      </c>
      <c r="G173" s="3229"/>
    </row>
    <row r="174" spans="1:7" s="3218" customFormat="1" ht="14.25" customHeight="1">
      <c r="A174" s="3229" t="s">
        <v>29</v>
      </c>
      <c r="B174" s="3229" t="s">
        <v>3055</v>
      </c>
      <c r="C174" s="3229"/>
      <c r="D174" s="3229"/>
      <c r="E174" s="3229"/>
      <c r="F174" s="3229">
        <v>2030</v>
      </c>
      <c r="G174" s="3229"/>
    </row>
    <row r="175" spans="1:7" s="3218" customFormat="1" ht="14.25" customHeight="1">
      <c r="A175" s="3229" t="s">
        <v>29</v>
      </c>
      <c r="B175" s="3229" t="s">
        <v>3057</v>
      </c>
      <c r="C175" s="3229"/>
      <c r="D175" s="3229"/>
      <c r="E175" s="3229"/>
      <c r="F175" s="3229">
        <v>2780</v>
      </c>
      <c r="G175" s="3229"/>
    </row>
    <row r="176" spans="1:7" s="3218" customFormat="1" ht="14.25" customHeight="1">
      <c r="A176" s="3229" t="s">
        <v>29</v>
      </c>
      <c r="B176" s="3229" t="s">
        <v>3059</v>
      </c>
      <c r="C176" s="3229"/>
      <c r="D176" s="3229"/>
      <c r="E176" s="3229"/>
      <c r="F176" s="3229">
        <v>2780</v>
      </c>
      <c r="G176" s="3229"/>
    </row>
    <row r="177" spans="1:7" s="3218" customFormat="1" ht="14.25" customHeight="1">
      <c r="A177" s="3229" t="s">
        <v>29</v>
      </c>
      <c r="B177" s="3229" t="s">
        <v>3091</v>
      </c>
      <c r="C177" s="3229"/>
      <c r="D177" s="3229"/>
      <c r="E177" s="3229"/>
      <c r="F177" s="3229">
        <v>2780</v>
      </c>
      <c r="G177" s="3229"/>
    </row>
    <row r="178" spans="1:7" s="3218" customFormat="1" ht="14.25" customHeight="1">
      <c r="A178" s="3229" t="s">
        <v>29</v>
      </c>
      <c r="B178" s="3229" t="s">
        <v>3092</v>
      </c>
      <c r="C178" s="3229"/>
      <c r="D178" s="3229"/>
      <c r="E178" s="3229"/>
      <c r="F178" s="3229">
        <v>2060</v>
      </c>
      <c r="G178" s="3229"/>
    </row>
    <row r="179" spans="1:7" s="3218" customFormat="1" ht="14.25" customHeight="1">
      <c r="A179" s="3229" t="s">
        <v>29</v>
      </c>
      <c r="B179" s="3229" t="s">
        <v>3093</v>
      </c>
      <c r="C179" s="3229"/>
      <c r="D179" s="3229"/>
      <c r="E179" s="3229"/>
      <c r="F179" s="3229">
        <v>2120</v>
      </c>
      <c r="G179" s="3229"/>
    </row>
    <row r="180" spans="1:7" s="3218" customFormat="1" ht="14.25" customHeight="1">
      <c r="A180" s="3229" t="s">
        <v>29</v>
      </c>
      <c r="B180" s="3229" t="s">
        <v>3065</v>
      </c>
      <c r="C180" s="3229"/>
      <c r="D180" s="3229"/>
      <c r="E180" s="3229"/>
      <c r="F180" s="3229">
        <v>2340</v>
      </c>
      <c r="G180" s="3229"/>
    </row>
    <row r="181" spans="1:7" s="3218" customFormat="1" ht="14.25" customHeight="1">
      <c r="A181" s="3229" t="s">
        <v>29</v>
      </c>
      <c r="B181" s="3229" t="s">
        <v>3066</v>
      </c>
      <c r="C181" s="3229"/>
      <c r="D181" s="3229"/>
      <c r="E181" s="3229"/>
      <c r="F181" s="3229">
        <v>2340</v>
      </c>
      <c r="G181" s="3229"/>
    </row>
    <row r="182" spans="1:7" s="3218" customFormat="1" ht="14.25" customHeight="1">
      <c r="A182" s="3229" t="s">
        <v>29</v>
      </c>
      <c r="B182" s="3229" t="s">
        <v>3067</v>
      </c>
      <c r="C182" s="3229"/>
      <c r="D182" s="3229"/>
      <c r="E182" s="3229"/>
      <c r="F182" s="3229">
        <v>2340</v>
      </c>
      <c r="G182" s="3229"/>
    </row>
    <row r="183" spans="1:7" s="3218" customFormat="1" ht="14.25" customHeight="1">
      <c r="A183" s="3229" t="s">
        <v>29</v>
      </c>
      <c r="B183" s="3229" t="s">
        <v>3068</v>
      </c>
      <c r="C183" s="3229"/>
      <c r="D183" s="3229"/>
      <c r="E183" s="3229"/>
      <c r="F183" s="3229">
        <v>2340</v>
      </c>
      <c r="G183" s="3229"/>
    </row>
    <row r="184" spans="1:7" s="3218" customFormat="1" ht="14.25" customHeight="1">
      <c r="A184" s="3229" t="s">
        <v>29</v>
      </c>
      <c r="B184" s="3229" t="s">
        <v>3069</v>
      </c>
      <c r="C184" s="3229"/>
      <c r="D184" s="3229"/>
      <c r="E184" s="3229"/>
      <c r="F184" s="3229">
        <v>2340</v>
      </c>
      <c r="G184" s="3229"/>
    </row>
    <row r="185" spans="1:7" s="3218" customFormat="1" ht="14.25" customHeight="1">
      <c r="A185" s="3229" t="s">
        <v>29</v>
      </c>
      <c r="B185" s="3229" t="s">
        <v>3070</v>
      </c>
      <c r="C185" s="3229"/>
      <c r="D185" s="3229"/>
      <c r="E185" s="3229"/>
      <c r="F185" s="3229">
        <v>2530</v>
      </c>
      <c r="G185" s="3229"/>
    </row>
    <row r="186" spans="1:7" s="3218" customFormat="1" ht="14.25" customHeight="1">
      <c r="A186" s="3229" t="s">
        <v>29</v>
      </c>
      <c r="B186" s="3229" t="s">
        <v>3071</v>
      </c>
      <c r="C186" s="3229"/>
      <c r="D186" s="3229"/>
      <c r="E186" s="3229"/>
      <c r="F186" s="3229">
        <v>2550</v>
      </c>
      <c r="G186" s="3229"/>
    </row>
    <row r="187" spans="1:7" s="3218" customFormat="1" ht="14.25" customHeight="1">
      <c r="A187" s="3229" t="s">
        <v>29</v>
      </c>
      <c r="B187" s="3229" t="s">
        <v>3072</v>
      </c>
      <c r="C187" s="3229"/>
      <c r="D187" s="3229"/>
      <c r="E187" s="3229"/>
      <c r="F187" s="3229">
        <v>2070</v>
      </c>
      <c r="G187" s="3229"/>
    </row>
    <row r="188" spans="1:7" s="3218" customFormat="1" ht="14.25" customHeight="1">
      <c r="A188" s="3229" t="s">
        <v>29</v>
      </c>
      <c r="B188" s="3229" t="s">
        <v>3073</v>
      </c>
      <c r="C188" s="3229"/>
      <c r="D188" s="3229"/>
      <c r="E188" s="3229"/>
      <c r="F188" s="3229">
        <v>2340</v>
      </c>
      <c r="G188" s="3229"/>
    </row>
    <row r="189" spans="1:7" s="3218" customFormat="1" ht="14.25" customHeight="1" thickBot="1">
      <c r="A189" s="3237" t="s">
        <v>29</v>
      </c>
      <c r="B189" s="3240" t="s">
        <v>3074</v>
      </c>
      <c r="C189" s="3240"/>
      <c r="D189" s="3240"/>
      <c r="E189" s="3240"/>
      <c r="F189" s="3240">
        <v>2050</v>
      </c>
      <c r="G189" s="3240"/>
    </row>
    <row r="190" spans="1:7" s="3218" customFormat="1" ht="14.25" customHeight="1">
      <c r="A190" s="3234" t="s">
        <v>304</v>
      </c>
      <c r="B190" s="3225" t="s">
        <v>3094</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3095</v>
      </c>
      <c r="C199" s="3229">
        <v>8690</v>
      </c>
      <c r="D199" s="3229">
        <v>8630</v>
      </c>
      <c r="E199" s="3229">
        <v>11350</v>
      </c>
      <c r="F199" s="3229">
        <v>1600</v>
      </c>
      <c r="G199" s="3242">
        <v>5450</v>
      </c>
    </row>
    <row r="200" spans="1:7" s="3218" customFormat="1" ht="14.25" customHeight="1">
      <c r="A200" s="3229" t="s">
        <v>304</v>
      </c>
      <c r="B200" s="3229" t="s">
        <v>2906</v>
      </c>
      <c r="C200" s="3229"/>
      <c r="D200" s="3229"/>
      <c r="E200" s="3229"/>
      <c r="F200" s="3229">
        <v>1510</v>
      </c>
      <c r="G200" s="3242"/>
    </row>
    <row r="201" spans="1:7" s="3218" customFormat="1" ht="14.25" customHeight="1">
      <c r="A201" s="3229" t="s">
        <v>304</v>
      </c>
      <c r="B201" s="3229" t="s">
        <v>3096</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3097</v>
      </c>
      <c r="C203" s="3229">
        <v>8130</v>
      </c>
      <c r="D203" s="3229">
        <v>8070</v>
      </c>
      <c r="E203" s="3229">
        <v>10820</v>
      </c>
      <c r="F203" s="3229">
        <v>1690</v>
      </c>
      <c r="G203" s="3242">
        <v>5100</v>
      </c>
    </row>
    <row r="204" spans="1:7" s="3218" customFormat="1" ht="14.25" customHeight="1">
      <c r="A204" s="3229" t="s">
        <v>304</v>
      </c>
      <c r="B204" s="3229" t="s">
        <v>2917</v>
      </c>
      <c r="C204" s="3229">
        <v>8350</v>
      </c>
      <c r="D204" s="3229">
        <v>8290</v>
      </c>
      <c r="E204" s="3229">
        <v>11080</v>
      </c>
      <c r="F204" s="3229">
        <v>1450</v>
      </c>
      <c r="G204" s="3242">
        <v>5240</v>
      </c>
    </row>
    <row r="205" spans="1:7" s="3218" customFormat="1" ht="14.25" customHeight="1">
      <c r="A205" s="3229" t="s">
        <v>304</v>
      </c>
      <c r="B205" s="3229" t="s">
        <v>2919</v>
      </c>
      <c r="C205" s="3229">
        <v>7190</v>
      </c>
      <c r="D205" s="3229">
        <v>7130</v>
      </c>
      <c r="E205" s="3229">
        <v>9490</v>
      </c>
      <c r="F205" s="3229">
        <v>1470</v>
      </c>
      <c r="G205" s="3242">
        <v>4510</v>
      </c>
    </row>
    <row r="206" spans="1:7" s="3218" customFormat="1" ht="14.25" customHeight="1">
      <c r="A206" s="3229" t="s">
        <v>304</v>
      </c>
      <c r="B206" s="3229" t="s">
        <v>2922</v>
      </c>
      <c r="C206" s="3229">
        <v>7000</v>
      </c>
      <c r="D206" s="3229">
        <v>6950</v>
      </c>
      <c r="E206" s="3229">
        <v>9170</v>
      </c>
      <c r="F206" s="3229">
        <v>1400</v>
      </c>
      <c r="G206" s="3242">
        <v>4380</v>
      </c>
    </row>
    <row r="207" spans="1:7" s="3218" customFormat="1" ht="14.25" customHeight="1">
      <c r="A207" s="3229" t="s">
        <v>304</v>
      </c>
      <c r="B207" s="3229" t="s">
        <v>2924</v>
      </c>
      <c r="C207" s="3229">
        <v>6950</v>
      </c>
      <c r="D207" s="3229">
        <v>6900</v>
      </c>
      <c r="E207" s="3229">
        <v>9110</v>
      </c>
      <c r="F207" s="3229">
        <v>1790</v>
      </c>
      <c r="G207" s="3242">
        <v>4360</v>
      </c>
    </row>
    <row r="208" spans="1:7" s="3218" customFormat="1" ht="14.25" customHeight="1">
      <c r="A208" s="3229" t="s">
        <v>304</v>
      </c>
      <c r="B208" s="3229" t="s">
        <v>3098</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2934</v>
      </c>
      <c r="C210" s="3229">
        <v>8710</v>
      </c>
      <c r="D210" s="3229">
        <v>8660</v>
      </c>
      <c r="E210" s="3229">
        <v>11440</v>
      </c>
      <c r="F210" s="3229">
        <v>1740</v>
      </c>
      <c r="G210" s="3242">
        <v>5470</v>
      </c>
    </row>
    <row r="211" spans="1:7" s="3218" customFormat="1" ht="14.25" customHeight="1">
      <c r="A211" s="3229" t="s">
        <v>304</v>
      </c>
      <c r="B211" s="3229" t="s">
        <v>3099</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3100</v>
      </c>
      <c r="C214" s="3229">
        <v>8090</v>
      </c>
      <c r="D214" s="3229">
        <v>8030</v>
      </c>
      <c r="E214" s="3229">
        <v>10780</v>
      </c>
      <c r="F214" s="3229">
        <v>1570</v>
      </c>
      <c r="G214" s="3242">
        <v>5070</v>
      </c>
    </row>
    <row r="215" spans="1:7" s="3218" customFormat="1" ht="14.25" customHeight="1">
      <c r="A215" s="3229" t="s">
        <v>304</v>
      </c>
      <c r="B215" s="3229" t="s">
        <v>3101</v>
      </c>
      <c r="C215" s="3229">
        <v>7950</v>
      </c>
      <c r="D215" s="3229">
        <v>7900</v>
      </c>
      <c r="E215" s="3229">
        <v>10560</v>
      </c>
      <c r="F215" s="3229">
        <v>1630</v>
      </c>
      <c r="G215" s="3242">
        <v>4990</v>
      </c>
    </row>
    <row r="216" spans="1:7" s="3218" customFormat="1" ht="14.25" customHeight="1">
      <c r="A216" s="3229" t="s">
        <v>304</v>
      </c>
      <c r="B216" s="3229" t="s">
        <v>3102</v>
      </c>
      <c r="C216" s="3229">
        <v>8490</v>
      </c>
      <c r="D216" s="3229">
        <v>8440</v>
      </c>
      <c r="E216" s="3229">
        <v>11260</v>
      </c>
      <c r="F216" s="3229">
        <v>1690</v>
      </c>
      <c r="G216" s="3242">
        <v>5330</v>
      </c>
    </row>
    <row r="217" spans="1:7" s="3218" customFormat="1" ht="14.25" customHeight="1">
      <c r="A217" s="3229" t="s">
        <v>304</v>
      </c>
      <c r="B217" s="3229" t="s">
        <v>2967</v>
      </c>
      <c r="C217" s="3229">
        <v>8200</v>
      </c>
      <c r="D217" s="3229">
        <v>8150</v>
      </c>
      <c r="E217" s="3229">
        <v>10910</v>
      </c>
      <c r="F217" s="3229">
        <v>1670</v>
      </c>
      <c r="G217" s="3242">
        <v>5150</v>
      </c>
    </row>
    <row r="218" spans="1:7" s="3218" customFormat="1" ht="14.25" customHeight="1">
      <c r="A218" s="3229" t="s">
        <v>304</v>
      </c>
      <c r="B218" s="3229" t="s">
        <v>3103</v>
      </c>
      <c r="C218" s="3229"/>
      <c r="D218" s="3229"/>
      <c r="E218" s="3229"/>
      <c r="F218" s="3229">
        <v>2040</v>
      </c>
      <c r="G218" s="3242"/>
    </row>
    <row r="219" spans="1:7" s="3218" customFormat="1" ht="14.25" customHeight="1">
      <c r="A219" s="3229" t="s">
        <v>304</v>
      </c>
      <c r="B219" s="3229" t="s">
        <v>3104</v>
      </c>
      <c r="C219" s="3229"/>
      <c r="D219" s="3229"/>
      <c r="E219" s="3229"/>
      <c r="F219" s="3229">
        <v>2040</v>
      </c>
      <c r="G219" s="3242"/>
    </row>
    <row r="220" spans="1:7" s="3218" customFormat="1" ht="14.25" customHeight="1">
      <c r="A220" s="3229" t="s">
        <v>304</v>
      </c>
      <c r="B220" s="3229" t="s">
        <v>3105</v>
      </c>
      <c r="C220" s="3229"/>
      <c r="D220" s="3229"/>
      <c r="E220" s="3229"/>
      <c r="F220" s="3229">
        <v>2040</v>
      </c>
      <c r="G220" s="3242"/>
    </row>
    <row r="221" spans="1:7" s="3218" customFormat="1" ht="14.25" customHeight="1">
      <c r="A221" s="3229" t="s">
        <v>304</v>
      </c>
      <c r="B221" s="3229" t="s">
        <v>3106</v>
      </c>
      <c r="C221" s="3229"/>
      <c r="D221" s="3229"/>
      <c r="E221" s="3229"/>
      <c r="F221" s="3229">
        <v>2040</v>
      </c>
      <c r="G221" s="3242"/>
    </row>
    <row r="222" spans="1:7" s="3218" customFormat="1" ht="14.25" customHeight="1">
      <c r="A222" s="3229" t="s">
        <v>304</v>
      </c>
      <c r="B222" s="3229" t="s">
        <v>3107</v>
      </c>
      <c r="C222" s="3229"/>
      <c r="D222" s="3229"/>
      <c r="E222" s="3229"/>
      <c r="F222" s="3229">
        <v>2040</v>
      </c>
      <c r="G222" s="3242"/>
    </row>
    <row r="223" spans="1:7" s="3218" customFormat="1" ht="14.25" customHeight="1">
      <c r="A223" s="3229" t="s">
        <v>304</v>
      </c>
      <c r="B223" s="3229" t="s">
        <v>3108</v>
      </c>
      <c r="C223" s="3229"/>
      <c r="D223" s="3229"/>
      <c r="E223" s="3229"/>
      <c r="F223" s="3229">
        <v>1930</v>
      </c>
      <c r="G223" s="3242"/>
    </row>
    <row r="224" spans="1:7" s="3218" customFormat="1" ht="14.25" customHeight="1">
      <c r="A224" s="3229" t="s">
        <v>304</v>
      </c>
      <c r="B224" s="3229" t="s">
        <v>3109</v>
      </c>
      <c r="C224" s="3229"/>
      <c r="D224" s="3229"/>
      <c r="E224" s="3229"/>
      <c r="F224" s="3229">
        <v>1930</v>
      </c>
      <c r="G224" s="3242"/>
    </row>
    <row r="225" spans="1:7" s="3218" customFormat="1" ht="14.25" customHeight="1">
      <c r="A225" s="3229" t="s">
        <v>304</v>
      </c>
      <c r="B225" s="3229" t="s">
        <v>3110</v>
      </c>
      <c r="C225" s="3229"/>
      <c r="D225" s="3229"/>
      <c r="E225" s="3229"/>
      <c r="F225" s="3229">
        <v>1930</v>
      </c>
      <c r="G225" s="3242"/>
    </row>
    <row r="226" spans="1:7" s="3218" customFormat="1" ht="14.25" customHeight="1">
      <c r="A226" s="3229" t="s">
        <v>304</v>
      </c>
      <c r="B226" s="3229" t="s">
        <v>3111</v>
      </c>
      <c r="C226" s="3229"/>
      <c r="D226" s="3229"/>
      <c r="E226" s="3229"/>
      <c r="F226" s="3229">
        <v>1700</v>
      </c>
      <c r="G226" s="3242"/>
    </row>
    <row r="227" spans="1:7" s="3218" customFormat="1" ht="14.25" customHeight="1">
      <c r="A227" s="3229" t="s">
        <v>304</v>
      </c>
      <c r="B227" s="3229" t="s">
        <v>3112</v>
      </c>
      <c r="C227" s="3229"/>
      <c r="D227" s="3229"/>
      <c r="E227" s="3229"/>
      <c r="F227" s="3229">
        <v>1520</v>
      </c>
      <c r="G227" s="3242"/>
    </row>
    <row r="228" spans="1:7" s="3218" customFormat="1" ht="14.25" customHeight="1">
      <c r="A228" s="3229" t="s">
        <v>304</v>
      </c>
      <c r="B228" s="3229" t="s">
        <v>3113</v>
      </c>
      <c r="C228" s="3229"/>
      <c r="D228" s="3229"/>
      <c r="E228" s="3229"/>
      <c r="F228" s="3229">
        <v>1520</v>
      </c>
      <c r="G228" s="3242"/>
    </row>
    <row r="229" spans="1:7" s="3218" customFormat="1" ht="14.25" customHeight="1">
      <c r="A229" s="3229" t="s">
        <v>304</v>
      </c>
      <c r="B229" s="3229" t="s">
        <v>3030</v>
      </c>
      <c r="C229" s="3229"/>
      <c r="D229" s="3229"/>
      <c r="E229" s="3229"/>
      <c r="F229" s="3229">
        <v>1520</v>
      </c>
      <c r="G229" s="3242"/>
    </row>
    <row r="230" spans="1:7" s="3218" customFormat="1" ht="14.25" customHeight="1">
      <c r="A230" s="3229" t="s">
        <v>304</v>
      </c>
      <c r="B230" s="3229" t="s">
        <v>3114</v>
      </c>
      <c r="C230" s="3229"/>
      <c r="D230" s="3229"/>
      <c r="E230" s="3229"/>
      <c r="F230" s="3229">
        <v>1820</v>
      </c>
      <c r="G230" s="3242"/>
    </row>
    <row r="231" spans="1:7" s="3218" customFormat="1" ht="14.25" customHeight="1">
      <c r="A231" s="3229" t="s">
        <v>304</v>
      </c>
      <c r="B231" s="3229" t="s">
        <v>3115</v>
      </c>
      <c r="C231" s="3229"/>
      <c r="D231" s="3229"/>
      <c r="E231" s="3229"/>
      <c r="F231" s="3229">
        <v>1760</v>
      </c>
      <c r="G231" s="3242"/>
    </row>
    <row r="232" spans="1:7" s="3218" customFormat="1" ht="14.25" customHeight="1">
      <c r="A232" s="3229" t="s">
        <v>304</v>
      </c>
      <c r="B232" s="3229" t="s">
        <v>3116</v>
      </c>
      <c r="C232" s="3229"/>
      <c r="D232" s="3229"/>
      <c r="E232" s="3229"/>
      <c r="F232" s="3229">
        <v>1840</v>
      </c>
      <c r="G232" s="3242"/>
    </row>
    <row r="233" spans="1:7" s="3218" customFormat="1" ht="14.25" customHeight="1" thickBot="1">
      <c r="A233" s="3243" t="s">
        <v>304</v>
      </c>
      <c r="B233" s="3236" t="s">
        <v>3047</v>
      </c>
      <c r="C233" s="3236"/>
      <c r="D233" s="3236"/>
      <c r="E233" s="3236"/>
      <c r="F233" s="3236">
        <v>1770</v>
      </c>
      <c r="G233" s="3244"/>
    </row>
    <row r="234" spans="1:7" s="3218" customFormat="1" ht="14.25" customHeight="1">
      <c r="A234" s="3234" t="s">
        <v>305</v>
      </c>
      <c r="B234" s="3225" t="s">
        <v>3117</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2888</v>
      </c>
      <c r="C238" s="3229">
        <v>6920</v>
      </c>
      <c r="D238" s="3229">
        <v>6890</v>
      </c>
      <c r="E238" s="3229">
        <v>8640</v>
      </c>
      <c r="F238" s="3229">
        <v>1310</v>
      </c>
      <c r="G238" s="3229">
        <v>4230</v>
      </c>
    </row>
    <row r="239" spans="1:7" s="3218" customFormat="1" ht="14.25" customHeight="1">
      <c r="A239" s="3229" t="s">
        <v>305</v>
      </c>
      <c r="B239" s="3229" t="s">
        <v>3118</v>
      </c>
      <c r="C239" s="3229">
        <v>6780</v>
      </c>
      <c r="D239" s="3229">
        <v>6750</v>
      </c>
      <c r="E239" s="3229">
        <v>8440</v>
      </c>
      <c r="F239" s="3229">
        <v>1160</v>
      </c>
      <c r="G239" s="3229">
        <v>4140</v>
      </c>
    </row>
    <row r="240" spans="1:7" s="3218" customFormat="1" ht="14.25" customHeight="1">
      <c r="A240" s="3229" t="s">
        <v>305</v>
      </c>
      <c r="B240" s="3229" t="s">
        <v>3119</v>
      </c>
      <c r="C240" s="3229">
        <v>5420</v>
      </c>
      <c r="D240" s="3229">
        <v>5380</v>
      </c>
      <c r="E240" s="3229">
        <v>6640</v>
      </c>
      <c r="F240" s="3229">
        <v>1020</v>
      </c>
      <c r="G240" s="3229">
        <v>3300</v>
      </c>
    </row>
    <row r="241" spans="1:7" s="3218" customFormat="1" ht="14.25" customHeight="1">
      <c r="A241" s="3229" t="s">
        <v>305</v>
      </c>
      <c r="B241" s="3229" t="s">
        <v>3120</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3121</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3122</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3123</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3124</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3125</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2950</v>
      </c>
      <c r="C258" s="3229">
        <v>6190</v>
      </c>
      <c r="D258" s="3229">
        <v>6160</v>
      </c>
      <c r="E258" s="3229">
        <v>7680</v>
      </c>
      <c r="F258" s="3229">
        <v>1170</v>
      </c>
      <c r="G258" s="3229">
        <v>3780</v>
      </c>
    </row>
    <row r="259" spans="1:7" s="3218" customFormat="1" ht="14.25" customHeight="1">
      <c r="A259" s="3229" t="s">
        <v>305</v>
      </c>
      <c r="B259" s="3229" t="s">
        <v>3126</v>
      </c>
      <c r="C259" s="3229">
        <v>7610</v>
      </c>
      <c r="D259" s="3229">
        <v>7570</v>
      </c>
      <c r="E259" s="3229">
        <v>9350</v>
      </c>
      <c r="F259" s="3229">
        <v>1350</v>
      </c>
      <c r="G259" s="3229">
        <v>4650</v>
      </c>
    </row>
    <row r="260" spans="1:7" s="3218" customFormat="1" ht="14.25" customHeight="1">
      <c r="A260" s="3229" t="s">
        <v>305</v>
      </c>
      <c r="B260" s="3229" t="s">
        <v>3127</v>
      </c>
      <c r="C260" s="3229">
        <v>6920</v>
      </c>
      <c r="D260" s="3229">
        <v>6880</v>
      </c>
      <c r="E260" s="3229">
        <v>8380</v>
      </c>
      <c r="F260" s="3229">
        <v>1160</v>
      </c>
      <c r="G260" s="3229">
        <v>4220</v>
      </c>
    </row>
    <row r="261" spans="1:7" s="3218" customFormat="1" ht="14.25" customHeight="1">
      <c r="A261" s="3229" t="s">
        <v>305</v>
      </c>
      <c r="B261" s="3229" t="s">
        <v>3128</v>
      </c>
      <c r="C261" s="3229">
        <v>6850</v>
      </c>
      <c r="D261" s="3229">
        <v>6810</v>
      </c>
      <c r="E261" s="3229">
        <v>8290</v>
      </c>
      <c r="F261" s="3229">
        <v>1130</v>
      </c>
      <c r="G261" s="3229">
        <v>4180</v>
      </c>
    </row>
    <row r="262" spans="1:7" s="3218" customFormat="1" ht="14.25" customHeight="1">
      <c r="A262" s="3229" t="s">
        <v>305</v>
      </c>
      <c r="B262" s="3229" t="s">
        <v>3129</v>
      </c>
      <c r="C262" s="3229">
        <v>5860</v>
      </c>
      <c r="D262" s="3229">
        <v>5820</v>
      </c>
      <c r="E262" s="3229">
        <v>7640</v>
      </c>
      <c r="F262" s="3229">
        <v>1070</v>
      </c>
      <c r="G262" s="3229">
        <v>3570</v>
      </c>
    </row>
    <row r="263" spans="1:7" s="3218" customFormat="1" ht="14.25" customHeight="1">
      <c r="A263" s="3229" t="s">
        <v>305</v>
      </c>
      <c r="B263" s="3229" t="s">
        <v>3130</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3131</v>
      </c>
      <c r="C265" s="3229"/>
      <c r="D265" s="3229"/>
      <c r="E265" s="3229"/>
      <c r="F265" s="3229">
        <v>1500</v>
      </c>
      <c r="G265" s="3229"/>
    </row>
    <row r="266" spans="1:7" s="3218" customFormat="1" ht="14.25" customHeight="1">
      <c r="A266" s="3229" t="s">
        <v>305</v>
      </c>
      <c r="B266" s="3229" t="s">
        <v>3132</v>
      </c>
      <c r="C266" s="3229"/>
      <c r="D266" s="3229"/>
      <c r="E266" s="3229"/>
      <c r="F266" s="3229">
        <v>1500</v>
      </c>
      <c r="G266" s="3229"/>
    </row>
    <row r="267" spans="1:7" s="3218" customFormat="1" ht="14.25" customHeight="1">
      <c r="A267" s="3229" t="s">
        <v>305</v>
      </c>
      <c r="B267" s="3229" t="s">
        <v>3133</v>
      </c>
      <c r="C267" s="3229"/>
      <c r="D267" s="3229"/>
      <c r="E267" s="3229"/>
      <c r="F267" s="3229">
        <v>1500</v>
      </c>
      <c r="G267" s="3229"/>
    </row>
    <row r="268" spans="1:7" s="3218" customFormat="1" ht="14.25" customHeight="1">
      <c r="A268" s="3229" t="s">
        <v>305</v>
      </c>
      <c r="B268" s="3229" t="s">
        <v>3134</v>
      </c>
      <c r="C268" s="3229"/>
      <c r="D268" s="3229"/>
      <c r="E268" s="3229"/>
      <c r="F268" s="3229">
        <v>1290</v>
      </c>
      <c r="G268" s="3229"/>
    </row>
    <row r="269" spans="1:7" s="3218" customFormat="1" ht="14.25" customHeight="1">
      <c r="A269" s="3229" t="s">
        <v>305</v>
      </c>
      <c r="B269" s="3229" t="s">
        <v>3135</v>
      </c>
      <c r="C269" s="3229"/>
      <c r="D269" s="3229"/>
      <c r="E269" s="3229"/>
      <c r="F269" s="3229">
        <v>1150</v>
      </c>
      <c r="G269" s="3229"/>
    </row>
    <row r="270" spans="1:7" s="3218" customFormat="1" ht="14.25" customHeight="1">
      <c r="A270" s="3229" t="s">
        <v>305</v>
      </c>
      <c r="B270" s="3229" t="s">
        <v>3136</v>
      </c>
      <c r="C270" s="3229"/>
      <c r="D270" s="3229"/>
      <c r="E270" s="3229"/>
      <c r="F270" s="3229">
        <v>1380</v>
      </c>
      <c r="G270" s="3229"/>
    </row>
    <row r="271" spans="1:7" s="3218" customFormat="1" ht="14.25" customHeight="1">
      <c r="A271" s="3229" t="s">
        <v>305</v>
      </c>
      <c r="B271" s="3229" t="s">
        <v>3137</v>
      </c>
      <c r="C271" s="3229"/>
      <c r="D271" s="3229"/>
      <c r="E271" s="3229"/>
      <c r="F271" s="3229">
        <v>1460</v>
      </c>
      <c r="G271" s="3229"/>
    </row>
    <row r="272" spans="1:7" s="3218" customFormat="1" ht="14.25" customHeight="1">
      <c r="A272" s="3229" t="s">
        <v>305</v>
      </c>
      <c r="B272" s="3229" t="s">
        <v>3138</v>
      </c>
      <c r="C272" s="3229"/>
      <c r="D272" s="3229"/>
      <c r="E272" s="3229"/>
      <c r="F272" s="3229">
        <v>1460</v>
      </c>
      <c r="G272" s="3229"/>
    </row>
    <row r="273" spans="1:7" s="3218" customFormat="1" ht="14.25" customHeight="1">
      <c r="A273" s="3229" t="s">
        <v>305</v>
      </c>
      <c r="B273" s="3229" t="s">
        <v>3031</v>
      </c>
      <c r="C273" s="3229"/>
      <c r="D273" s="3229"/>
      <c r="E273" s="3229"/>
      <c r="F273" s="3229">
        <v>1490</v>
      </c>
      <c r="G273" s="3229"/>
    </row>
    <row r="274" spans="1:7" s="3218" customFormat="1" ht="14.25" customHeight="1">
      <c r="A274" s="3229" t="s">
        <v>305</v>
      </c>
      <c r="B274" s="3229" t="s">
        <v>3139</v>
      </c>
      <c r="C274" s="3229"/>
      <c r="D274" s="3229"/>
      <c r="E274" s="3229"/>
      <c r="F274" s="3229">
        <v>1490</v>
      </c>
      <c r="G274" s="3229"/>
    </row>
    <row r="275" spans="1:7" s="3218" customFormat="1" ht="14.25" customHeight="1">
      <c r="A275" s="3229" t="s">
        <v>305</v>
      </c>
      <c r="B275" s="3229" t="s">
        <v>3140</v>
      </c>
      <c r="C275" s="3229"/>
      <c r="D275" s="3229"/>
      <c r="E275" s="3229"/>
      <c r="F275" s="3229">
        <v>1220</v>
      </c>
      <c r="G275" s="3229"/>
    </row>
    <row r="276" spans="1:7" s="3218" customFormat="1" ht="14.25" customHeight="1" thickBot="1">
      <c r="A276" s="3237" t="s">
        <v>305</v>
      </c>
      <c r="B276" s="3239" t="s">
        <v>3141</v>
      </c>
      <c r="C276" s="3240"/>
      <c r="D276" s="3240"/>
      <c r="E276" s="3240"/>
      <c r="F276" s="3240">
        <v>1380</v>
      </c>
      <c r="G276" s="3240"/>
    </row>
    <row r="277" spans="1:7" s="3218" customFormat="1" ht="14.25" customHeight="1">
      <c r="A277" s="3234" t="s">
        <v>306</v>
      </c>
      <c r="B277" s="3225" t="s">
        <v>3142</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3143</v>
      </c>
      <c r="C279" s="3229">
        <v>4760</v>
      </c>
      <c r="D279" s="3229">
        <v>4720</v>
      </c>
      <c r="E279" s="3229">
        <v>5540</v>
      </c>
      <c r="F279" s="3229">
        <v>810</v>
      </c>
      <c r="G279" s="3242">
        <v>2850</v>
      </c>
    </row>
    <row r="280" spans="1:7" s="3218" customFormat="1" ht="14.25" customHeight="1">
      <c r="A280" s="3229" t="s">
        <v>306</v>
      </c>
      <c r="B280" s="3229" t="s">
        <v>3144</v>
      </c>
      <c r="C280" s="3229">
        <v>4010</v>
      </c>
      <c r="D280" s="3229">
        <v>3950</v>
      </c>
      <c r="E280" s="3229">
        <v>4710</v>
      </c>
      <c r="F280" s="3229">
        <v>800</v>
      </c>
      <c r="G280" s="3242">
        <v>2390</v>
      </c>
    </row>
    <row r="281" spans="1:7" s="3218" customFormat="1" ht="14.25" customHeight="1">
      <c r="A281" s="3229" t="s">
        <v>306</v>
      </c>
      <c r="B281" s="3229" t="s">
        <v>3145</v>
      </c>
      <c r="C281" s="3229">
        <v>4480</v>
      </c>
      <c r="D281" s="3229">
        <v>4420</v>
      </c>
      <c r="E281" s="3229">
        <v>5230</v>
      </c>
      <c r="F281" s="3229">
        <v>870</v>
      </c>
      <c r="G281" s="3242">
        <v>2660</v>
      </c>
    </row>
    <row r="282" spans="1:7" s="3218" customFormat="1" ht="14.25" customHeight="1">
      <c r="A282" s="3229" t="s">
        <v>306</v>
      </c>
      <c r="B282" s="3229" t="s">
        <v>3146</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3147</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3148</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2923</v>
      </c>
      <c r="C293" s="3229">
        <v>5320</v>
      </c>
      <c r="D293" s="3229">
        <v>5270</v>
      </c>
      <c r="E293" s="3229">
        <v>6160</v>
      </c>
      <c r="F293" s="3229">
        <v>990</v>
      </c>
      <c r="G293" s="3242">
        <v>3170</v>
      </c>
    </row>
    <row r="294" spans="1:7" s="3218" customFormat="1" ht="14.25" customHeight="1">
      <c r="A294" s="3229" t="s">
        <v>306</v>
      </c>
      <c r="B294" s="3229" t="s">
        <v>3149</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2942</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3150</v>
      </c>
      <c r="C302" s="3229">
        <v>5520</v>
      </c>
      <c r="D302" s="3229">
        <v>5470</v>
      </c>
      <c r="E302" s="3229">
        <v>6410</v>
      </c>
      <c r="F302" s="3229">
        <v>950</v>
      </c>
      <c r="G302" s="3242">
        <v>3300</v>
      </c>
    </row>
    <row r="303" spans="1:7" s="3218" customFormat="1" ht="14.25" customHeight="1">
      <c r="A303" s="3229" t="s">
        <v>306</v>
      </c>
      <c r="B303" s="3229" t="s">
        <v>2962</v>
      </c>
      <c r="C303" s="3229">
        <v>5630</v>
      </c>
      <c r="D303" s="3229">
        <v>5590</v>
      </c>
      <c r="E303" s="3229">
        <v>6550</v>
      </c>
      <c r="F303" s="3229">
        <v>1010</v>
      </c>
      <c r="G303" s="3242">
        <v>3370</v>
      </c>
    </row>
    <row r="304" spans="1:7" s="3218" customFormat="1" ht="14.25" customHeight="1">
      <c r="A304" s="3229" t="s">
        <v>306</v>
      </c>
      <c r="B304" s="3229" t="s">
        <v>2969</v>
      </c>
      <c r="C304" s="3229">
        <v>5680</v>
      </c>
      <c r="D304" s="3229">
        <v>5620</v>
      </c>
      <c r="E304" s="3229">
        <v>6620</v>
      </c>
      <c r="F304" s="3229">
        <v>1050</v>
      </c>
      <c r="G304" s="3242">
        <v>3390</v>
      </c>
    </row>
    <row r="305" spans="1:7" s="3218" customFormat="1" ht="14.25" customHeight="1">
      <c r="A305" s="3229" t="s">
        <v>306</v>
      </c>
      <c r="B305" s="3229" t="s">
        <v>2975</v>
      </c>
      <c r="C305" s="3229">
        <v>5590</v>
      </c>
      <c r="D305" s="3229">
        <v>5530</v>
      </c>
      <c r="E305" s="3229">
        <v>6460</v>
      </c>
      <c r="F305" s="3229">
        <v>900</v>
      </c>
      <c r="G305" s="3242">
        <v>3340</v>
      </c>
    </row>
    <row r="306" spans="1:7" s="3218" customFormat="1" ht="14.25" customHeight="1">
      <c r="A306" s="3229" t="s">
        <v>306</v>
      </c>
      <c r="B306" s="3229" t="s">
        <v>3151</v>
      </c>
      <c r="C306" s="3229">
        <v>5560</v>
      </c>
      <c r="D306" s="3229">
        <v>5510</v>
      </c>
      <c r="E306" s="3229">
        <v>6440</v>
      </c>
      <c r="F306" s="3229">
        <v>900</v>
      </c>
      <c r="G306" s="3242">
        <v>3320</v>
      </c>
    </row>
    <row r="307" spans="1:7" s="3218" customFormat="1" ht="14.25" customHeight="1">
      <c r="A307" s="3229" t="s">
        <v>306</v>
      </c>
      <c r="B307" s="3229" t="s">
        <v>2987</v>
      </c>
      <c r="C307" s="3229">
        <v>5650</v>
      </c>
      <c r="D307" s="3229">
        <v>5600</v>
      </c>
      <c r="E307" s="3229">
        <v>6590</v>
      </c>
      <c r="F307" s="3229">
        <v>930</v>
      </c>
      <c r="G307" s="3242">
        <v>3380</v>
      </c>
    </row>
    <row r="308" spans="1:7" s="3218" customFormat="1" ht="14.25" customHeight="1">
      <c r="A308" s="3229" t="s">
        <v>306</v>
      </c>
      <c r="B308" s="3229" t="s">
        <v>3152</v>
      </c>
      <c r="C308" s="3229">
        <v>5620</v>
      </c>
      <c r="D308" s="3229">
        <v>5580</v>
      </c>
      <c r="E308" s="3229">
        <v>6540</v>
      </c>
      <c r="F308" s="3229">
        <v>910</v>
      </c>
      <c r="G308" s="3242">
        <v>3370</v>
      </c>
    </row>
    <row r="309" spans="1:7" s="3218" customFormat="1" ht="14.25" customHeight="1">
      <c r="A309" s="3229" t="s">
        <v>306</v>
      </c>
      <c r="B309" s="3229" t="s">
        <v>3153</v>
      </c>
      <c r="C309" s="3229">
        <v>5060</v>
      </c>
      <c r="D309" s="3229">
        <v>5020</v>
      </c>
      <c r="E309" s="3229">
        <v>6370</v>
      </c>
      <c r="F309" s="3229">
        <v>800</v>
      </c>
      <c r="G309" s="3242">
        <v>3020</v>
      </c>
    </row>
    <row r="310" spans="1:7" s="3218" customFormat="1" ht="14.25" customHeight="1">
      <c r="A310" s="3229" t="s">
        <v>306</v>
      </c>
      <c r="B310" s="3229" t="s">
        <v>3002</v>
      </c>
      <c r="C310" s="3229">
        <v>5150</v>
      </c>
      <c r="D310" s="3229">
        <v>5110</v>
      </c>
      <c r="E310" s="3229">
        <v>6500</v>
      </c>
      <c r="F310" s="3229">
        <v>880</v>
      </c>
      <c r="G310" s="3242">
        <v>3080</v>
      </c>
    </row>
    <row r="311" spans="1:7" s="3218" customFormat="1" ht="14.25" customHeight="1">
      <c r="A311" s="3229" t="s">
        <v>306</v>
      </c>
      <c r="B311" s="3229" t="s">
        <v>3154</v>
      </c>
      <c r="C311" s="3229">
        <v>4750</v>
      </c>
      <c r="D311" s="3229">
        <v>4710</v>
      </c>
      <c r="E311" s="3229">
        <v>5510</v>
      </c>
      <c r="F311" s="3229">
        <v>880</v>
      </c>
      <c r="G311" s="3242">
        <v>2840</v>
      </c>
    </row>
    <row r="312" spans="1:7" s="3218" customFormat="1" ht="14.25" customHeight="1">
      <c r="A312" s="3229" t="s">
        <v>306</v>
      </c>
      <c r="B312" s="3229" t="s">
        <v>3012</v>
      </c>
      <c r="C312" s="3229">
        <v>4690</v>
      </c>
      <c r="D312" s="3229">
        <v>4640</v>
      </c>
      <c r="E312" s="3229">
        <v>5420</v>
      </c>
      <c r="F312" s="3229">
        <v>800</v>
      </c>
      <c r="G312" s="3242">
        <v>2800</v>
      </c>
    </row>
    <row r="313" spans="1:7" s="3218" customFormat="1" ht="14.25" customHeight="1">
      <c r="A313" s="3229" t="s">
        <v>306</v>
      </c>
      <c r="B313" s="3229" t="s">
        <v>3017</v>
      </c>
      <c r="C313" s="3229">
        <v>4810</v>
      </c>
      <c r="D313" s="3229">
        <v>4760</v>
      </c>
      <c r="E313" s="3229">
        <v>5550</v>
      </c>
      <c r="F313" s="3229">
        <v>920</v>
      </c>
      <c r="G313" s="3242">
        <v>2870</v>
      </c>
    </row>
    <row r="314" spans="1:7" s="3218" customFormat="1" ht="14.25" customHeight="1">
      <c r="A314" s="3229" t="s">
        <v>306</v>
      </c>
      <c r="B314" s="3229" t="s">
        <v>3155</v>
      </c>
      <c r="C314" s="3229"/>
      <c r="D314" s="3229"/>
      <c r="E314" s="3229"/>
      <c r="F314" s="3229">
        <v>1020</v>
      </c>
      <c r="G314" s="3242"/>
    </row>
    <row r="315" spans="1:7" s="3218" customFormat="1" ht="14.25" customHeight="1">
      <c r="A315" s="3229" t="s">
        <v>306</v>
      </c>
      <c r="B315" s="3229" t="s">
        <v>3156</v>
      </c>
      <c r="C315" s="3229"/>
      <c r="D315" s="3229"/>
      <c r="E315" s="3229"/>
      <c r="F315" s="3229">
        <v>1050</v>
      </c>
      <c r="G315" s="3242"/>
    </row>
    <row r="316" spans="1:7" s="3218" customFormat="1" ht="14.25" customHeight="1">
      <c r="A316" s="3229" t="s">
        <v>306</v>
      </c>
      <c r="B316" s="3229" t="s">
        <v>3032</v>
      </c>
      <c r="C316" s="3229"/>
      <c r="D316" s="3229"/>
      <c r="E316" s="3229"/>
      <c r="F316" s="3229">
        <v>900</v>
      </c>
      <c r="G316" s="3242"/>
    </row>
    <row r="317" spans="1:7" s="3218" customFormat="1" ht="14.25" customHeight="1">
      <c r="A317" s="3229" t="s">
        <v>306</v>
      </c>
      <c r="B317" s="3229" t="s">
        <v>3157</v>
      </c>
      <c r="C317" s="3229"/>
      <c r="D317" s="3229"/>
      <c r="E317" s="3229"/>
      <c r="F317" s="3229">
        <v>920</v>
      </c>
      <c r="G317" s="3242"/>
    </row>
    <row r="318" spans="1:7" s="3218" customFormat="1" ht="14.25" customHeight="1">
      <c r="A318" s="3229" t="s">
        <v>306</v>
      </c>
      <c r="B318" s="3229" t="s">
        <v>3158</v>
      </c>
      <c r="C318" s="3229"/>
      <c r="D318" s="3229"/>
      <c r="E318" s="3229"/>
      <c r="F318" s="3229">
        <v>1080</v>
      </c>
      <c r="G318" s="3242"/>
    </row>
    <row r="319" spans="1:7" s="3218" customFormat="1" ht="14.25" customHeight="1">
      <c r="A319" s="3229" t="s">
        <v>306</v>
      </c>
      <c r="B319" s="3229" t="s">
        <v>3045</v>
      </c>
      <c r="C319" s="3229"/>
      <c r="D319" s="3229"/>
      <c r="E319" s="3229"/>
      <c r="F319" s="3229">
        <v>1020</v>
      </c>
      <c r="G319" s="3242"/>
    </row>
    <row r="320" spans="1:7" s="3218" customFormat="1" ht="14.25" customHeight="1">
      <c r="A320" s="3229" t="s">
        <v>306</v>
      </c>
      <c r="B320" s="3229" t="s">
        <v>3048</v>
      </c>
      <c r="C320" s="3229"/>
      <c r="D320" s="3229"/>
      <c r="E320" s="3229"/>
      <c r="F320" s="3229">
        <v>1050</v>
      </c>
      <c r="G320" s="3242"/>
    </row>
    <row r="321" spans="1:7" s="3218" customFormat="1" ht="14.25" customHeight="1">
      <c r="A321" s="3229" t="s">
        <v>306</v>
      </c>
      <c r="B321" s="3229" t="s">
        <v>3050</v>
      </c>
      <c r="C321" s="3229"/>
      <c r="D321" s="3229"/>
      <c r="E321" s="3229"/>
      <c r="F321" s="3229">
        <v>960</v>
      </c>
      <c r="G321" s="3242"/>
    </row>
    <row r="322" spans="1:7" s="3218" customFormat="1" ht="14.25" customHeight="1">
      <c r="A322" s="3229" t="s">
        <v>306</v>
      </c>
      <c r="B322" s="3229" t="s">
        <v>3052</v>
      </c>
      <c r="C322" s="3229"/>
      <c r="D322" s="3229"/>
      <c r="E322" s="3229"/>
      <c r="F322" s="3229">
        <v>960</v>
      </c>
      <c r="G322" s="3242"/>
    </row>
    <row r="323" spans="1:7" s="3218" customFormat="1" ht="14.25" customHeight="1">
      <c r="A323" s="3229" t="s">
        <v>306</v>
      </c>
      <c r="B323" s="3229" t="s">
        <v>3054</v>
      </c>
      <c r="C323" s="3229"/>
      <c r="D323" s="3229"/>
      <c r="E323" s="3229"/>
      <c r="F323" s="3229">
        <v>880</v>
      </c>
      <c r="G323" s="3242"/>
    </row>
    <row r="324" spans="1:7" s="3218" customFormat="1" ht="14.25" customHeight="1">
      <c r="A324" s="3229" t="s">
        <v>306</v>
      </c>
      <c r="B324" s="3229" t="s">
        <v>3056</v>
      </c>
      <c r="C324" s="3229"/>
      <c r="D324" s="3229"/>
      <c r="E324" s="3229"/>
      <c r="F324" s="3229">
        <v>930</v>
      </c>
      <c r="G324" s="3242"/>
    </row>
    <row r="325" spans="1:7" s="3218" customFormat="1" ht="14.25" customHeight="1">
      <c r="A325" s="3229" t="s">
        <v>306</v>
      </c>
      <c r="B325" s="3230" t="s">
        <v>3058</v>
      </c>
      <c r="C325" s="3229"/>
      <c r="D325" s="3229"/>
      <c r="E325" s="3229"/>
      <c r="F325" s="3229">
        <v>900</v>
      </c>
      <c r="G325" s="3242"/>
    </row>
    <row r="326" spans="1:7" s="3218" customFormat="1" ht="14.25" customHeight="1" thickBot="1">
      <c r="A326" s="3243" t="s">
        <v>306</v>
      </c>
      <c r="B326" s="3236" t="s">
        <v>3060</v>
      </c>
      <c r="C326" s="3236"/>
      <c r="D326" s="3236"/>
      <c r="E326" s="3236"/>
      <c r="F326" s="3236">
        <v>790</v>
      </c>
      <c r="G326" s="3244"/>
    </row>
    <row r="327" spans="1:7" s="3218" customFormat="1" ht="14.25" customHeight="1">
      <c r="A327" s="3234" t="s">
        <v>307</v>
      </c>
      <c r="B327" s="3225" t="s">
        <v>3159</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3160</v>
      </c>
      <c r="C329" s="3229">
        <v>2730</v>
      </c>
      <c r="D329" s="3229">
        <v>2690</v>
      </c>
      <c r="E329" s="3229">
        <v>3100</v>
      </c>
      <c r="F329" s="3229">
        <v>660</v>
      </c>
      <c r="G329" s="3229">
        <v>1610</v>
      </c>
    </row>
    <row r="330" spans="1:7" s="3218" customFormat="1" ht="14.25" customHeight="1">
      <c r="A330" s="3229" t="s">
        <v>307</v>
      </c>
      <c r="B330" s="3229" t="s">
        <v>3161</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2894</v>
      </c>
      <c r="C332" s="3229">
        <v>3520</v>
      </c>
      <c r="D332" s="3229">
        <v>3480</v>
      </c>
      <c r="E332" s="3229">
        <v>3830</v>
      </c>
      <c r="F332" s="3229">
        <v>720</v>
      </c>
      <c r="G332" s="3229">
        <v>2090</v>
      </c>
    </row>
    <row r="333" spans="1:7" s="3218" customFormat="1" ht="14.25" customHeight="1">
      <c r="A333" s="3229" t="s">
        <v>307</v>
      </c>
      <c r="B333" s="3229" t="s">
        <v>3162</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2904</v>
      </c>
      <c r="C336" s="3229">
        <v>3570</v>
      </c>
      <c r="D336" s="3229">
        <v>3530</v>
      </c>
      <c r="E336" s="3229">
        <v>3880</v>
      </c>
      <c r="F336" s="3229">
        <v>770</v>
      </c>
      <c r="G336" s="3229">
        <v>2110</v>
      </c>
    </row>
    <row r="337" spans="1:10" s="3218" customFormat="1" ht="14.25" customHeight="1">
      <c r="A337" s="3229" t="s">
        <v>307</v>
      </c>
      <c r="B337" s="3229" t="s">
        <v>3163</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3164</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3165</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2929</v>
      </c>
      <c r="C345" s="3229">
        <v>3190</v>
      </c>
      <c r="D345" s="3229">
        <v>3140</v>
      </c>
      <c r="E345" s="3229">
        <v>3450</v>
      </c>
      <c r="F345" s="3229">
        <v>720</v>
      </c>
      <c r="G345" s="3229">
        <v>1880</v>
      </c>
      <c r="J345" s="3218"/>
    </row>
    <row r="346" spans="1:10">
      <c r="A346" s="3229" t="s">
        <v>307</v>
      </c>
      <c r="B346" s="3229" t="s">
        <v>3166</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2938</v>
      </c>
      <c r="C348" s="3229">
        <v>4000</v>
      </c>
      <c r="D348" s="3229">
        <v>3950</v>
      </c>
      <c r="E348" s="3229">
        <v>4430</v>
      </c>
      <c r="F348" s="3229">
        <v>760</v>
      </c>
      <c r="G348" s="3229">
        <v>2360</v>
      </c>
      <c r="J348" s="3218"/>
    </row>
    <row r="349" spans="1:10">
      <c r="A349" s="3229" t="s">
        <v>307</v>
      </c>
      <c r="B349" s="3229" t="s">
        <v>2943</v>
      </c>
      <c r="C349" s="3229">
        <v>3820</v>
      </c>
      <c r="D349" s="3229">
        <v>3780</v>
      </c>
      <c r="E349" s="3229">
        <v>4170</v>
      </c>
      <c r="F349" s="3229">
        <v>710</v>
      </c>
      <c r="G349" s="3229">
        <v>2260</v>
      </c>
      <c r="J349" s="3218"/>
    </row>
    <row r="350" spans="1:10">
      <c r="A350" s="3229" t="s">
        <v>307</v>
      </c>
      <c r="B350" s="3229" t="s">
        <v>3167</v>
      </c>
      <c r="C350" s="3229">
        <v>3760</v>
      </c>
      <c r="D350" s="3229">
        <v>3730</v>
      </c>
      <c r="E350" s="3229">
        <v>4100</v>
      </c>
      <c r="F350" s="3229">
        <v>800</v>
      </c>
      <c r="G350" s="3229">
        <v>2230</v>
      </c>
      <c r="J350" s="3218"/>
    </row>
    <row r="351" spans="1:10">
      <c r="A351" s="3229" t="s">
        <v>307</v>
      </c>
      <c r="B351" s="3229" t="s">
        <v>2951</v>
      </c>
      <c r="C351" s="3229">
        <v>3610</v>
      </c>
      <c r="D351" s="3229">
        <v>3580</v>
      </c>
      <c r="E351" s="3229">
        <v>3930</v>
      </c>
      <c r="F351" s="3229">
        <v>700</v>
      </c>
      <c r="G351" s="3229">
        <v>2140</v>
      </c>
      <c r="J351" s="3218"/>
    </row>
    <row r="352" spans="1:10">
      <c r="A352" s="3229" t="s">
        <v>307</v>
      </c>
      <c r="B352" s="3229" t="s">
        <v>2956</v>
      </c>
      <c r="C352" s="3229">
        <v>3670</v>
      </c>
      <c r="D352" s="3229">
        <v>3630</v>
      </c>
      <c r="E352" s="3229">
        <v>4000</v>
      </c>
      <c r="F352" s="3229">
        <v>750</v>
      </c>
      <c r="G352" s="3229">
        <v>2180</v>
      </c>
    </row>
    <row r="353" spans="1:7" s="3222" customFormat="1">
      <c r="A353" s="3229" t="s">
        <v>307</v>
      </c>
      <c r="B353" s="3229" t="s">
        <v>3168</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2976</v>
      </c>
      <c r="C355" s="3229">
        <v>3650</v>
      </c>
      <c r="D355" s="3229">
        <v>3610</v>
      </c>
      <c r="E355" s="3229">
        <v>4200</v>
      </c>
      <c r="F355" s="3229">
        <v>640</v>
      </c>
      <c r="G355" s="3229">
        <v>2160</v>
      </c>
    </row>
    <row r="356" spans="1:7" s="3222" customFormat="1">
      <c r="A356" s="3229" t="s">
        <v>307</v>
      </c>
      <c r="B356" s="3229" t="s">
        <v>2983</v>
      </c>
      <c r="C356" s="3229">
        <v>3260</v>
      </c>
      <c r="D356" s="3229">
        <v>3230</v>
      </c>
      <c r="E356" s="3229">
        <v>3740</v>
      </c>
      <c r="F356" s="3229">
        <v>600</v>
      </c>
      <c r="G356" s="3229">
        <v>1930</v>
      </c>
    </row>
    <row r="357" spans="1:7" s="3222" customFormat="1" ht="11.4" thickBot="1">
      <c r="A357" s="3237" t="s">
        <v>307</v>
      </c>
      <c r="B357" s="3240" t="s">
        <v>3169</v>
      </c>
      <c r="C357" s="3240">
        <v>3690</v>
      </c>
      <c r="D357" s="3240">
        <v>3650</v>
      </c>
      <c r="E357" s="3240">
        <v>4020</v>
      </c>
      <c r="F357" s="3240">
        <v>700</v>
      </c>
      <c r="G357" s="3240">
        <v>2190</v>
      </c>
    </row>
    <row r="358" spans="1:7" s="3222" customFormat="1">
      <c r="A358" s="3234" t="s">
        <v>3170</v>
      </c>
      <c r="B358" s="3225" t="s">
        <v>3171</v>
      </c>
      <c r="C358" s="3225">
        <v>2080</v>
      </c>
      <c r="D358" s="3225">
        <v>2040</v>
      </c>
      <c r="E358" s="3225">
        <v>2010</v>
      </c>
      <c r="F358" s="3225">
        <v>530</v>
      </c>
      <c r="G358" s="3241">
        <v>1230</v>
      </c>
    </row>
    <row r="359" spans="1:7" s="3222" customFormat="1">
      <c r="A359" s="3229" t="s">
        <v>3170</v>
      </c>
      <c r="B359" s="3229" t="s">
        <v>3172</v>
      </c>
      <c r="C359" s="3229">
        <v>1850</v>
      </c>
      <c r="D359" s="3229">
        <v>1820</v>
      </c>
      <c r="E359" s="3229">
        <v>1780</v>
      </c>
      <c r="F359" s="3229">
        <v>520</v>
      </c>
      <c r="G359" s="3242">
        <v>1100</v>
      </c>
    </row>
    <row r="360" spans="1:7" s="3222" customFormat="1">
      <c r="A360" s="3229" t="s">
        <v>3170</v>
      </c>
      <c r="B360" s="3229" t="s">
        <v>3173</v>
      </c>
      <c r="C360" s="3229">
        <v>2020</v>
      </c>
      <c r="D360" s="3229">
        <v>1990</v>
      </c>
      <c r="E360" s="3229">
        <v>1950</v>
      </c>
      <c r="F360" s="3229">
        <v>500</v>
      </c>
      <c r="G360" s="3242">
        <v>1200</v>
      </c>
    </row>
    <row r="361" spans="1:7" s="3222" customFormat="1">
      <c r="A361" s="3229" t="s">
        <v>3170</v>
      </c>
      <c r="B361" s="3229" t="s">
        <v>153</v>
      </c>
      <c r="C361" s="3229">
        <v>2260</v>
      </c>
      <c r="D361" s="3229">
        <v>2220</v>
      </c>
      <c r="E361" s="3229">
        <v>2180</v>
      </c>
      <c r="F361" s="3229">
        <v>580</v>
      </c>
      <c r="G361" s="3242">
        <v>1340</v>
      </c>
    </row>
    <row r="362" spans="1:7" s="3222" customFormat="1">
      <c r="A362" s="3229" t="s">
        <v>3170</v>
      </c>
      <c r="B362" s="3229" t="s">
        <v>3174</v>
      </c>
      <c r="C362" s="3229">
        <v>2650</v>
      </c>
      <c r="D362" s="3229">
        <v>2610</v>
      </c>
      <c r="E362" s="3229">
        <v>2570</v>
      </c>
      <c r="F362" s="3229">
        <v>630</v>
      </c>
      <c r="G362" s="3242">
        <v>1570</v>
      </c>
    </row>
    <row r="363" spans="1:7" s="3222" customFormat="1">
      <c r="A363" s="3229" t="s">
        <v>3170</v>
      </c>
      <c r="B363" s="3229" t="s">
        <v>2895</v>
      </c>
      <c r="C363" s="3229">
        <v>2390</v>
      </c>
      <c r="D363" s="3229">
        <v>2360</v>
      </c>
      <c r="E363" s="3229">
        <v>2320</v>
      </c>
      <c r="F363" s="3229">
        <v>600</v>
      </c>
      <c r="G363" s="3242">
        <v>1420</v>
      </c>
    </row>
    <row r="364" spans="1:7" s="3222" customFormat="1">
      <c r="A364" s="3229" t="s">
        <v>3170</v>
      </c>
      <c r="B364" s="3229" t="s">
        <v>3175</v>
      </c>
      <c r="C364" s="3229">
        <v>2050</v>
      </c>
      <c r="D364" s="3229">
        <v>2030</v>
      </c>
      <c r="E364" s="3229">
        <v>1990</v>
      </c>
      <c r="F364" s="3229">
        <v>550</v>
      </c>
      <c r="G364" s="3242">
        <v>1220</v>
      </c>
    </row>
    <row r="365" spans="1:7" s="3222" customFormat="1">
      <c r="A365" s="3229" t="s">
        <v>3170</v>
      </c>
      <c r="B365" s="3229" t="s">
        <v>200</v>
      </c>
      <c r="C365" s="3229">
        <v>2140</v>
      </c>
      <c r="D365" s="3229">
        <v>2100</v>
      </c>
      <c r="E365" s="3229">
        <v>2060</v>
      </c>
      <c r="F365" s="3229">
        <v>540</v>
      </c>
      <c r="G365" s="3242">
        <v>1270</v>
      </c>
    </row>
    <row r="366" spans="1:7" s="3222" customFormat="1">
      <c r="A366" s="3229" t="s">
        <v>3170</v>
      </c>
      <c r="B366" s="3229" t="s">
        <v>2902</v>
      </c>
      <c r="C366" s="3229">
        <v>2410</v>
      </c>
      <c r="D366" s="3229">
        <v>2370</v>
      </c>
      <c r="E366" s="3229">
        <v>2330</v>
      </c>
      <c r="F366" s="3229">
        <v>570</v>
      </c>
      <c r="G366" s="3242">
        <v>1440</v>
      </c>
    </row>
    <row r="367" spans="1:7" s="3222" customFormat="1">
      <c r="A367" s="3229" t="s">
        <v>3170</v>
      </c>
      <c r="B367" s="3229" t="s">
        <v>3176</v>
      </c>
      <c r="C367" s="3229">
        <v>2300</v>
      </c>
      <c r="D367" s="3229">
        <v>2260</v>
      </c>
      <c r="E367" s="3229">
        <v>2220</v>
      </c>
      <c r="F367" s="3229">
        <v>560</v>
      </c>
      <c r="G367" s="3242">
        <v>1370</v>
      </c>
    </row>
    <row r="368" spans="1:7" s="3222" customFormat="1">
      <c r="A368" s="3229" t="s">
        <v>3170</v>
      </c>
      <c r="B368" s="3229" t="s">
        <v>3177</v>
      </c>
      <c r="C368" s="3229">
        <v>2430</v>
      </c>
      <c r="D368" s="3229">
        <v>2390</v>
      </c>
      <c r="E368" s="3229">
        <v>2350</v>
      </c>
      <c r="F368" s="3229">
        <v>570</v>
      </c>
      <c r="G368" s="3242">
        <v>1450</v>
      </c>
    </row>
    <row r="369" spans="1:7" s="3222" customFormat="1">
      <c r="A369" s="3229" t="s">
        <v>3170</v>
      </c>
      <c r="B369" s="3229" t="s">
        <v>214</v>
      </c>
      <c r="C369" s="3229">
        <v>2320</v>
      </c>
      <c r="D369" s="3229">
        <v>2290</v>
      </c>
      <c r="E369" s="3229">
        <v>2250</v>
      </c>
      <c r="F369" s="3229">
        <v>550</v>
      </c>
      <c r="G369" s="3242">
        <v>1380</v>
      </c>
    </row>
    <row r="370" spans="1:7" s="3222" customFormat="1">
      <c r="A370" s="3229" t="s">
        <v>3170</v>
      </c>
      <c r="B370" s="3229" t="s">
        <v>221</v>
      </c>
      <c r="C370" s="3229">
        <v>2190</v>
      </c>
      <c r="D370" s="3229">
        <v>2170</v>
      </c>
      <c r="E370" s="3229">
        <v>2130</v>
      </c>
      <c r="F370" s="3229">
        <v>530</v>
      </c>
      <c r="G370" s="3242">
        <v>1310</v>
      </c>
    </row>
    <row r="371" spans="1:7" s="3222" customFormat="1">
      <c r="A371" s="3229" t="s">
        <v>3170</v>
      </c>
      <c r="B371" s="3229" t="s">
        <v>229</v>
      </c>
      <c r="C371" s="3229">
        <v>2460</v>
      </c>
      <c r="D371" s="3229">
        <v>2420</v>
      </c>
      <c r="E371" s="3229">
        <v>2370</v>
      </c>
      <c r="F371" s="3229">
        <v>560</v>
      </c>
      <c r="G371" s="3242">
        <v>1470</v>
      </c>
    </row>
    <row r="372" spans="1:7" s="3222" customFormat="1">
      <c r="A372" s="3229" t="s">
        <v>3170</v>
      </c>
      <c r="B372" s="3229" t="s">
        <v>3178</v>
      </c>
      <c r="C372" s="3229">
        <v>2250</v>
      </c>
      <c r="D372" s="3229">
        <v>2210</v>
      </c>
      <c r="E372" s="3229">
        <v>2180</v>
      </c>
      <c r="F372" s="3229">
        <v>550</v>
      </c>
      <c r="G372" s="3242">
        <v>1340</v>
      </c>
    </row>
    <row r="373" spans="1:7" s="3222" customFormat="1">
      <c r="A373" s="3229" t="s">
        <v>3170</v>
      </c>
      <c r="B373" s="3229" t="s">
        <v>258</v>
      </c>
      <c r="C373" s="3229">
        <v>2210</v>
      </c>
      <c r="D373" s="3229">
        <v>2190</v>
      </c>
      <c r="E373" s="3229">
        <v>2150</v>
      </c>
      <c r="F373" s="3229">
        <v>530</v>
      </c>
      <c r="G373" s="3242">
        <v>1320</v>
      </c>
    </row>
    <row r="374" spans="1:7" s="3222" customFormat="1">
      <c r="A374" s="3229" t="s">
        <v>3170</v>
      </c>
      <c r="B374" s="3229" t="s">
        <v>266</v>
      </c>
      <c r="C374" s="3229">
        <v>2320</v>
      </c>
      <c r="D374" s="3229">
        <v>2280</v>
      </c>
      <c r="E374" s="3229">
        <v>2230</v>
      </c>
      <c r="F374" s="3229">
        <v>580</v>
      </c>
      <c r="G374" s="3242">
        <v>1380</v>
      </c>
    </row>
    <row r="375" spans="1:7" s="3222" customFormat="1">
      <c r="A375" s="3229" t="s">
        <v>3170</v>
      </c>
      <c r="B375" s="3229" t="s">
        <v>3179</v>
      </c>
      <c r="C375" s="3229">
        <v>2090</v>
      </c>
      <c r="D375" s="3229">
        <v>2050</v>
      </c>
      <c r="E375" s="3229">
        <v>2020</v>
      </c>
      <c r="F375" s="3229">
        <v>520</v>
      </c>
      <c r="G375" s="3242">
        <v>1240</v>
      </c>
    </row>
    <row r="376" spans="1:7" s="3222" customFormat="1">
      <c r="A376" s="3229" t="s">
        <v>3170</v>
      </c>
      <c r="B376" s="3229" t="s">
        <v>277</v>
      </c>
      <c r="C376" s="3229">
        <v>2010</v>
      </c>
      <c r="D376" s="3229">
        <v>1980</v>
      </c>
      <c r="E376" s="3229">
        <v>1940</v>
      </c>
      <c r="F376" s="3229">
        <v>540</v>
      </c>
      <c r="G376" s="3242">
        <v>1190</v>
      </c>
    </row>
    <row r="377" spans="1:7" s="3222" customFormat="1" ht="11.4" thickBot="1">
      <c r="A377" s="3237" t="s">
        <v>3170</v>
      </c>
      <c r="B377" s="3240" t="s">
        <v>2932</v>
      </c>
      <c r="C377" s="3240">
        <v>1930</v>
      </c>
      <c r="D377" s="3240">
        <v>1890</v>
      </c>
      <c r="E377" s="3240">
        <v>1860</v>
      </c>
      <c r="F377" s="3240">
        <v>530</v>
      </c>
      <c r="G377" s="3245">
        <v>1150</v>
      </c>
    </row>
    <row r="378" spans="1:7" s="3222" customFormat="1">
      <c r="A378" s="3246" t="s">
        <v>3180</v>
      </c>
      <c r="B378" s="3225" t="s">
        <v>3181</v>
      </c>
      <c r="C378" s="3225">
        <v>1520</v>
      </c>
      <c r="D378" s="3225">
        <v>1490</v>
      </c>
      <c r="E378" s="3225">
        <v>1460</v>
      </c>
      <c r="F378" s="3225">
        <v>460</v>
      </c>
      <c r="G378" s="3241">
        <v>940</v>
      </c>
    </row>
    <row r="379" spans="1:7" s="3222" customFormat="1">
      <c r="A379" s="3247" t="s">
        <v>3180</v>
      </c>
      <c r="B379" s="3229" t="s">
        <v>3182</v>
      </c>
      <c r="C379" s="3229">
        <v>1500</v>
      </c>
      <c r="D379" s="3229">
        <v>1470</v>
      </c>
      <c r="E379" s="3229">
        <v>1430</v>
      </c>
      <c r="F379" s="3229">
        <v>460</v>
      </c>
      <c r="G379" s="3242">
        <v>920</v>
      </c>
    </row>
    <row r="380" spans="1:7" s="3222" customFormat="1">
      <c r="A380" s="3247" t="s">
        <v>3180</v>
      </c>
      <c r="B380" s="3229" t="s">
        <v>3183</v>
      </c>
      <c r="C380" s="3229">
        <v>1620</v>
      </c>
      <c r="D380" s="3229">
        <v>1590</v>
      </c>
      <c r="E380" s="3229">
        <v>1560</v>
      </c>
      <c r="F380" s="3229">
        <v>480</v>
      </c>
      <c r="G380" s="3242">
        <v>1000</v>
      </c>
    </row>
    <row r="381" spans="1:7" s="3222" customFormat="1">
      <c r="A381" s="3247" t="s">
        <v>3180</v>
      </c>
      <c r="B381" s="3229" t="s">
        <v>3184</v>
      </c>
      <c r="C381" s="3229">
        <v>1460</v>
      </c>
      <c r="D381" s="3229">
        <v>1430</v>
      </c>
      <c r="E381" s="3229">
        <v>1390</v>
      </c>
      <c r="F381" s="3229">
        <v>450</v>
      </c>
      <c r="G381" s="3242">
        <v>900</v>
      </c>
    </row>
    <row r="382" spans="1:7" s="3222" customFormat="1">
      <c r="A382" s="3247" t="s">
        <v>3180</v>
      </c>
      <c r="B382" s="3229" t="s">
        <v>3185</v>
      </c>
      <c r="C382" s="3229">
        <v>1310</v>
      </c>
      <c r="D382" s="3229">
        <v>1280</v>
      </c>
      <c r="E382" s="3229">
        <v>1250</v>
      </c>
      <c r="F382" s="3229">
        <v>440</v>
      </c>
      <c r="G382" s="3242">
        <v>800</v>
      </c>
    </row>
    <row r="383" spans="1:7" s="3222" customFormat="1">
      <c r="A383" s="3247" t="s">
        <v>3180</v>
      </c>
      <c r="B383" s="3229" t="s">
        <v>3186</v>
      </c>
      <c r="C383" s="3229">
        <v>1260</v>
      </c>
      <c r="D383" s="3229">
        <v>1230</v>
      </c>
      <c r="E383" s="3229">
        <v>1200</v>
      </c>
      <c r="F383" s="3229">
        <v>420</v>
      </c>
      <c r="G383" s="3242">
        <v>770</v>
      </c>
    </row>
    <row r="384" spans="1:7" s="3222" customFormat="1" ht="11.4" thickBot="1">
      <c r="A384" s="3248" t="s">
        <v>3180</v>
      </c>
      <c r="B384" s="3236" t="s">
        <v>3187</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5" customWidth="1"/>
    <col min="2" max="2" width="20" style="3285" customWidth="1"/>
    <col min="3" max="7" width="8.88671875" style="3249"/>
    <col min="8" max="16384" width="8.88671875" style="3250"/>
  </cols>
  <sheetData>
    <row r="1" spans="1:7">
      <c r="A1" s="3798" t="s">
        <v>3188</v>
      </c>
      <c r="B1" s="3798"/>
    </row>
    <row r="2" spans="1:7" ht="15" thickBot="1">
      <c r="A2" s="3251"/>
      <c r="B2" s="3251"/>
    </row>
    <row r="3" spans="1:7" ht="15" thickBot="1">
      <c r="A3" s="3251"/>
      <c r="B3" s="3251"/>
      <c r="C3" s="3252" t="s">
        <v>2814</v>
      </c>
      <c r="D3" s="3252" t="s">
        <v>2874</v>
      </c>
      <c r="E3" s="3252" t="s">
        <v>2816</v>
      </c>
      <c r="F3" s="3252" t="s">
        <v>2875</v>
      </c>
      <c r="G3" s="3252" t="s">
        <v>2634</v>
      </c>
    </row>
    <row r="4" spans="1:7" ht="15" thickBot="1">
      <c r="A4" s="3253" t="s">
        <v>2873</v>
      </c>
      <c r="B4" s="3254" t="s">
        <v>2879</v>
      </c>
      <c r="C4" s="3252"/>
      <c r="D4" s="3252"/>
      <c r="E4" s="3252"/>
      <c r="F4" s="3252"/>
      <c r="G4" s="3252"/>
    </row>
    <row r="5" spans="1:7">
      <c r="A5" s="3255" t="s">
        <v>2847</v>
      </c>
      <c r="B5" s="3256" t="s">
        <v>2861</v>
      </c>
      <c r="C5" s="3257">
        <v>9.8000000000000004E-2</v>
      </c>
      <c r="D5" s="3257">
        <v>8.6999999999999994E-2</v>
      </c>
      <c r="E5" s="3257">
        <v>8.6999999999999994E-2</v>
      </c>
      <c r="F5" s="3257">
        <v>9.8000000000000004E-2</v>
      </c>
      <c r="G5" s="3258">
        <v>9.5000000000000001E-2</v>
      </c>
    </row>
    <row r="6" spans="1:7">
      <c r="A6" s="3259" t="s">
        <v>144</v>
      </c>
      <c r="B6" s="3260" t="s">
        <v>2876</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5" thickBot="1">
      <c r="A9" s="3263" t="s">
        <v>144</v>
      </c>
      <c r="B9" s="3264" t="s">
        <v>154</v>
      </c>
      <c r="C9" s="3265">
        <v>0.1</v>
      </c>
      <c r="D9" s="3265">
        <v>0.1</v>
      </c>
      <c r="E9" s="3265">
        <v>0.1</v>
      </c>
      <c r="F9" s="3266"/>
      <c r="G9" s="3267">
        <v>0.1</v>
      </c>
    </row>
    <row r="10" spans="1:7">
      <c r="A10" s="3255" t="s">
        <v>184</v>
      </c>
      <c r="B10" s="3256" t="s">
        <v>2862</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2912</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5" thickBot="1">
      <c r="A29" s="3263" t="s">
        <v>184</v>
      </c>
      <c r="B29" s="3264" t="s">
        <v>2930</v>
      </c>
      <c r="C29" s="3269"/>
      <c r="D29" s="3265">
        <v>5.1999999999999998E-2</v>
      </c>
      <c r="E29" s="3265">
        <v>7.0000000000000007E-2</v>
      </c>
      <c r="F29" s="3269"/>
      <c r="G29" s="3267">
        <v>7.0999999999999994E-2</v>
      </c>
    </row>
    <row r="30" spans="1:7">
      <c r="A30" s="3270" t="s">
        <v>296</v>
      </c>
      <c r="B30" s="3256" t="s">
        <v>2863</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2849</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2933</v>
      </c>
      <c r="C50" s="3261">
        <v>9.8000000000000004E-2</v>
      </c>
      <c r="D50" s="3261">
        <v>7.2999999999999995E-2</v>
      </c>
      <c r="E50" s="3261">
        <v>7.0999999999999994E-2</v>
      </c>
      <c r="F50" s="3272"/>
      <c r="G50" s="3262">
        <v>7.2999999999999995E-2</v>
      </c>
    </row>
    <row r="51" spans="1:7">
      <c r="A51" s="3271" t="s">
        <v>296</v>
      </c>
      <c r="B51" s="3260" t="s">
        <v>2935</v>
      </c>
      <c r="C51" s="3261">
        <v>9.9000000000000005E-2</v>
      </c>
      <c r="D51" s="3261">
        <v>8.5000000000000006E-2</v>
      </c>
      <c r="E51" s="3261">
        <v>6.3E-2</v>
      </c>
      <c r="F51" s="3272"/>
      <c r="G51" s="3262">
        <v>9.6000000000000002E-2</v>
      </c>
    </row>
    <row r="52" spans="1:7">
      <c r="A52" s="3271" t="s">
        <v>296</v>
      </c>
      <c r="B52" s="3260" t="s">
        <v>2939</v>
      </c>
      <c r="C52" s="3261">
        <v>7.3999999999999996E-2</v>
      </c>
      <c r="D52" s="3261">
        <v>9.6000000000000002E-2</v>
      </c>
      <c r="E52" s="3261">
        <v>0.05</v>
      </c>
      <c r="F52" s="3272"/>
      <c r="G52" s="3262">
        <v>9.8000000000000004E-2</v>
      </c>
    </row>
    <row r="53" spans="1:7">
      <c r="A53" s="3271" t="s">
        <v>296</v>
      </c>
      <c r="B53" s="3260" t="s">
        <v>2944</v>
      </c>
      <c r="C53" s="3261">
        <v>8.5999999999999993E-2</v>
      </c>
      <c r="D53" s="3272"/>
      <c r="E53" s="3261">
        <v>9.1999999999999998E-2</v>
      </c>
      <c r="F53" s="3272"/>
      <c r="G53" s="3273"/>
    </row>
    <row r="54" spans="1:7" ht="15" thickBot="1">
      <c r="A54" s="3274" t="s">
        <v>296</v>
      </c>
      <c r="B54" s="3264" t="s">
        <v>2947</v>
      </c>
      <c r="C54" s="3265">
        <v>9.6000000000000002E-2</v>
      </c>
      <c r="D54" s="3266"/>
      <c r="E54" s="3275"/>
      <c r="F54" s="3266"/>
      <c r="G54" s="3276"/>
    </row>
    <row r="55" spans="1:7">
      <c r="A55" s="3270" t="s">
        <v>110</v>
      </c>
      <c r="B55" s="3256" t="s">
        <v>2864</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2945</v>
      </c>
      <c r="C78" s="3261">
        <v>0.1</v>
      </c>
      <c r="D78" s="3261">
        <v>8.5000000000000006E-2</v>
      </c>
      <c r="E78" s="3261">
        <v>9.6000000000000002E-2</v>
      </c>
      <c r="F78" s="3272"/>
      <c r="G78" s="3262">
        <v>9.6000000000000002E-2</v>
      </c>
    </row>
    <row r="79" spans="1:7">
      <c r="A79" s="3271" t="s">
        <v>110</v>
      </c>
      <c r="B79" s="3260" t="s">
        <v>2948</v>
      </c>
      <c r="C79" s="3261">
        <v>0.05</v>
      </c>
      <c r="D79" s="3261">
        <v>9.6000000000000002E-2</v>
      </c>
      <c r="E79" s="3261">
        <v>9.5000000000000001E-2</v>
      </c>
      <c r="F79" s="3272"/>
      <c r="G79" s="3262">
        <v>9.8000000000000004E-2</v>
      </c>
    </row>
    <row r="80" spans="1:7">
      <c r="A80" s="3271" t="s">
        <v>110</v>
      </c>
      <c r="B80" s="3260" t="s">
        <v>2952</v>
      </c>
      <c r="C80" s="3261">
        <v>8.5999999999999993E-2</v>
      </c>
      <c r="D80" s="3277"/>
      <c r="E80" s="3261">
        <v>0.1</v>
      </c>
      <c r="F80" s="3272"/>
      <c r="G80" s="3273"/>
    </row>
    <row r="81" spans="1:7">
      <c r="A81" s="3271" t="s">
        <v>110</v>
      </c>
      <c r="B81" s="3260" t="s">
        <v>2957</v>
      </c>
      <c r="C81" s="3261">
        <v>9.6000000000000002E-2</v>
      </c>
      <c r="D81" s="3272"/>
      <c r="E81" s="3261">
        <v>9.8000000000000004E-2</v>
      </c>
      <c r="F81" s="3272"/>
      <c r="G81" s="3273"/>
    </row>
    <row r="82" spans="1:7">
      <c r="A82" s="3271" t="s">
        <v>110</v>
      </c>
      <c r="B82" s="3260" t="s">
        <v>2964</v>
      </c>
      <c r="C82" s="3277"/>
      <c r="D82" s="3272"/>
      <c r="E82" s="3261">
        <v>7.6999999999999999E-2</v>
      </c>
      <c r="F82" s="3272"/>
      <c r="G82" s="3273"/>
    </row>
    <row r="83" spans="1:7">
      <c r="A83" s="3271" t="s">
        <v>110</v>
      </c>
      <c r="B83" s="3260" t="s">
        <v>2970</v>
      </c>
      <c r="C83" s="3272"/>
      <c r="D83" s="3272"/>
      <c r="E83" s="3272"/>
      <c r="F83" s="3261">
        <v>0.1</v>
      </c>
      <c r="G83" s="3278"/>
    </row>
    <row r="84" spans="1:7">
      <c r="A84" s="3271" t="s">
        <v>110</v>
      </c>
      <c r="B84" s="3260" t="s">
        <v>2977</v>
      </c>
      <c r="C84" s="3272"/>
      <c r="D84" s="3272"/>
      <c r="E84" s="3272"/>
      <c r="F84" s="3261">
        <v>0.1</v>
      </c>
      <c r="G84" s="3278"/>
    </row>
    <row r="85" spans="1:7">
      <c r="A85" s="3271" t="s">
        <v>110</v>
      </c>
      <c r="B85" s="3260" t="s">
        <v>2984</v>
      </c>
      <c r="C85" s="3272"/>
      <c r="D85" s="3272"/>
      <c r="E85" s="3272"/>
      <c r="F85" s="3261">
        <v>0.1</v>
      </c>
      <c r="G85" s="3278"/>
    </row>
    <row r="86" spans="1:7" ht="15" thickBot="1">
      <c r="A86" s="3274" t="s">
        <v>110</v>
      </c>
      <c r="B86" s="3264" t="s">
        <v>2989</v>
      </c>
      <c r="C86" s="3265">
        <v>9.8000000000000004E-2</v>
      </c>
      <c r="D86" s="3265">
        <v>9.8000000000000004E-2</v>
      </c>
      <c r="E86" s="3265">
        <v>9.6000000000000002E-2</v>
      </c>
      <c r="F86" s="3275"/>
      <c r="G86" s="3267">
        <v>0.1</v>
      </c>
    </row>
    <row r="87" spans="1:7">
      <c r="A87" s="3270" t="s">
        <v>303</v>
      </c>
      <c r="B87" s="3256" t="s">
        <v>2865</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2958</v>
      </c>
      <c r="C113" s="3261">
        <v>0.1</v>
      </c>
      <c r="D113" s="3261">
        <v>0.1</v>
      </c>
      <c r="E113" s="3272"/>
      <c r="F113" s="3272"/>
      <c r="G113" s="3262">
        <v>0.1</v>
      </c>
    </row>
    <row r="114" spans="1:7">
      <c r="A114" s="3271" t="s">
        <v>303</v>
      </c>
      <c r="B114" s="3260" t="s">
        <v>2965</v>
      </c>
      <c r="C114" s="3261">
        <v>9.7000000000000003E-2</v>
      </c>
      <c r="D114" s="3261">
        <v>9.7000000000000003E-2</v>
      </c>
      <c r="E114" s="3272"/>
      <c r="F114" s="3272"/>
      <c r="G114" s="3262">
        <v>9.9000000000000005E-2</v>
      </c>
    </row>
    <row r="115" spans="1:7">
      <c r="A115" s="3271" t="s">
        <v>303</v>
      </c>
      <c r="B115" s="3260" t="s">
        <v>2971</v>
      </c>
      <c r="C115" s="3261">
        <v>0.1</v>
      </c>
      <c r="D115" s="3261">
        <v>0.1</v>
      </c>
      <c r="E115" s="3272"/>
      <c r="F115" s="3272"/>
      <c r="G115" s="3262">
        <v>0.1</v>
      </c>
    </row>
    <row r="116" spans="1:7">
      <c r="A116" s="3271" t="s">
        <v>303</v>
      </c>
      <c r="B116" s="3260" t="s">
        <v>2978</v>
      </c>
      <c r="C116" s="3261">
        <v>0.1</v>
      </c>
      <c r="D116" s="3261">
        <v>0.1</v>
      </c>
      <c r="E116" s="3272"/>
      <c r="F116" s="3272"/>
      <c r="G116" s="3262">
        <v>0.1</v>
      </c>
    </row>
    <row r="117" spans="1:7">
      <c r="A117" s="3271" t="s">
        <v>303</v>
      </c>
      <c r="B117" s="3260" t="s">
        <v>2985</v>
      </c>
      <c r="C117" s="3261">
        <v>9.7000000000000003E-2</v>
      </c>
      <c r="D117" s="3261">
        <v>9.7000000000000003E-2</v>
      </c>
      <c r="E117" s="3272"/>
      <c r="F117" s="3272"/>
      <c r="G117" s="3262">
        <v>9.7000000000000003E-2</v>
      </c>
    </row>
    <row r="118" spans="1:7">
      <c r="A118" s="3271" t="s">
        <v>303</v>
      </c>
      <c r="B118" s="3260" t="s">
        <v>2990</v>
      </c>
      <c r="C118" s="3261">
        <v>0.1</v>
      </c>
      <c r="D118" s="3261">
        <v>0.1</v>
      </c>
      <c r="E118" s="3272"/>
      <c r="F118" s="3272"/>
      <c r="G118" s="3262">
        <v>0.1</v>
      </c>
    </row>
    <row r="119" spans="1:7">
      <c r="A119" s="3271" t="s">
        <v>303</v>
      </c>
      <c r="B119" s="3260" t="s">
        <v>2994</v>
      </c>
      <c r="C119" s="3261">
        <v>5.0999999999999997E-2</v>
      </c>
      <c r="D119" s="3261">
        <v>5.1999999999999998E-2</v>
      </c>
      <c r="E119" s="3272"/>
      <c r="F119" s="3277"/>
      <c r="G119" s="3262">
        <v>0.06</v>
      </c>
    </row>
    <row r="120" spans="1:7">
      <c r="A120" s="3271" t="s">
        <v>303</v>
      </c>
      <c r="B120" s="3260" t="s">
        <v>2998</v>
      </c>
      <c r="C120" s="3272"/>
      <c r="D120" s="3272"/>
      <c r="E120" s="3272"/>
      <c r="F120" s="3261">
        <v>0.1</v>
      </c>
      <c r="G120" s="3278"/>
    </row>
    <row r="121" spans="1:7">
      <c r="A121" s="3271" t="s">
        <v>303</v>
      </c>
      <c r="B121" s="3260" t="s">
        <v>3003</v>
      </c>
      <c r="C121" s="3272"/>
      <c r="D121" s="3272"/>
      <c r="E121" s="3272"/>
      <c r="F121" s="3261">
        <v>0.1</v>
      </c>
      <c r="G121" s="3278"/>
    </row>
    <row r="122" spans="1:7">
      <c r="A122" s="3271" t="s">
        <v>303</v>
      </c>
      <c r="B122" s="3260" t="s">
        <v>3008</v>
      </c>
      <c r="C122" s="3261">
        <v>0.1</v>
      </c>
      <c r="D122" s="3261">
        <v>0.1</v>
      </c>
      <c r="E122" s="3261">
        <v>9.8000000000000004E-2</v>
      </c>
      <c r="F122" s="3261">
        <v>0.1</v>
      </c>
      <c r="G122" s="3262">
        <v>0.1</v>
      </c>
    </row>
    <row r="123" spans="1:7">
      <c r="A123" s="3271" t="s">
        <v>303</v>
      </c>
      <c r="B123" s="3260" t="s">
        <v>3013</v>
      </c>
      <c r="C123" s="3261">
        <v>0.1</v>
      </c>
      <c r="D123" s="3261">
        <v>0.1</v>
      </c>
      <c r="E123" s="3261">
        <v>9.8000000000000004E-2</v>
      </c>
      <c r="F123" s="3261">
        <v>0.1</v>
      </c>
      <c r="G123" s="3262">
        <v>0.1</v>
      </c>
    </row>
    <row r="124" spans="1:7">
      <c r="A124" s="3271" t="s">
        <v>303</v>
      </c>
      <c r="B124" s="3260" t="s">
        <v>3018</v>
      </c>
      <c r="C124" s="3261">
        <v>0.1</v>
      </c>
      <c r="D124" s="3261">
        <v>0.1</v>
      </c>
      <c r="E124" s="3261">
        <v>9.8000000000000004E-2</v>
      </c>
      <c r="F124" s="3277"/>
      <c r="G124" s="3262">
        <v>0.1</v>
      </c>
    </row>
    <row r="125" spans="1:7">
      <c r="A125" s="3271" t="s">
        <v>303</v>
      </c>
      <c r="B125" s="3260" t="s">
        <v>3023</v>
      </c>
      <c r="C125" s="3261">
        <v>9.8000000000000004E-2</v>
      </c>
      <c r="D125" s="3261">
        <v>9.8000000000000004E-2</v>
      </c>
      <c r="E125" s="3261">
        <v>9.6000000000000002E-2</v>
      </c>
      <c r="F125" s="3277"/>
      <c r="G125" s="3262">
        <v>0.1</v>
      </c>
    </row>
    <row r="126" spans="1:7" ht="15" thickBot="1">
      <c r="A126" s="3274" t="s">
        <v>303</v>
      </c>
      <c r="B126" s="3264" t="s">
        <v>3189</v>
      </c>
      <c r="C126" s="3265">
        <v>0.1</v>
      </c>
      <c r="D126" s="3265">
        <v>0.1</v>
      </c>
      <c r="E126" s="3265">
        <v>9.8000000000000004E-2</v>
      </c>
      <c r="F126" s="3265">
        <v>0.1</v>
      </c>
      <c r="G126" s="3267">
        <v>0.1</v>
      </c>
    </row>
    <row r="127" spans="1:7">
      <c r="A127" s="3270" t="s">
        <v>29</v>
      </c>
      <c r="B127" s="3256" t="s">
        <v>2866</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2936</v>
      </c>
      <c r="C148" s="3261">
        <v>0.13</v>
      </c>
      <c r="D148" s="3261">
        <v>0.13</v>
      </c>
      <c r="E148" s="3261">
        <v>0.13</v>
      </c>
      <c r="F148" s="3272"/>
      <c r="G148" s="3262">
        <v>0.13</v>
      </c>
    </row>
    <row r="149" spans="1:7">
      <c r="A149" s="3271" t="s">
        <v>29</v>
      </c>
      <c r="B149" s="3260" t="s">
        <v>2940</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2959</v>
      </c>
      <c r="C153" s="3261">
        <v>0.13</v>
      </c>
      <c r="D153" s="3261">
        <v>0.13</v>
      </c>
      <c r="E153" s="3261">
        <v>0.13</v>
      </c>
      <c r="F153" s="3261">
        <v>0.13</v>
      </c>
      <c r="G153" s="3262">
        <v>0.13</v>
      </c>
    </row>
    <row r="154" spans="1:7">
      <c r="A154" s="3271" t="s">
        <v>29</v>
      </c>
      <c r="B154" s="3260" t="s">
        <v>2966</v>
      </c>
      <c r="C154" s="3261">
        <v>0.121</v>
      </c>
      <c r="D154" s="3261">
        <v>0.121</v>
      </c>
      <c r="E154" s="3261">
        <v>0.105</v>
      </c>
      <c r="F154" s="3261">
        <v>0.121</v>
      </c>
      <c r="G154" s="3262">
        <v>0.123</v>
      </c>
    </row>
    <row r="155" spans="1:7">
      <c r="A155" s="3271" t="s">
        <v>29</v>
      </c>
      <c r="B155" s="3260" t="s">
        <v>2972</v>
      </c>
      <c r="C155" s="3261">
        <v>0.1</v>
      </c>
      <c r="D155" s="3261">
        <v>0.1</v>
      </c>
      <c r="E155" s="3261">
        <v>0.1</v>
      </c>
      <c r="F155" s="3261">
        <v>0.1</v>
      </c>
      <c r="G155" s="3262">
        <v>0.1</v>
      </c>
    </row>
    <row r="156" spans="1:7">
      <c r="A156" s="3271" t="s">
        <v>29</v>
      </c>
      <c r="B156" s="3260" t="s">
        <v>2979</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2999</v>
      </c>
      <c r="C160" s="3261">
        <v>0.13</v>
      </c>
      <c r="D160" s="3261">
        <v>0.13</v>
      </c>
      <c r="E160" s="3261">
        <v>0.124</v>
      </c>
      <c r="F160" s="3261">
        <v>0.126</v>
      </c>
      <c r="G160" s="3262">
        <v>0.13</v>
      </c>
    </row>
    <row r="161" spans="1:7">
      <c r="A161" s="3271" t="s">
        <v>29</v>
      </c>
      <c r="B161" s="3260" t="s">
        <v>3004</v>
      </c>
      <c r="C161" s="3261">
        <v>0.13</v>
      </c>
      <c r="D161" s="3261">
        <v>0.13</v>
      </c>
      <c r="E161" s="3261">
        <v>0.124</v>
      </c>
      <c r="F161" s="3261">
        <v>0.127</v>
      </c>
      <c r="G161" s="3262">
        <v>0.13</v>
      </c>
    </row>
    <row r="162" spans="1:7">
      <c r="A162" s="3271" t="s">
        <v>29</v>
      </c>
      <c r="B162" s="3260" t="s">
        <v>3009</v>
      </c>
      <c r="C162" s="3261">
        <v>0.1</v>
      </c>
      <c r="D162" s="3261">
        <v>0.1</v>
      </c>
      <c r="E162" s="3261">
        <v>0.1</v>
      </c>
      <c r="F162" s="3261">
        <v>0.121</v>
      </c>
      <c r="G162" s="3262">
        <v>0.105</v>
      </c>
    </row>
    <row r="163" spans="1:7">
      <c r="A163" s="3271" t="s">
        <v>29</v>
      </c>
      <c r="B163" s="3260" t="s">
        <v>3014</v>
      </c>
      <c r="C163" s="3261">
        <v>0.1</v>
      </c>
      <c r="D163" s="3261">
        <v>0.1</v>
      </c>
      <c r="E163" s="3261">
        <v>0.1</v>
      </c>
      <c r="F163" s="3261">
        <v>0.1</v>
      </c>
      <c r="G163" s="3262">
        <v>0.1</v>
      </c>
    </row>
    <row r="164" spans="1:7">
      <c r="A164" s="3271" t="s">
        <v>29</v>
      </c>
      <c r="B164" s="3260" t="s">
        <v>3019</v>
      </c>
      <c r="C164" s="3277"/>
      <c r="D164" s="3277"/>
      <c r="E164" s="3277"/>
      <c r="F164" s="3261">
        <v>0.1</v>
      </c>
      <c r="G164" s="3273"/>
    </row>
    <row r="165" spans="1:7">
      <c r="A165" s="3271" t="s">
        <v>29</v>
      </c>
      <c r="B165" s="3260" t="s">
        <v>3190</v>
      </c>
      <c r="C165" s="3261">
        <v>0.126</v>
      </c>
      <c r="D165" s="3261">
        <v>0.126</v>
      </c>
      <c r="E165" s="3261">
        <v>0.11899999999999999</v>
      </c>
      <c r="F165" s="3261">
        <v>0.13</v>
      </c>
      <c r="G165" s="3262">
        <v>0.128</v>
      </c>
    </row>
    <row r="166" spans="1:7">
      <c r="A166" s="3271" t="s">
        <v>29</v>
      </c>
      <c r="B166" s="3260" t="s">
        <v>3029</v>
      </c>
      <c r="C166" s="3261">
        <v>0.129</v>
      </c>
      <c r="D166" s="3261">
        <v>0.129</v>
      </c>
      <c r="E166" s="3261">
        <v>0.123</v>
      </c>
      <c r="F166" s="3261">
        <v>0.128</v>
      </c>
      <c r="G166" s="3262">
        <v>0.13</v>
      </c>
    </row>
    <row r="167" spans="1:7">
      <c r="A167" s="3271" t="s">
        <v>29</v>
      </c>
      <c r="B167" s="3260" t="s">
        <v>3033</v>
      </c>
      <c r="C167" s="3261">
        <v>0.125</v>
      </c>
      <c r="D167" s="3261">
        <v>0.125</v>
      </c>
      <c r="E167" s="3261">
        <v>0.11700000000000001</v>
      </c>
      <c r="F167" s="3261">
        <v>0.13</v>
      </c>
      <c r="G167" s="3262">
        <v>0.126</v>
      </c>
    </row>
    <row r="168" spans="1:7">
      <c r="A168" s="3271" t="s">
        <v>29</v>
      </c>
      <c r="B168" s="3260" t="s">
        <v>3038</v>
      </c>
      <c r="C168" s="3261">
        <v>0.128</v>
      </c>
      <c r="D168" s="3261">
        <v>0.128</v>
      </c>
      <c r="E168" s="3261">
        <v>0.123</v>
      </c>
      <c r="F168" s="3272"/>
      <c r="G168" s="3262">
        <v>0.13</v>
      </c>
    </row>
    <row r="169" spans="1:7">
      <c r="A169" s="3271" t="s">
        <v>29</v>
      </c>
      <c r="B169" s="3260" t="s">
        <v>3191</v>
      </c>
      <c r="C169" s="3277"/>
      <c r="D169" s="3277"/>
      <c r="E169" s="3277"/>
      <c r="F169" s="3261">
        <v>0.05</v>
      </c>
      <c r="G169" s="3273"/>
    </row>
    <row r="170" spans="1:7">
      <c r="A170" s="3271" t="s">
        <v>29</v>
      </c>
      <c r="B170" s="3260" t="s">
        <v>3192</v>
      </c>
      <c r="C170" s="3277"/>
      <c r="D170" s="3277"/>
      <c r="E170" s="3277"/>
      <c r="F170" s="3261">
        <v>0.05</v>
      </c>
      <c r="G170" s="3273"/>
    </row>
    <row r="171" spans="1:7">
      <c r="A171" s="3271" t="s">
        <v>29</v>
      </c>
      <c r="B171" s="3260" t="s">
        <v>3193</v>
      </c>
      <c r="C171" s="3277"/>
      <c r="D171" s="3277"/>
      <c r="E171" s="3277"/>
      <c r="F171" s="3261">
        <v>0.05</v>
      </c>
      <c r="G171" s="3278"/>
    </row>
    <row r="172" spans="1:7">
      <c r="A172" s="3271" t="s">
        <v>29</v>
      </c>
      <c r="B172" s="3260" t="s">
        <v>3194</v>
      </c>
      <c r="C172" s="3277"/>
      <c r="D172" s="3277"/>
      <c r="E172" s="3277"/>
      <c r="F172" s="3261">
        <v>0.05</v>
      </c>
      <c r="G172" s="3278"/>
    </row>
    <row r="173" spans="1:7">
      <c r="A173" s="3271" t="s">
        <v>29</v>
      </c>
      <c r="B173" s="3260" t="s">
        <v>3195</v>
      </c>
      <c r="C173" s="3277"/>
      <c r="D173" s="3277"/>
      <c r="E173" s="3277"/>
      <c r="F173" s="3261">
        <v>0.05</v>
      </c>
      <c r="G173" s="3273"/>
    </row>
    <row r="174" spans="1:7">
      <c r="A174" s="3271" t="s">
        <v>29</v>
      </c>
      <c r="B174" s="3260" t="s">
        <v>3196</v>
      </c>
      <c r="C174" s="3277"/>
      <c r="D174" s="3277"/>
      <c r="E174" s="3277"/>
      <c r="F174" s="3261">
        <v>0.05</v>
      </c>
      <c r="G174" s="3273"/>
    </row>
    <row r="175" spans="1:7">
      <c r="A175" s="3271" t="s">
        <v>29</v>
      </c>
      <c r="B175" s="3260" t="s">
        <v>3197</v>
      </c>
      <c r="C175" s="3277"/>
      <c r="D175" s="3277"/>
      <c r="E175" s="3277"/>
      <c r="F175" s="3261">
        <v>0.05</v>
      </c>
      <c r="G175" s="3273"/>
    </row>
    <row r="176" spans="1:7">
      <c r="A176" s="3271" t="s">
        <v>29</v>
      </c>
      <c r="B176" s="3260" t="s">
        <v>3198</v>
      </c>
      <c r="C176" s="3277"/>
      <c r="D176" s="3277"/>
      <c r="E176" s="3277"/>
      <c r="F176" s="3261">
        <v>0.05</v>
      </c>
      <c r="G176" s="3273"/>
    </row>
    <row r="177" spans="1:7">
      <c r="A177" s="3271" t="s">
        <v>29</v>
      </c>
      <c r="B177" s="3260" t="s">
        <v>3199</v>
      </c>
      <c r="C177" s="3272"/>
      <c r="D177" s="3272"/>
      <c r="E177" s="3272"/>
      <c r="F177" s="3261">
        <v>0.05</v>
      </c>
      <c r="G177" s="3278"/>
    </row>
    <row r="178" spans="1:7">
      <c r="A178" s="3271" t="s">
        <v>29</v>
      </c>
      <c r="B178" s="3260" t="s">
        <v>3200</v>
      </c>
      <c r="C178" s="3272"/>
      <c r="D178" s="3272"/>
      <c r="E178" s="3272"/>
      <c r="F178" s="3261">
        <v>0.05</v>
      </c>
      <c r="G178" s="3278"/>
    </row>
    <row r="179" spans="1:7">
      <c r="A179" s="3271" t="s">
        <v>29</v>
      </c>
      <c r="B179" s="3260" t="s">
        <v>3201</v>
      </c>
      <c r="C179" s="3272"/>
      <c r="D179" s="3272"/>
      <c r="E179" s="3272"/>
      <c r="F179" s="3261">
        <v>0.05</v>
      </c>
      <c r="G179" s="3278"/>
    </row>
    <row r="180" spans="1:7">
      <c r="A180" s="3271" t="s">
        <v>29</v>
      </c>
      <c r="B180" s="3260" t="s">
        <v>3202</v>
      </c>
      <c r="C180" s="3272"/>
      <c r="D180" s="3272"/>
      <c r="E180" s="3272"/>
      <c r="F180" s="3261">
        <v>0.05</v>
      </c>
      <c r="G180" s="3278"/>
    </row>
    <row r="181" spans="1:7">
      <c r="A181" s="3271" t="s">
        <v>29</v>
      </c>
      <c r="B181" s="3260" t="s">
        <v>3203</v>
      </c>
      <c r="C181" s="3272"/>
      <c r="D181" s="3272"/>
      <c r="E181" s="3272"/>
      <c r="F181" s="3261">
        <v>0.05</v>
      </c>
      <c r="G181" s="3278"/>
    </row>
    <row r="182" spans="1:7">
      <c r="A182" s="3271" t="s">
        <v>29</v>
      </c>
      <c r="B182" s="3260" t="s">
        <v>3204</v>
      </c>
      <c r="C182" s="3272"/>
      <c r="D182" s="3272"/>
      <c r="E182" s="3272"/>
      <c r="F182" s="3261">
        <v>0.05</v>
      </c>
      <c r="G182" s="3278"/>
    </row>
    <row r="183" spans="1:7">
      <c r="A183" s="3271" t="s">
        <v>29</v>
      </c>
      <c r="B183" s="3260" t="s">
        <v>3205</v>
      </c>
      <c r="C183" s="3272"/>
      <c r="D183" s="3272"/>
      <c r="E183" s="3272"/>
      <c r="F183" s="3261">
        <v>0.05</v>
      </c>
      <c r="G183" s="3278"/>
    </row>
    <row r="184" spans="1:7">
      <c r="A184" s="3271" t="s">
        <v>29</v>
      </c>
      <c r="B184" s="3260" t="s">
        <v>3206</v>
      </c>
      <c r="C184" s="3272"/>
      <c r="D184" s="3272"/>
      <c r="E184" s="3272"/>
      <c r="F184" s="3261">
        <v>0.05</v>
      </c>
      <c r="G184" s="3278"/>
    </row>
    <row r="185" spans="1:7">
      <c r="A185" s="3271" t="s">
        <v>29</v>
      </c>
      <c r="B185" s="3260" t="s">
        <v>3207</v>
      </c>
      <c r="C185" s="3272"/>
      <c r="D185" s="3272"/>
      <c r="E185" s="3272"/>
      <c r="F185" s="3261">
        <v>0.05</v>
      </c>
      <c r="G185" s="3278"/>
    </row>
    <row r="186" spans="1:7">
      <c r="A186" s="3271" t="s">
        <v>29</v>
      </c>
      <c r="B186" s="3260" t="s">
        <v>3208</v>
      </c>
      <c r="C186" s="3272"/>
      <c r="D186" s="3272"/>
      <c r="E186" s="3272"/>
      <c r="F186" s="3261">
        <v>0.05</v>
      </c>
      <c r="G186" s="3278"/>
    </row>
    <row r="187" spans="1:7">
      <c r="A187" s="3271" t="s">
        <v>29</v>
      </c>
      <c r="B187" s="3260" t="s">
        <v>3209</v>
      </c>
      <c r="C187" s="3272"/>
      <c r="D187" s="3272"/>
      <c r="E187" s="3272"/>
      <c r="F187" s="3261">
        <v>0.05</v>
      </c>
      <c r="G187" s="3278"/>
    </row>
    <row r="188" spans="1:7">
      <c r="A188" s="3271" t="s">
        <v>29</v>
      </c>
      <c r="B188" s="3260" t="s">
        <v>3210</v>
      </c>
      <c r="C188" s="3272"/>
      <c r="D188" s="3272"/>
      <c r="E188" s="3272"/>
      <c r="F188" s="3261">
        <v>0.05</v>
      </c>
      <c r="G188" s="3278"/>
    </row>
    <row r="189" spans="1:7" ht="15" thickBot="1">
      <c r="A189" s="3274" t="s">
        <v>29</v>
      </c>
      <c r="B189" s="3264" t="s">
        <v>3211</v>
      </c>
      <c r="C189" s="3266"/>
      <c r="D189" s="3266"/>
      <c r="E189" s="3266"/>
      <c r="F189" s="3265">
        <v>0.05</v>
      </c>
      <c r="G189" s="3279"/>
    </row>
    <row r="190" spans="1:7">
      <c r="A190" s="3270" t="s">
        <v>304</v>
      </c>
      <c r="B190" s="3256" t="s">
        <v>2867</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2903</v>
      </c>
      <c r="C199" s="3261">
        <v>0.13</v>
      </c>
      <c r="D199" s="3261">
        <v>0.13</v>
      </c>
      <c r="E199" s="3261">
        <v>0.13</v>
      </c>
      <c r="F199" s="3261">
        <v>0.13</v>
      </c>
      <c r="G199" s="3262">
        <v>0.13</v>
      </c>
    </row>
    <row r="200" spans="1:7">
      <c r="A200" s="3271" t="s">
        <v>304</v>
      </c>
      <c r="B200" s="3260" t="s">
        <v>2906</v>
      </c>
      <c r="C200" s="3277"/>
      <c r="D200" s="3277"/>
      <c r="E200" s="3277"/>
      <c r="F200" s="3261">
        <v>0.13</v>
      </c>
      <c r="G200" s="3273"/>
    </row>
    <row r="201" spans="1:7">
      <c r="A201" s="3271" t="s">
        <v>304</v>
      </c>
      <c r="B201" s="3260" t="s">
        <v>2911</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2914</v>
      </c>
      <c r="C203" s="3261">
        <v>0.129</v>
      </c>
      <c r="D203" s="3261">
        <v>0.129</v>
      </c>
      <c r="E203" s="3261">
        <v>0.13</v>
      </c>
      <c r="F203" s="3261">
        <v>0.13</v>
      </c>
      <c r="G203" s="3262">
        <v>0.13</v>
      </c>
    </row>
    <row r="204" spans="1:7">
      <c r="A204" s="3271" t="s">
        <v>304</v>
      </c>
      <c r="B204" s="3260" t="s">
        <v>2917</v>
      </c>
      <c r="C204" s="3261">
        <v>0.129</v>
      </c>
      <c r="D204" s="3261">
        <v>0.129</v>
      </c>
      <c r="E204" s="3261">
        <v>0.123</v>
      </c>
      <c r="F204" s="3261">
        <v>0.13</v>
      </c>
      <c r="G204" s="3262">
        <v>0.13</v>
      </c>
    </row>
    <row r="205" spans="1:7">
      <c r="A205" s="3271" t="s">
        <v>304</v>
      </c>
      <c r="B205" s="3260" t="s">
        <v>2919</v>
      </c>
      <c r="C205" s="3261">
        <v>0.13</v>
      </c>
      <c r="D205" s="3261">
        <v>0.13</v>
      </c>
      <c r="E205" s="3261">
        <v>0.13</v>
      </c>
      <c r="F205" s="3261">
        <v>0.13</v>
      </c>
      <c r="G205" s="3262">
        <v>0.13</v>
      </c>
    </row>
    <row r="206" spans="1:7">
      <c r="A206" s="3271" t="s">
        <v>304</v>
      </c>
      <c r="B206" s="3260" t="s">
        <v>2922</v>
      </c>
      <c r="C206" s="3261">
        <v>0.13</v>
      </c>
      <c r="D206" s="3261">
        <v>0.13</v>
      </c>
      <c r="E206" s="3261">
        <v>0.13</v>
      </c>
      <c r="F206" s="3261">
        <v>0.128</v>
      </c>
      <c r="G206" s="3262">
        <v>0.13</v>
      </c>
    </row>
    <row r="207" spans="1:7">
      <c r="A207" s="3271" t="s">
        <v>304</v>
      </c>
      <c r="B207" s="3260" t="s">
        <v>2924</v>
      </c>
      <c r="C207" s="3261">
        <v>0.13</v>
      </c>
      <c r="D207" s="3261">
        <v>0.13</v>
      </c>
      <c r="E207" s="3261">
        <v>0.13</v>
      </c>
      <c r="F207" s="3261">
        <v>0.13</v>
      </c>
      <c r="G207" s="3262">
        <v>0.13</v>
      </c>
    </row>
    <row r="208" spans="1:7">
      <c r="A208" s="3271" t="s">
        <v>304</v>
      </c>
      <c r="B208" s="3260" t="s">
        <v>2927</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2934</v>
      </c>
      <c r="C210" s="3261">
        <v>0.121</v>
      </c>
      <c r="D210" s="3261">
        <v>0.121</v>
      </c>
      <c r="E210" s="3261">
        <v>0.125</v>
      </c>
      <c r="F210" s="3261">
        <v>0.13</v>
      </c>
      <c r="G210" s="3262">
        <v>0.123</v>
      </c>
    </row>
    <row r="211" spans="1:7">
      <c r="A211" s="3271" t="s">
        <v>304</v>
      </c>
      <c r="B211" s="3260" t="s">
        <v>2937</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2949</v>
      </c>
      <c r="C214" s="3261">
        <v>0.128</v>
      </c>
      <c r="D214" s="3261">
        <v>0.128</v>
      </c>
      <c r="E214" s="3261">
        <v>0.13</v>
      </c>
      <c r="F214" s="3261">
        <v>0.13</v>
      </c>
      <c r="G214" s="3262">
        <v>0.13</v>
      </c>
    </row>
    <row r="215" spans="1:7">
      <c r="A215" s="3271" t="s">
        <v>304</v>
      </c>
      <c r="B215" s="3260" t="s">
        <v>2953</v>
      </c>
      <c r="C215" s="3261">
        <v>0.13</v>
      </c>
      <c r="D215" s="3261">
        <v>0.13</v>
      </c>
      <c r="E215" s="3261">
        <v>0.13</v>
      </c>
      <c r="F215" s="3261">
        <v>0.129</v>
      </c>
      <c r="G215" s="3262">
        <v>0.13</v>
      </c>
    </row>
    <row r="216" spans="1:7">
      <c r="A216" s="3271" t="s">
        <v>304</v>
      </c>
      <c r="B216" s="3260" t="s">
        <v>2960</v>
      </c>
      <c r="C216" s="3261">
        <v>0.13</v>
      </c>
      <c r="D216" s="3261">
        <v>0.13</v>
      </c>
      <c r="E216" s="3261">
        <v>0.13</v>
      </c>
      <c r="F216" s="3261">
        <v>0.13</v>
      </c>
      <c r="G216" s="3262">
        <v>0.13</v>
      </c>
    </row>
    <row r="217" spans="1:7">
      <c r="A217" s="3271" t="s">
        <v>304</v>
      </c>
      <c r="B217" s="3260" t="s">
        <v>2967</v>
      </c>
      <c r="C217" s="3261">
        <v>0.129</v>
      </c>
      <c r="D217" s="3261">
        <v>0.129</v>
      </c>
      <c r="E217" s="3261">
        <v>0.13</v>
      </c>
      <c r="F217" s="3261">
        <v>0.13</v>
      </c>
      <c r="G217" s="3262">
        <v>0.13</v>
      </c>
    </row>
    <row r="218" spans="1:7">
      <c r="A218" s="3271" t="s">
        <v>304</v>
      </c>
      <c r="B218" s="3260" t="s">
        <v>2973</v>
      </c>
      <c r="C218" s="3272"/>
      <c r="D218" s="3272"/>
      <c r="E218" s="3272"/>
      <c r="F218" s="3261">
        <v>0.05</v>
      </c>
      <c r="G218" s="3278"/>
    </row>
    <row r="219" spans="1:7">
      <c r="A219" s="3271" t="s">
        <v>304</v>
      </c>
      <c r="B219" s="3260" t="s">
        <v>2980</v>
      </c>
      <c r="C219" s="3272"/>
      <c r="D219" s="3272"/>
      <c r="E219" s="3272"/>
      <c r="F219" s="3261">
        <v>0.05</v>
      </c>
      <c r="G219" s="3278"/>
    </row>
    <row r="220" spans="1:7">
      <c r="A220" s="3271" t="s">
        <v>304</v>
      </c>
      <c r="B220" s="3260" t="s">
        <v>2986</v>
      </c>
      <c r="C220" s="3272"/>
      <c r="D220" s="3272"/>
      <c r="E220" s="3272"/>
      <c r="F220" s="3261">
        <v>0.05</v>
      </c>
      <c r="G220" s="3278"/>
    </row>
    <row r="221" spans="1:7">
      <c r="A221" s="3271" t="s">
        <v>304</v>
      </c>
      <c r="B221" s="3260" t="s">
        <v>2991</v>
      </c>
      <c r="C221" s="3272"/>
      <c r="D221" s="3272"/>
      <c r="E221" s="3272"/>
      <c r="F221" s="3261">
        <v>0.05</v>
      </c>
      <c r="G221" s="3278"/>
    </row>
    <row r="222" spans="1:7">
      <c r="A222" s="3271" t="s">
        <v>304</v>
      </c>
      <c r="B222" s="3260" t="s">
        <v>2995</v>
      </c>
      <c r="C222" s="3272"/>
      <c r="D222" s="3272"/>
      <c r="E222" s="3272"/>
      <c r="F222" s="3261">
        <v>0.05</v>
      </c>
      <c r="G222" s="3278"/>
    </row>
    <row r="223" spans="1:7">
      <c r="A223" s="3271" t="s">
        <v>304</v>
      </c>
      <c r="B223" s="3260" t="s">
        <v>3000</v>
      </c>
      <c r="C223" s="3272"/>
      <c r="D223" s="3272"/>
      <c r="E223" s="3272"/>
      <c r="F223" s="3261">
        <v>0.05</v>
      </c>
      <c r="G223" s="3278"/>
    </row>
    <row r="224" spans="1:7">
      <c r="A224" s="3271" t="s">
        <v>304</v>
      </c>
      <c r="B224" s="3260" t="s">
        <v>3005</v>
      </c>
      <c r="C224" s="3272"/>
      <c r="D224" s="3272"/>
      <c r="E224" s="3272"/>
      <c r="F224" s="3261">
        <v>0.05</v>
      </c>
      <c r="G224" s="3278"/>
    </row>
    <row r="225" spans="1:7">
      <c r="A225" s="3271" t="s">
        <v>304</v>
      </c>
      <c r="B225" s="3260" t="s">
        <v>3010</v>
      </c>
      <c r="C225" s="3272"/>
      <c r="D225" s="3272"/>
      <c r="E225" s="3272"/>
      <c r="F225" s="3261">
        <v>0.05</v>
      </c>
      <c r="G225" s="3278"/>
    </row>
    <row r="226" spans="1:7">
      <c r="A226" s="3271" t="s">
        <v>304</v>
      </c>
      <c r="B226" s="3260" t="s">
        <v>3212</v>
      </c>
      <c r="C226" s="3272"/>
      <c r="D226" s="3272"/>
      <c r="E226" s="3272"/>
      <c r="F226" s="3261">
        <v>0.05</v>
      </c>
      <c r="G226" s="3278"/>
    </row>
    <row r="227" spans="1:7">
      <c r="A227" s="3271" t="s">
        <v>304</v>
      </c>
      <c r="B227" s="3260" t="s">
        <v>3213</v>
      </c>
      <c r="C227" s="3272"/>
      <c r="D227" s="3272"/>
      <c r="E227" s="3272"/>
      <c r="F227" s="3261">
        <v>0.05</v>
      </c>
      <c r="G227" s="3278"/>
    </row>
    <row r="228" spans="1:7">
      <c r="A228" s="3271" t="s">
        <v>304</v>
      </c>
      <c r="B228" s="3260" t="s">
        <v>3214</v>
      </c>
      <c r="C228" s="3272"/>
      <c r="D228" s="3272"/>
      <c r="E228" s="3272"/>
      <c r="F228" s="3261">
        <v>0.05</v>
      </c>
      <c r="G228" s="3278"/>
    </row>
    <row r="229" spans="1:7">
      <c r="A229" s="3271" t="s">
        <v>304</v>
      </c>
      <c r="B229" s="3260" t="s">
        <v>3215</v>
      </c>
      <c r="C229" s="3272"/>
      <c r="D229" s="3272"/>
      <c r="E229" s="3272"/>
      <c r="F229" s="3261">
        <v>0.05</v>
      </c>
      <c r="G229" s="3278"/>
    </row>
    <row r="230" spans="1:7">
      <c r="A230" s="3271" t="s">
        <v>304</v>
      </c>
      <c r="B230" s="3260" t="s">
        <v>3216</v>
      </c>
      <c r="C230" s="3272"/>
      <c r="D230" s="3272"/>
      <c r="E230" s="3272"/>
      <c r="F230" s="3261">
        <v>0.05</v>
      </c>
      <c r="G230" s="3278"/>
    </row>
    <row r="231" spans="1:7">
      <c r="A231" s="3271" t="s">
        <v>304</v>
      </c>
      <c r="B231" s="3260" t="s">
        <v>3217</v>
      </c>
      <c r="C231" s="3272"/>
      <c r="D231" s="3272"/>
      <c r="E231" s="3272"/>
      <c r="F231" s="3261">
        <v>0.05</v>
      </c>
      <c r="G231" s="3278"/>
    </row>
    <row r="232" spans="1:7">
      <c r="A232" s="3271" t="s">
        <v>304</v>
      </c>
      <c r="B232" s="3260" t="s">
        <v>3218</v>
      </c>
      <c r="C232" s="3272"/>
      <c r="D232" s="3272"/>
      <c r="E232" s="3272"/>
      <c r="F232" s="3261">
        <v>0.05</v>
      </c>
      <c r="G232" s="3278"/>
    </row>
    <row r="233" spans="1:7" ht="15" thickBot="1">
      <c r="A233" s="3274" t="s">
        <v>304</v>
      </c>
      <c r="B233" s="3264" t="s">
        <v>3219</v>
      </c>
      <c r="C233" s="3266"/>
      <c r="D233" s="3266"/>
      <c r="E233" s="3266"/>
      <c r="F233" s="3265">
        <v>0.05</v>
      </c>
      <c r="G233" s="3279"/>
    </row>
    <row r="234" spans="1:7">
      <c r="A234" s="3270" t="s">
        <v>305</v>
      </c>
      <c r="B234" s="3256" t="s">
        <v>2868</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2888</v>
      </c>
      <c r="C238" s="3261">
        <v>0.14899999999999999</v>
      </c>
      <c r="D238" s="3261">
        <v>0.14899999999999999</v>
      </c>
      <c r="E238" s="3261">
        <v>0.15</v>
      </c>
      <c r="F238" s="3261">
        <v>0.15</v>
      </c>
      <c r="G238" s="3262">
        <v>0.15</v>
      </c>
    </row>
    <row r="239" spans="1:7">
      <c r="A239" s="3271" t="s">
        <v>305</v>
      </c>
      <c r="B239" s="3260" t="s">
        <v>2892</v>
      </c>
      <c r="C239" s="3261">
        <v>0.15</v>
      </c>
      <c r="D239" s="3261">
        <v>0.15</v>
      </c>
      <c r="E239" s="3261">
        <v>0.15</v>
      </c>
      <c r="F239" s="3261">
        <v>0.15</v>
      </c>
      <c r="G239" s="3262">
        <v>0.15</v>
      </c>
    </row>
    <row r="240" spans="1:7">
      <c r="A240" s="3271" t="s">
        <v>305</v>
      </c>
      <c r="B240" s="3260" t="s">
        <v>2897</v>
      </c>
      <c r="C240" s="3261">
        <v>0.15</v>
      </c>
      <c r="D240" s="3261">
        <v>0.15</v>
      </c>
      <c r="E240" s="3261">
        <v>0.15</v>
      </c>
      <c r="F240" s="3261">
        <v>0.15</v>
      </c>
      <c r="G240" s="3262">
        <v>0.15</v>
      </c>
    </row>
    <row r="241" spans="1:7">
      <c r="A241" s="3271" t="s">
        <v>305</v>
      </c>
      <c r="B241" s="3260" t="s">
        <v>2901</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2907</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2915</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2920</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2928</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2941</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2950</v>
      </c>
      <c r="C258" s="3261">
        <v>0.14299999999999999</v>
      </c>
      <c r="D258" s="3261">
        <v>0.14299999999999999</v>
      </c>
      <c r="E258" s="3261">
        <v>0.15</v>
      </c>
      <c r="F258" s="3261">
        <v>0.14799999999999999</v>
      </c>
      <c r="G258" s="3262">
        <v>0.14599999999999999</v>
      </c>
    </row>
    <row r="259" spans="1:7">
      <c r="A259" s="3271" t="s">
        <v>305</v>
      </c>
      <c r="B259" s="3260" t="s">
        <v>2954</v>
      </c>
      <c r="C259" s="3261">
        <v>0.14399999999999999</v>
      </c>
      <c r="D259" s="3261">
        <v>0.14399999999999999</v>
      </c>
      <c r="E259" s="3261">
        <v>0.14899999999999999</v>
      </c>
      <c r="F259" s="3261">
        <v>0.14699999999999999</v>
      </c>
      <c r="G259" s="3262">
        <v>0.14599999999999999</v>
      </c>
    </row>
    <row r="260" spans="1:7">
      <c r="A260" s="3271" t="s">
        <v>305</v>
      </c>
      <c r="B260" s="3260" t="s">
        <v>2961</v>
      </c>
      <c r="C260" s="3261">
        <v>0.109</v>
      </c>
      <c r="D260" s="3261">
        <v>0.111</v>
      </c>
      <c r="E260" s="3261">
        <v>0.13100000000000001</v>
      </c>
      <c r="F260" s="3261">
        <v>0.126</v>
      </c>
      <c r="G260" s="3262">
        <v>0.11899999999999999</v>
      </c>
    </row>
    <row r="261" spans="1:7">
      <c r="A261" s="3271" t="s">
        <v>305</v>
      </c>
      <c r="B261" s="3260" t="s">
        <v>2968</v>
      </c>
      <c r="C261" s="3261">
        <v>0.1</v>
      </c>
      <c r="D261" s="3261">
        <v>0.1</v>
      </c>
      <c r="E261" s="3261">
        <v>0.11799999999999999</v>
      </c>
      <c r="F261" s="3261">
        <v>0.108</v>
      </c>
      <c r="G261" s="3262">
        <v>0.107</v>
      </c>
    </row>
    <row r="262" spans="1:7">
      <c r="A262" s="3271" t="s">
        <v>305</v>
      </c>
      <c r="B262" s="3260" t="s">
        <v>2974</v>
      </c>
      <c r="C262" s="3261">
        <v>0.1</v>
      </c>
      <c r="D262" s="3261">
        <v>0.1</v>
      </c>
      <c r="E262" s="3261">
        <v>0.1</v>
      </c>
      <c r="F262" s="3261">
        <v>0.14099999999999999</v>
      </c>
      <c r="G262" s="3262">
        <v>0.1</v>
      </c>
    </row>
    <row r="263" spans="1:7">
      <c r="A263" s="3271" t="s">
        <v>305</v>
      </c>
      <c r="B263" s="3260" t="s">
        <v>2981</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2992</v>
      </c>
      <c r="C265" s="3272"/>
      <c r="D265" s="3272"/>
      <c r="E265" s="3272"/>
      <c r="F265" s="3261">
        <v>0.05</v>
      </c>
      <c r="G265" s="3278"/>
    </row>
    <row r="266" spans="1:7">
      <c r="A266" s="3271" t="s">
        <v>305</v>
      </c>
      <c r="B266" s="3260" t="s">
        <v>2996</v>
      </c>
      <c r="C266" s="3272"/>
      <c r="D266" s="3272"/>
      <c r="E266" s="3272"/>
      <c r="F266" s="3261">
        <v>0.05</v>
      </c>
      <c r="G266" s="3278"/>
    </row>
    <row r="267" spans="1:7">
      <c r="A267" s="3271" t="s">
        <v>305</v>
      </c>
      <c r="B267" s="3260" t="s">
        <v>3001</v>
      </c>
      <c r="C267" s="3272"/>
      <c r="D267" s="3272"/>
      <c r="E267" s="3272"/>
      <c r="F267" s="3261">
        <v>0.05</v>
      </c>
      <c r="G267" s="3278"/>
    </row>
    <row r="268" spans="1:7">
      <c r="A268" s="3271" t="s">
        <v>305</v>
      </c>
      <c r="B268" s="3260" t="s">
        <v>3006</v>
      </c>
      <c r="C268" s="3272"/>
      <c r="D268" s="3272"/>
      <c r="E268" s="3272"/>
      <c r="F268" s="3261">
        <v>0.05</v>
      </c>
      <c r="G268" s="3278"/>
    </row>
    <row r="269" spans="1:7">
      <c r="A269" s="3271" t="s">
        <v>305</v>
      </c>
      <c r="B269" s="3260" t="s">
        <v>3011</v>
      </c>
      <c r="C269" s="3272"/>
      <c r="D269" s="3272"/>
      <c r="E269" s="3272"/>
      <c r="F269" s="3261">
        <v>0.05</v>
      </c>
      <c r="G269" s="3278"/>
    </row>
    <row r="270" spans="1:7">
      <c r="A270" s="3271" t="s">
        <v>305</v>
      </c>
      <c r="B270" s="3260" t="s">
        <v>3016</v>
      </c>
      <c r="C270" s="3272"/>
      <c r="D270" s="3272"/>
      <c r="E270" s="3272"/>
      <c r="F270" s="3261">
        <v>0.05</v>
      </c>
      <c r="G270" s="3278"/>
    </row>
    <row r="271" spans="1:7">
      <c r="A271" s="3271" t="s">
        <v>305</v>
      </c>
      <c r="B271" s="3260" t="s">
        <v>3220</v>
      </c>
      <c r="C271" s="3272"/>
      <c r="D271" s="3272"/>
      <c r="E271" s="3272"/>
      <c r="F271" s="3261">
        <v>0.05</v>
      </c>
      <c r="G271" s="3278"/>
    </row>
    <row r="272" spans="1:7">
      <c r="A272" s="3271" t="s">
        <v>305</v>
      </c>
      <c r="B272" s="3260" t="s">
        <v>3221</v>
      </c>
      <c r="C272" s="3272"/>
      <c r="D272" s="3272"/>
      <c r="E272" s="3272"/>
      <c r="F272" s="3261">
        <v>0.05</v>
      </c>
      <c r="G272" s="3278"/>
    </row>
    <row r="273" spans="1:7">
      <c r="A273" s="3271" t="s">
        <v>305</v>
      </c>
      <c r="B273" s="3260" t="s">
        <v>3222</v>
      </c>
      <c r="C273" s="3272"/>
      <c r="D273" s="3272"/>
      <c r="E273" s="3272"/>
      <c r="F273" s="3261">
        <v>0.05</v>
      </c>
      <c r="G273" s="3278"/>
    </row>
    <row r="274" spans="1:7">
      <c r="A274" s="3271" t="s">
        <v>305</v>
      </c>
      <c r="B274" s="3260" t="s">
        <v>3223</v>
      </c>
      <c r="C274" s="3272"/>
      <c r="D274" s="3272"/>
      <c r="E274" s="3272"/>
      <c r="F274" s="3261">
        <v>0.05</v>
      </c>
      <c r="G274" s="3278"/>
    </row>
    <row r="275" spans="1:7">
      <c r="A275" s="3271" t="s">
        <v>305</v>
      </c>
      <c r="B275" s="3260" t="s">
        <v>3224</v>
      </c>
      <c r="C275" s="3272"/>
      <c r="D275" s="3272"/>
      <c r="E275" s="3272"/>
      <c r="F275" s="3261">
        <v>0.05</v>
      </c>
      <c r="G275" s="3278"/>
    </row>
    <row r="276" spans="1:7" ht="15" thickBot="1">
      <c r="A276" s="3274" t="s">
        <v>305</v>
      </c>
      <c r="B276" s="3264" t="s">
        <v>3225</v>
      </c>
      <c r="C276" s="3266"/>
      <c r="D276" s="3266"/>
      <c r="E276" s="3266"/>
      <c r="F276" s="3265">
        <v>0.05</v>
      </c>
      <c r="G276" s="3279"/>
    </row>
    <row r="277" spans="1:7">
      <c r="A277" s="3270" t="s">
        <v>306</v>
      </c>
      <c r="B277" s="3256" t="s">
        <v>2869</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2881</v>
      </c>
      <c r="C279" s="3261">
        <v>0.15</v>
      </c>
      <c r="D279" s="3261">
        <v>0.15</v>
      </c>
      <c r="E279" s="3261">
        <v>0.15</v>
      </c>
      <c r="F279" s="3261">
        <v>0.15</v>
      </c>
      <c r="G279" s="3262">
        <v>0.15</v>
      </c>
    </row>
    <row r="280" spans="1:7">
      <c r="A280" s="3271" t="s">
        <v>306</v>
      </c>
      <c r="B280" s="3260" t="s">
        <v>2885</v>
      </c>
      <c r="C280" s="3261">
        <v>0.15</v>
      </c>
      <c r="D280" s="3261">
        <v>0.15</v>
      </c>
      <c r="E280" s="3261">
        <v>0.15</v>
      </c>
      <c r="F280" s="3261">
        <v>0.15</v>
      </c>
      <c r="G280" s="3262">
        <v>0.15</v>
      </c>
    </row>
    <row r="281" spans="1:7">
      <c r="A281" s="3271" t="s">
        <v>306</v>
      </c>
      <c r="B281" s="3260" t="s">
        <v>2889</v>
      </c>
      <c r="C281" s="3261">
        <v>0.15</v>
      </c>
      <c r="D281" s="3261">
        <v>0.15</v>
      </c>
      <c r="E281" s="3261">
        <v>0.15</v>
      </c>
      <c r="F281" s="3261">
        <v>0.15</v>
      </c>
      <c r="G281" s="3262">
        <v>0.15</v>
      </c>
    </row>
    <row r="282" spans="1:7">
      <c r="A282" s="3271" t="s">
        <v>306</v>
      </c>
      <c r="B282" s="3260" t="s">
        <v>2893</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2908</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2913</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2923</v>
      </c>
      <c r="C293" s="3261">
        <v>0.15</v>
      </c>
      <c r="D293" s="3261">
        <v>0.15</v>
      </c>
      <c r="E293" s="3261">
        <v>0.15</v>
      </c>
      <c r="F293" s="3261">
        <v>0.14499999999999999</v>
      </c>
      <c r="G293" s="3262">
        <v>0.15</v>
      </c>
    </row>
    <row r="294" spans="1:7">
      <c r="A294" s="3271" t="s">
        <v>306</v>
      </c>
      <c r="B294" s="3260" t="s">
        <v>2925</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2942</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2955</v>
      </c>
      <c r="C302" s="3261">
        <v>0.15</v>
      </c>
      <c r="D302" s="3261">
        <v>0.15</v>
      </c>
      <c r="E302" s="3261">
        <v>0.15</v>
      </c>
      <c r="F302" s="3261">
        <v>0.14699999999999999</v>
      </c>
      <c r="G302" s="3262">
        <v>0.15</v>
      </c>
    </row>
    <row r="303" spans="1:7">
      <c r="A303" s="3271" t="s">
        <v>306</v>
      </c>
      <c r="B303" s="3260" t="s">
        <v>2962</v>
      </c>
      <c r="C303" s="3261">
        <v>0.15</v>
      </c>
      <c r="D303" s="3261">
        <v>0.15</v>
      </c>
      <c r="E303" s="3261">
        <v>0.15</v>
      </c>
      <c r="F303" s="3261">
        <v>0.14199999999999999</v>
      </c>
      <c r="G303" s="3262">
        <v>0.15</v>
      </c>
    </row>
    <row r="304" spans="1:7">
      <c r="A304" s="3271" t="s">
        <v>306</v>
      </c>
      <c r="B304" s="3260" t="s">
        <v>2969</v>
      </c>
      <c r="C304" s="3261">
        <v>0.15</v>
      </c>
      <c r="D304" s="3261">
        <v>0.15</v>
      </c>
      <c r="E304" s="3261">
        <v>0.15</v>
      </c>
      <c r="F304" s="3261">
        <v>0.14499999999999999</v>
      </c>
      <c r="G304" s="3262">
        <v>0.15</v>
      </c>
    </row>
    <row r="305" spans="1:7">
      <c r="A305" s="3271" t="s">
        <v>306</v>
      </c>
      <c r="B305" s="3260" t="s">
        <v>2975</v>
      </c>
      <c r="C305" s="3261">
        <v>0.15</v>
      </c>
      <c r="D305" s="3261">
        <v>0.15</v>
      </c>
      <c r="E305" s="3261">
        <v>0.15</v>
      </c>
      <c r="F305" s="3261">
        <v>0.111</v>
      </c>
      <c r="G305" s="3262">
        <v>0.15</v>
      </c>
    </row>
    <row r="306" spans="1:7">
      <c r="A306" s="3271" t="s">
        <v>306</v>
      </c>
      <c r="B306" s="3260" t="s">
        <v>2982</v>
      </c>
      <c r="C306" s="3261">
        <v>0.15</v>
      </c>
      <c r="D306" s="3261">
        <v>0.15</v>
      </c>
      <c r="E306" s="3261">
        <v>0.15</v>
      </c>
      <c r="F306" s="3261">
        <v>0.126</v>
      </c>
      <c r="G306" s="3262">
        <v>0.15</v>
      </c>
    </row>
    <row r="307" spans="1:7">
      <c r="A307" s="3271" t="s">
        <v>306</v>
      </c>
      <c r="B307" s="3260" t="s">
        <v>2987</v>
      </c>
      <c r="C307" s="3261">
        <v>0.15</v>
      </c>
      <c r="D307" s="3261">
        <v>0.15</v>
      </c>
      <c r="E307" s="3261">
        <v>0.15</v>
      </c>
      <c r="F307" s="3261">
        <v>0.12</v>
      </c>
      <c r="G307" s="3262">
        <v>0.15</v>
      </c>
    </row>
    <row r="308" spans="1:7">
      <c r="A308" s="3271" t="s">
        <v>306</v>
      </c>
      <c r="B308" s="3260" t="s">
        <v>2993</v>
      </c>
      <c r="C308" s="3261">
        <v>0.15</v>
      </c>
      <c r="D308" s="3261">
        <v>0.15</v>
      </c>
      <c r="E308" s="3261">
        <v>0.15</v>
      </c>
      <c r="F308" s="3261">
        <v>0.13</v>
      </c>
      <c r="G308" s="3262">
        <v>0.15</v>
      </c>
    </row>
    <row r="309" spans="1:7">
      <c r="A309" s="3271" t="s">
        <v>306</v>
      </c>
      <c r="B309" s="3260" t="s">
        <v>2997</v>
      </c>
      <c r="C309" s="3261">
        <v>0.15</v>
      </c>
      <c r="D309" s="3261">
        <v>0.15</v>
      </c>
      <c r="E309" s="3261">
        <v>0.15</v>
      </c>
      <c r="F309" s="3261">
        <v>0.14099999999999999</v>
      </c>
      <c r="G309" s="3262">
        <v>0.15</v>
      </c>
    </row>
    <row r="310" spans="1:7">
      <c r="A310" s="3271" t="s">
        <v>306</v>
      </c>
      <c r="B310" s="3260" t="s">
        <v>3002</v>
      </c>
      <c r="C310" s="3261">
        <v>0.15</v>
      </c>
      <c r="D310" s="3261">
        <v>0.15</v>
      </c>
      <c r="E310" s="3261">
        <v>0.15</v>
      </c>
      <c r="F310" s="3261">
        <v>0.15</v>
      </c>
      <c r="G310" s="3262">
        <v>0.15</v>
      </c>
    </row>
    <row r="311" spans="1:7">
      <c r="A311" s="3271" t="s">
        <v>306</v>
      </c>
      <c r="B311" s="3260" t="s">
        <v>3007</v>
      </c>
      <c r="C311" s="3261">
        <v>0.13200000000000001</v>
      </c>
      <c r="D311" s="3261">
        <v>0.13300000000000001</v>
      </c>
      <c r="E311" s="3261">
        <v>0.14499999999999999</v>
      </c>
      <c r="F311" s="3261">
        <v>0.14199999999999999</v>
      </c>
      <c r="G311" s="3262">
        <v>0.14000000000000001</v>
      </c>
    </row>
    <row r="312" spans="1:7">
      <c r="A312" s="3271" t="s">
        <v>306</v>
      </c>
      <c r="B312" s="3260" t="s">
        <v>3012</v>
      </c>
      <c r="C312" s="3261">
        <v>0.13800000000000001</v>
      </c>
      <c r="D312" s="3261">
        <v>0.14000000000000001</v>
      </c>
      <c r="E312" s="3261">
        <v>0.14599999999999999</v>
      </c>
      <c r="F312" s="3261">
        <v>0.14899999999999999</v>
      </c>
      <c r="G312" s="3262">
        <v>0.14199999999999999</v>
      </c>
    </row>
    <row r="313" spans="1:7">
      <c r="A313" s="3271" t="s">
        <v>306</v>
      </c>
      <c r="B313" s="3260" t="s">
        <v>3017</v>
      </c>
      <c r="C313" s="3261">
        <v>0.125</v>
      </c>
      <c r="D313" s="3261">
        <v>0.127</v>
      </c>
      <c r="E313" s="3261">
        <v>0.14399999999999999</v>
      </c>
      <c r="F313" s="3261">
        <v>0.115</v>
      </c>
      <c r="G313" s="3262">
        <v>0.13600000000000001</v>
      </c>
    </row>
    <row r="314" spans="1:7">
      <c r="A314" s="3271" t="s">
        <v>306</v>
      </c>
      <c r="B314" s="3260" t="s">
        <v>3226</v>
      </c>
      <c r="C314" s="3277"/>
      <c r="D314" s="3277"/>
      <c r="E314" s="3277"/>
      <c r="F314" s="3261">
        <v>0.05</v>
      </c>
      <c r="G314" s="3278"/>
    </row>
    <row r="315" spans="1:7">
      <c r="A315" s="3271" t="s">
        <v>306</v>
      </c>
      <c r="B315" s="3260" t="s">
        <v>3227</v>
      </c>
      <c r="C315" s="3277"/>
      <c r="D315" s="3277"/>
      <c r="E315" s="3277"/>
      <c r="F315" s="3261">
        <v>0.05</v>
      </c>
      <c r="G315" s="3278"/>
    </row>
    <row r="316" spans="1:7">
      <c r="A316" s="3271" t="s">
        <v>306</v>
      </c>
      <c r="B316" s="3260" t="s">
        <v>3228</v>
      </c>
      <c r="C316" s="3272"/>
      <c r="D316" s="3272"/>
      <c r="E316" s="3272"/>
      <c r="F316" s="3261">
        <v>0.05</v>
      </c>
      <c r="G316" s="3278"/>
    </row>
    <row r="317" spans="1:7">
      <c r="A317" s="3271" t="s">
        <v>306</v>
      </c>
      <c r="B317" s="3260" t="s">
        <v>3229</v>
      </c>
      <c r="C317" s="3272"/>
      <c r="D317" s="3272"/>
      <c r="E317" s="3272"/>
      <c r="F317" s="3261">
        <v>0.05</v>
      </c>
      <c r="G317" s="3278"/>
    </row>
    <row r="318" spans="1:7">
      <c r="A318" s="3271" t="s">
        <v>306</v>
      </c>
      <c r="B318" s="3260" t="s">
        <v>3230</v>
      </c>
      <c r="C318" s="3272"/>
      <c r="D318" s="3272"/>
      <c r="E318" s="3272"/>
      <c r="F318" s="3261">
        <v>0.05</v>
      </c>
      <c r="G318" s="3278"/>
    </row>
    <row r="319" spans="1:7">
      <c r="A319" s="3271" t="s">
        <v>306</v>
      </c>
      <c r="B319" s="3260" t="s">
        <v>3231</v>
      </c>
      <c r="C319" s="3272"/>
      <c r="D319" s="3272"/>
      <c r="E319" s="3272"/>
      <c r="F319" s="3261">
        <v>0.05</v>
      </c>
      <c r="G319" s="3278"/>
    </row>
    <row r="320" spans="1:7">
      <c r="A320" s="3271" t="s">
        <v>306</v>
      </c>
      <c r="B320" s="3260" t="s">
        <v>3232</v>
      </c>
      <c r="C320" s="3272"/>
      <c r="D320" s="3272"/>
      <c r="E320" s="3272"/>
      <c r="F320" s="3261">
        <v>0.05</v>
      </c>
      <c r="G320" s="3278"/>
    </row>
    <row r="321" spans="1:7">
      <c r="A321" s="3271" t="s">
        <v>306</v>
      </c>
      <c r="B321" s="3260" t="s">
        <v>3233</v>
      </c>
      <c r="C321" s="3272"/>
      <c r="D321" s="3272"/>
      <c r="E321" s="3272"/>
      <c r="F321" s="3261">
        <v>0.05</v>
      </c>
      <c r="G321" s="3278"/>
    </row>
    <row r="322" spans="1:7">
      <c r="A322" s="3271" t="s">
        <v>306</v>
      </c>
      <c r="B322" s="3260" t="s">
        <v>3234</v>
      </c>
      <c r="C322" s="3272"/>
      <c r="D322" s="3272"/>
      <c r="E322" s="3272"/>
      <c r="F322" s="3261">
        <v>0.05</v>
      </c>
      <c r="G322" s="3278"/>
    </row>
    <row r="323" spans="1:7">
      <c r="A323" s="3271" t="s">
        <v>306</v>
      </c>
      <c r="B323" s="3260" t="s">
        <v>3235</v>
      </c>
      <c r="C323" s="3272"/>
      <c r="D323" s="3272"/>
      <c r="E323" s="3272"/>
      <c r="F323" s="3261">
        <v>0.05</v>
      </c>
      <c r="G323" s="3278"/>
    </row>
    <row r="324" spans="1:7">
      <c r="A324" s="3271" t="s">
        <v>306</v>
      </c>
      <c r="B324" s="3260" t="s">
        <v>3236</v>
      </c>
      <c r="C324" s="3272"/>
      <c r="D324" s="3272"/>
      <c r="E324" s="3272"/>
      <c r="F324" s="3261">
        <v>0.05</v>
      </c>
      <c r="G324" s="3278"/>
    </row>
    <row r="325" spans="1:7">
      <c r="A325" s="3271" t="s">
        <v>306</v>
      </c>
      <c r="B325" s="3260" t="s">
        <v>3237</v>
      </c>
      <c r="C325" s="3272"/>
      <c r="D325" s="3272"/>
      <c r="E325" s="3272"/>
      <c r="F325" s="3261">
        <v>0.05</v>
      </c>
      <c r="G325" s="3278"/>
    </row>
    <row r="326" spans="1:7" ht="15" thickBot="1">
      <c r="A326" s="3274" t="s">
        <v>306</v>
      </c>
      <c r="B326" s="3264" t="s">
        <v>3238</v>
      </c>
      <c r="C326" s="3266"/>
      <c r="D326" s="3266"/>
      <c r="E326" s="3266"/>
      <c r="F326" s="3265">
        <v>0.05</v>
      </c>
      <c r="G326" s="3279"/>
    </row>
    <row r="327" spans="1:7">
      <c r="A327" s="3270" t="s">
        <v>307</v>
      </c>
      <c r="B327" s="3256" t="s">
        <v>2870</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2882</v>
      </c>
      <c r="C329" s="3261">
        <v>0.15</v>
      </c>
      <c r="D329" s="3261">
        <v>0.15</v>
      </c>
      <c r="E329" s="3261">
        <v>0.15</v>
      </c>
      <c r="F329" s="3261">
        <v>0.15</v>
      </c>
      <c r="G329" s="3262">
        <v>0.15</v>
      </c>
    </row>
    <row r="330" spans="1:7">
      <c r="A330" s="3271" t="s">
        <v>307</v>
      </c>
      <c r="B330" s="3260" t="s">
        <v>2886</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2894</v>
      </c>
      <c r="C332" s="3261">
        <v>0.15</v>
      </c>
      <c r="D332" s="3261">
        <v>0.15</v>
      </c>
      <c r="E332" s="3261">
        <v>0.15</v>
      </c>
      <c r="F332" s="3261">
        <v>0.15</v>
      </c>
      <c r="G332" s="3262">
        <v>0.15</v>
      </c>
    </row>
    <row r="333" spans="1:7">
      <c r="A333" s="3271" t="s">
        <v>307</v>
      </c>
      <c r="B333" s="3260" t="s">
        <v>2898</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2904</v>
      </c>
      <c r="C336" s="3261">
        <v>0.15</v>
      </c>
      <c r="D336" s="3261">
        <v>0.15</v>
      </c>
      <c r="E336" s="3261">
        <v>0.15</v>
      </c>
      <c r="F336" s="3261">
        <v>0.14199999999999999</v>
      </c>
      <c r="G336" s="3262">
        <v>0.15</v>
      </c>
    </row>
    <row r="337" spans="1:7">
      <c r="A337" s="3271" t="s">
        <v>307</v>
      </c>
      <c r="B337" s="3260" t="s">
        <v>2909</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2916</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2921</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2929</v>
      </c>
      <c r="C345" s="3261">
        <v>0.15</v>
      </c>
      <c r="D345" s="3261">
        <v>0.15</v>
      </c>
      <c r="E345" s="3261">
        <v>0.15</v>
      </c>
      <c r="F345" s="3261">
        <v>0.13800000000000001</v>
      </c>
      <c r="G345" s="3262">
        <v>0.15</v>
      </c>
    </row>
    <row r="346" spans="1:7">
      <c r="A346" s="3271" t="s">
        <v>307</v>
      </c>
      <c r="B346" s="3260" t="s">
        <v>2931</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2938</v>
      </c>
      <c r="C348" s="3261">
        <v>0.15</v>
      </c>
      <c r="D348" s="3261">
        <v>0.15</v>
      </c>
      <c r="E348" s="3261">
        <v>0.15</v>
      </c>
      <c r="F348" s="3261">
        <v>0.14399999999999999</v>
      </c>
      <c r="G348" s="3262">
        <v>0.15</v>
      </c>
    </row>
    <row r="349" spans="1:7">
      <c r="A349" s="3271" t="s">
        <v>307</v>
      </c>
      <c r="B349" s="3260" t="s">
        <v>2943</v>
      </c>
      <c r="C349" s="3261">
        <v>0.15</v>
      </c>
      <c r="D349" s="3261">
        <v>0.15</v>
      </c>
      <c r="E349" s="3261">
        <v>0.15</v>
      </c>
      <c r="F349" s="3261">
        <v>0.15</v>
      </c>
      <c r="G349" s="3262">
        <v>0.15</v>
      </c>
    </row>
    <row r="350" spans="1:7">
      <c r="A350" s="3271" t="s">
        <v>307</v>
      </c>
      <c r="B350" s="3260" t="s">
        <v>2946</v>
      </c>
      <c r="C350" s="3261">
        <v>0.15</v>
      </c>
      <c r="D350" s="3261">
        <v>0.15</v>
      </c>
      <c r="E350" s="3261">
        <v>0.15</v>
      </c>
      <c r="F350" s="3261">
        <v>0.14699999999999999</v>
      </c>
      <c r="G350" s="3262">
        <v>0.15</v>
      </c>
    </row>
    <row r="351" spans="1:7">
      <c r="A351" s="3271" t="s">
        <v>307</v>
      </c>
      <c r="B351" s="3260" t="s">
        <v>2951</v>
      </c>
      <c r="C351" s="3261">
        <v>0.15</v>
      </c>
      <c r="D351" s="3261">
        <v>0.15</v>
      </c>
      <c r="E351" s="3261">
        <v>0.15</v>
      </c>
      <c r="F351" s="3261">
        <v>0.13</v>
      </c>
      <c r="G351" s="3262">
        <v>0.15</v>
      </c>
    </row>
    <row r="352" spans="1:7">
      <c r="A352" s="3271" t="s">
        <v>307</v>
      </c>
      <c r="B352" s="3260" t="s">
        <v>2956</v>
      </c>
      <c r="C352" s="3261">
        <v>0.15</v>
      </c>
      <c r="D352" s="3261">
        <v>0.15</v>
      </c>
      <c r="E352" s="3261">
        <v>0.15</v>
      </c>
      <c r="F352" s="3261">
        <v>0.14599999999999999</v>
      </c>
      <c r="G352" s="3262">
        <v>0.15</v>
      </c>
    </row>
    <row r="353" spans="1:7">
      <c r="A353" s="3271" t="s">
        <v>307</v>
      </c>
      <c r="B353" s="3260" t="s">
        <v>2963</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2976</v>
      </c>
      <c r="C355" s="3261">
        <v>0.15</v>
      </c>
      <c r="D355" s="3261">
        <v>0.15</v>
      </c>
      <c r="E355" s="3261">
        <v>0.15</v>
      </c>
      <c r="F355" s="3261">
        <v>0.15</v>
      </c>
      <c r="G355" s="3262">
        <v>0.15</v>
      </c>
    </row>
    <row r="356" spans="1:7">
      <c r="A356" s="3271" t="s">
        <v>307</v>
      </c>
      <c r="B356" s="3260" t="s">
        <v>2983</v>
      </c>
      <c r="C356" s="3261">
        <v>0.15</v>
      </c>
      <c r="D356" s="3261">
        <v>0.15</v>
      </c>
      <c r="E356" s="3261">
        <v>0.15</v>
      </c>
      <c r="F356" s="3261">
        <v>0.15</v>
      </c>
      <c r="G356" s="3262">
        <v>0.15</v>
      </c>
    </row>
    <row r="357" spans="1:7" ht="15" thickBot="1">
      <c r="A357" s="3274" t="s">
        <v>307</v>
      </c>
      <c r="B357" s="3264" t="s">
        <v>2988</v>
      </c>
      <c r="C357" s="3265">
        <v>0.126</v>
      </c>
      <c r="D357" s="3265">
        <v>0.127</v>
      </c>
      <c r="E357" s="3265">
        <v>0.14299999999999999</v>
      </c>
      <c r="F357" s="3265">
        <v>0.125</v>
      </c>
      <c r="G357" s="3267">
        <v>0.129</v>
      </c>
    </row>
    <row r="358" spans="1:7">
      <c r="A358" s="3270" t="s">
        <v>2857</v>
      </c>
      <c r="B358" s="3256" t="s">
        <v>2871</v>
      </c>
      <c r="C358" s="3257">
        <v>0.15</v>
      </c>
      <c r="D358" s="3257">
        <v>0.15</v>
      </c>
      <c r="E358" s="3257">
        <v>0.15</v>
      </c>
      <c r="F358" s="3257">
        <v>0.15</v>
      </c>
      <c r="G358" s="3258">
        <v>0.15</v>
      </c>
    </row>
    <row r="359" spans="1:7">
      <c r="A359" s="3271" t="s">
        <v>2857</v>
      </c>
      <c r="B359" s="3260" t="s">
        <v>2877</v>
      </c>
      <c r="C359" s="3261">
        <v>0.1</v>
      </c>
      <c r="D359" s="3261">
        <v>0.1</v>
      </c>
      <c r="E359" s="3261">
        <v>0.1</v>
      </c>
      <c r="F359" s="3261">
        <v>0.1</v>
      </c>
      <c r="G359" s="3262">
        <v>0.1</v>
      </c>
    </row>
    <row r="360" spans="1:7">
      <c r="A360" s="3271" t="s">
        <v>2857</v>
      </c>
      <c r="B360" s="3260" t="s">
        <v>2883</v>
      </c>
      <c r="C360" s="3261">
        <v>0.15</v>
      </c>
      <c r="D360" s="3261">
        <v>0.15</v>
      </c>
      <c r="E360" s="3261">
        <v>0.15</v>
      </c>
      <c r="F360" s="3261">
        <v>0.14899999999999999</v>
      </c>
      <c r="G360" s="3262">
        <v>0.15</v>
      </c>
    </row>
    <row r="361" spans="1:7">
      <c r="A361" s="3271" t="s">
        <v>2857</v>
      </c>
      <c r="B361" s="3260" t="s">
        <v>153</v>
      </c>
      <c r="C361" s="3261">
        <v>0.15</v>
      </c>
      <c r="D361" s="3261">
        <v>0.15</v>
      </c>
      <c r="E361" s="3261">
        <v>0.15</v>
      </c>
      <c r="F361" s="3261">
        <v>0.115</v>
      </c>
      <c r="G361" s="3262">
        <v>0.15</v>
      </c>
    </row>
    <row r="362" spans="1:7">
      <c r="A362" s="3271" t="s">
        <v>2857</v>
      </c>
      <c r="B362" s="3260" t="s">
        <v>2890</v>
      </c>
      <c r="C362" s="3261">
        <v>0.15</v>
      </c>
      <c r="D362" s="3261">
        <v>0.15</v>
      </c>
      <c r="E362" s="3261">
        <v>0.15</v>
      </c>
      <c r="F362" s="3261">
        <v>0.106</v>
      </c>
      <c r="G362" s="3262">
        <v>0.15</v>
      </c>
    </row>
    <row r="363" spans="1:7">
      <c r="A363" s="3271" t="s">
        <v>2857</v>
      </c>
      <c r="B363" s="3260" t="s">
        <v>2895</v>
      </c>
      <c r="C363" s="3261">
        <v>0.15</v>
      </c>
      <c r="D363" s="3261">
        <v>0.15</v>
      </c>
      <c r="E363" s="3261">
        <v>0.15</v>
      </c>
      <c r="F363" s="3261">
        <v>0.14699999999999999</v>
      </c>
      <c r="G363" s="3262">
        <v>0.15</v>
      </c>
    </row>
    <row r="364" spans="1:7">
      <c r="A364" s="3271" t="s">
        <v>2857</v>
      </c>
      <c r="B364" s="3260" t="s">
        <v>2899</v>
      </c>
      <c r="C364" s="3261">
        <v>0.15</v>
      </c>
      <c r="D364" s="3261">
        <v>0.15</v>
      </c>
      <c r="E364" s="3261">
        <v>0.15</v>
      </c>
      <c r="F364" s="3261">
        <v>0.14799999999999999</v>
      </c>
      <c r="G364" s="3262">
        <v>0.15</v>
      </c>
    </row>
    <row r="365" spans="1:7">
      <c r="A365" s="3271" t="s">
        <v>2857</v>
      </c>
      <c r="B365" s="3260" t="s">
        <v>200</v>
      </c>
      <c r="C365" s="3261">
        <v>0.15</v>
      </c>
      <c r="D365" s="3261">
        <v>0.15</v>
      </c>
      <c r="E365" s="3261">
        <v>0.15</v>
      </c>
      <c r="F365" s="3261">
        <v>0.15</v>
      </c>
      <c r="G365" s="3262">
        <v>0.15</v>
      </c>
    </row>
    <row r="366" spans="1:7">
      <c r="A366" s="3271" t="s">
        <v>2857</v>
      </c>
      <c r="B366" s="3260" t="s">
        <v>2902</v>
      </c>
      <c r="C366" s="3261">
        <v>0.15</v>
      </c>
      <c r="D366" s="3261">
        <v>0.15</v>
      </c>
      <c r="E366" s="3261">
        <v>0.15</v>
      </c>
      <c r="F366" s="3261">
        <v>0.15</v>
      </c>
      <c r="G366" s="3262">
        <v>0.15</v>
      </c>
    </row>
    <row r="367" spans="1:7">
      <c r="A367" s="3271" t="s">
        <v>2857</v>
      </c>
      <c r="B367" s="3260" t="s">
        <v>2905</v>
      </c>
      <c r="C367" s="3261">
        <v>0.15</v>
      </c>
      <c r="D367" s="3261">
        <v>0.15</v>
      </c>
      <c r="E367" s="3261">
        <v>0.15</v>
      </c>
      <c r="F367" s="3261">
        <v>0.14699999999999999</v>
      </c>
      <c r="G367" s="3262">
        <v>0.15</v>
      </c>
    </row>
    <row r="368" spans="1:7">
      <c r="A368" s="3271" t="s">
        <v>2857</v>
      </c>
      <c r="B368" s="3260" t="s">
        <v>2910</v>
      </c>
      <c r="C368" s="3261">
        <v>0.15</v>
      </c>
      <c r="D368" s="3261">
        <v>0.15</v>
      </c>
      <c r="E368" s="3261">
        <v>0.15</v>
      </c>
      <c r="F368" s="3261">
        <v>0.13600000000000001</v>
      </c>
      <c r="G368" s="3262">
        <v>0.15</v>
      </c>
    </row>
    <row r="369" spans="1:7">
      <c r="A369" s="3271" t="s">
        <v>2857</v>
      </c>
      <c r="B369" s="3260" t="s">
        <v>214</v>
      </c>
      <c r="C369" s="3261">
        <v>0.15</v>
      </c>
      <c r="D369" s="3261">
        <v>0.15</v>
      </c>
      <c r="E369" s="3261">
        <v>0.15</v>
      </c>
      <c r="F369" s="3261">
        <v>0.14399999999999999</v>
      </c>
      <c r="G369" s="3262">
        <v>0.15</v>
      </c>
    </row>
    <row r="370" spans="1:7">
      <c r="A370" s="3271" t="s">
        <v>2857</v>
      </c>
      <c r="B370" s="3260" t="s">
        <v>221</v>
      </c>
      <c r="C370" s="3261">
        <v>0.15</v>
      </c>
      <c r="D370" s="3261">
        <v>0.15</v>
      </c>
      <c r="E370" s="3261">
        <v>0.15</v>
      </c>
      <c r="F370" s="3261">
        <v>0.14599999999999999</v>
      </c>
      <c r="G370" s="3262">
        <v>0.15</v>
      </c>
    </row>
    <row r="371" spans="1:7">
      <c r="A371" s="3271" t="s">
        <v>2857</v>
      </c>
      <c r="B371" s="3260" t="s">
        <v>229</v>
      </c>
      <c r="C371" s="3261">
        <v>0.15</v>
      </c>
      <c r="D371" s="3261">
        <v>0.15</v>
      </c>
      <c r="E371" s="3261">
        <v>0.15</v>
      </c>
      <c r="F371" s="3261">
        <v>0.12</v>
      </c>
      <c r="G371" s="3262">
        <v>0.15</v>
      </c>
    </row>
    <row r="372" spans="1:7">
      <c r="A372" s="3271" t="s">
        <v>2857</v>
      </c>
      <c r="B372" s="3260" t="s">
        <v>2918</v>
      </c>
      <c r="C372" s="3261">
        <v>0.15</v>
      </c>
      <c r="D372" s="3261">
        <v>0.15</v>
      </c>
      <c r="E372" s="3261">
        <v>0.15</v>
      </c>
      <c r="F372" s="3261">
        <v>0.14299999999999999</v>
      </c>
      <c r="G372" s="3262">
        <v>0.15</v>
      </c>
    </row>
    <row r="373" spans="1:7">
      <c r="A373" s="3271" t="s">
        <v>2857</v>
      </c>
      <c r="B373" s="3260" t="s">
        <v>258</v>
      </c>
      <c r="C373" s="3261">
        <v>0.15</v>
      </c>
      <c r="D373" s="3261">
        <v>0.15</v>
      </c>
      <c r="E373" s="3261">
        <v>0.15</v>
      </c>
      <c r="F373" s="3261">
        <v>0.14599999999999999</v>
      </c>
      <c r="G373" s="3262">
        <v>0.15</v>
      </c>
    </row>
    <row r="374" spans="1:7">
      <c r="A374" s="3271" t="s">
        <v>2857</v>
      </c>
      <c r="B374" s="3260" t="s">
        <v>266</v>
      </c>
      <c r="C374" s="3261">
        <v>0.15</v>
      </c>
      <c r="D374" s="3261">
        <v>0.15</v>
      </c>
      <c r="E374" s="3261">
        <v>0.15</v>
      </c>
      <c r="F374" s="3261">
        <v>0.14399999999999999</v>
      </c>
      <c r="G374" s="3262">
        <v>0.15</v>
      </c>
    </row>
    <row r="375" spans="1:7">
      <c r="A375" s="3271" t="s">
        <v>2857</v>
      </c>
      <c r="B375" s="3260" t="s">
        <v>2926</v>
      </c>
      <c r="C375" s="3261">
        <v>0.15</v>
      </c>
      <c r="D375" s="3261">
        <v>0.15</v>
      </c>
      <c r="E375" s="3261">
        <v>0.15</v>
      </c>
      <c r="F375" s="3261">
        <v>0.13</v>
      </c>
      <c r="G375" s="3262">
        <v>0.15</v>
      </c>
    </row>
    <row r="376" spans="1:7">
      <c r="A376" s="3271" t="s">
        <v>2857</v>
      </c>
      <c r="B376" s="3260" t="s">
        <v>277</v>
      </c>
      <c r="C376" s="3261">
        <v>0.15</v>
      </c>
      <c r="D376" s="3261">
        <v>0.15</v>
      </c>
      <c r="E376" s="3261">
        <v>0.15</v>
      </c>
      <c r="F376" s="3261">
        <v>0.14199999999999999</v>
      </c>
      <c r="G376" s="3262">
        <v>0.15</v>
      </c>
    </row>
    <row r="377" spans="1:7" ht="15" thickBot="1">
      <c r="A377" s="3274" t="s">
        <v>2857</v>
      </c>
      <c r="B377" s="3264" t="s">
        <v>2932</v>
      </c>
      <c r="C377" s="3265">
        <v>0.15</v>
      </c>
      <c r="D377" s="3265">
        <v>0.15</v>
      </c>
      <c r="E377" s="3265">
        <v>0.15</v>
      </c>
      <c r="F377" s="3265">
        <v>0.14000000000000001</v>
      </c>
      <c r="G377" s="3267">
        <v>0.15</v>
      </c>
    </row>
    <row r="378" spans="1:7">
      <c r="A378" s="3270" t="s">
        <v>2858</v>
      </c>
      <c r="B378" s="3256" t="s">
        <v>2872</v>
      </c>
      <c r="C378" s="3257">
        <v>0.15</v>
      </c>
      <c r="D378" s="3257">
        <v>0.15</v>
      </c>
      <c r="E378" s="3257">
        <v>0.15</v>
      </c>
      <c r="F378" s="3257">
        <v>0.107</v>
      </c>
      <c r="G378" s="3258">
        <v>0.15</v>
      </c>
    </row>
    <row r="379" spans="1:7">
      <c r="A379" s="3271" t="s">
        <v>2858</v>
      </c>
      <c r="B379" s="3260" t="s">
        <v>2878</v>
      </c>
      <c r="C379" s="3261">
        <v>0.15</v>
      </c>
      <c r="D379" s="3261">
        <v>0.15</v>
      </c>
      <c r="E379" s="3261">
        <v>0.15</v>
      </c>
      <c r="F379" s="3261">
        <v>0.115</v>
      </c>
      <c r="G379" s="3262">
        <v>0.14899999999999999</v>
      </c>
    </row>
    <row r="380" spans="1:7">
      <c r="A380" s="3271" t="s">
        <v>2858</v>
      </c>
      <c r="B380" s="3260" t="s">
        <v>2884</v>
      </c>
      <c r="C380" s="3261">
        <v>0.15</v>
      </c>
      <c r="D380" s="3261">
        <v>0.15</v>
      </c>
      <c r="E380" s="3261">
        <v>0.15</v>
      </c>
      <c r="F380" s="3261">
        <v>0.1</v>
      </c>
      <c r="G380" s="3262">
        <v>0.14799999999999999</v>
      </c>
    </row>
    <row r="381" spans="1:7">
      <c r="A381" s="3271" t="s">
        <v>2858</v>
      </c>
      <c r="B381" s="3260" t="s">
        <v>2887</v>
      </c>
      <c r="C381" s="3261">
        <v>0.15</v>
      </c>
      <c r="D381" s="3261">
        <v>0.15</v>
      </c>
      <c r="E381" s="3261">
        <v>0.15</v>
      </c>
      <c r="F381" s="3261">
        <v>0.126</v>
      </c>
      <c r="G381" s="3262">
        <v>0.15</v>
      </c>
    </row>
    <row r="382" spans="1:7">
      <c r="A382" s="3271" t="s">
        <v>2858</v>
      </c>
      <c r="B382" s="3260" t="s">
        <v>2891</v>
      </c>
      <c r="C382" s="3261">
        <v>0.15</v>
      </c>
      <c r="D382" s="3261">
        <v>0.15</v>
      </c>
      <c r="E382" s="3261">
        <v>0.15</v>
      </c>
      <c r="F382" s="3261">
        <v>0.15</v>
      </c>
      <c r="G382" s="3262">
        <v>0.15</v>
      </c>
    </row>
    <row r="383" spans="1:7">
      <c r="A383" s="3271" t="s">
        <v>2858</v>
      </c>
      <c r="B383" s="3260" t="s">
        <v>2896</v>
      </c>
      <c r="C383" s="3261">
        <v>0.15</v>
      </c>
      <c r="D383" s="3261">
        <v>0.15</v>
      </c>
      <c r="E383" s="3261">
        <v>0.15</v>
      </c>
      <c r="F383" s="3261">
        <v>0.14699999999999999</v>
      </c>
      <c r="G383" s="3262">
        <v>0.15</v>
      </c>
    </row>
    <row r="384" spans="1:7" ht="15" thickBot="1">
      <c r="A384" s="3281" t="s">
        <v>2858</v>
      </c>
      <c r="B384" s="3282" t="s">
        <v>2900</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6"/>
  </cols>
  <sheetData>
    <row r="1" spans="1:6">
      <c r="A1" s="3799" t="s">
        <v>3239</v>
      </c>
      <c r="B1" s="3799"/>
      <c r="C1" s="3799"/>
      <c r="D1" s="3799"/>
      <c r="E1" s="3799"/>
      <c r="F1" s="3800"/>
    </row>
    <row r="2" spans="1:6">
      <c r="A2" s="3287" t="s">
        <v>3240</v>
      </c>
      <c r="B2" s="3288"/>
      <c r="C2" s="3288"/>
      <c r="D2" s="3288"/>
      <c r="E2" s="3288"/>
      <c r="F2" s="3288"/>
    </row>
    <row r="3" spans="1:6">
      <c r="A3" s="3287" t="s">
        <v>3241</v>
      </c>
      <c r="B3" s="3288"/>
      <c r="C3" s="3288"/>
      <c r="D3" s="3288"/>
      <c r="E3" s="3288"/>
      <c r="F3" s="3289" t="s">
        <v>3242</v>
      </c>
    </row>
    <row r="4" spans="1:6">
      <c r="A4" s="3290" t="s">
        <v>672</v>
      </c>
      <c r="B4" s="3290" t="s">
        <v>673</v>
      </c>
      <c r="C4" s="3290" t="s">
        <v>21</v>
      </c>
      <c r="D4" s="3290" t="s">
        <v>674</v>
      </c>
      <c r="E4" s="3290" t="s">
        <v>3</v>
      </c>
      <c r="F4" s="3290" t="s">
        <v>3243</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4.4"/>
  <cols>
    <col min="1" max="1" width="13.88671875" customWidth="1"/>
    <col min="11" max="17" width="0" hidden="1" customWidth="1"/>
    <col min="25" max="30" width="0" hidden="1" customWidth="1"/>
  </cols>
  <sheetData>
    <row r="1" spans="1:30">
      <c r="A1" s="3217">
        <f>基准地价修正!G23</f>
        <v>44995</v>
      </c>
      <c r="B1" s="3206" t="s">
        <v>2845</v>
      </c>
      <c r="C1" s="3207"/>
      <c r="D1" s="3207"/>
      <c r="E1" s="3207"/>
      <c r="F1" s="3207"/>
      <c r="G1" s="3207"/>
      <c r="H1" s="3207"/>
      <c r="I1" s="3207"/>
      <c r="J1" s="3161"/>
      <c r="K1" s="3207" t="s">
        <v>454</v>
      </c>
      <c r="L1" s="3207"/>
      <c r="M1" s="3207"/>
      <c r="N1" s="3207"/>
      <c r="O1" s="3207"/>
      <c r="P1" s="3207"/>
      <c r="Q1" s="3161"/>
      <c r="R1" s="3801" t="s">
        <v>456</v>
      </c>
      <c r="S1" s="3802"/>
      <c r="T1" s="3802"/>
      <c r="U1" s="3802"/>
      <c r="V1" s="3802"/>
      <c r="W1" s="3802"/>
      <c r="X1" s="3161"/>
      <c r="Y1" s="3801" t="s">
        <v>457</v>
      </c>
      <c r="Z1" s="3802"/>
      <c r="AA1" s="3802"/>
      <c r="AB1" s="3802"/>
      <c r="AC1" s="3802"/>
      <c r="AD1" s="3802"/>
    </row>
    <row r="2" spans="1:30" s="3139" customFormat="1" ht="15" thickBot="1">
      <c r="B2" s="3140"/>
      <c r="C2" s="3141"/>
      <c r="D2" s="3142" t="s">
        <v>2813</v>
      </c>
      <c r="E2" s="3143" t="s">
        <v>2814</v>
      </c>
      <c r="F2" s="3143" t="s">
        <v>2815</v>
      </c>
      <c r="G2" s="3143" t="s">
        <v>2816</v>
      </c>
      <c r="H2" s="3143" t="s">
        <v>2817</v>
      </c>
      <c r="I2" s="3143" t="s">
        <v>2634</v>
      </c>
      <c r="J2" s="3144"/>
      <c r="K2" s="3142" t="s">
        <v>2813</v>
      </c>
      <c r="L2" s="3143" t="s">
        <v>2814</v>
      </c>
      <c r="M2" s="3143" t="s">
        <v>2815</v>
      </c>
      <c r="N2" s="3143" t="s">
        <v>2816</v>
      </c>
      <c r="O2" s="3143" t="s">
        <v>2818</v>
      </c>
      <c r="P2" s="3143" t="s">
        <v>2634</v>
      </c>
      <c r="Q2" s="3144"/>
      <c r="R2" s="3142" t="s">
        <v>2813</v>
      </c>
      <c r="S2" s="3143" t="s">
        <v>2814</v>
      </c>
      <c r="T2" s="3143" t="s">
        <v>2815</v>
      </c>
      <c r="U2" s="3143" t="s">
        <v>2819</v>
      </c>
      <c r="V2" s="3143" t="s">
        <v>2820</v>
      </c>
      <c r="W2" s="3143" t="s">
        <v>2634</v>
      </c>
      <c r="X2" s="3144"/>
      <c r="Y2" s="3142" t="s">
        <v>2813</v>
      </c>
      <c r="Z2" s="3143" t="s">
        <v>2814</v>
      </c>
      <c r="AA2" s="3143" t="s">
        <v>2815</v>
      </c>
      <c r="AB2" s="3143" t="s">
        <v>2821</v>
      </c>
      <c r="AC2" s="3143" t="s">
        <v>2820</v>
      </c>
      <c r="AD2" s="3143" t="s">
        <v>2634</v>
      </c>
    </row>
    <row r="3" spans="1:30" s="3157" customFormat="1" ht="13.2">
      <c r="A3" s="3145" t="s">
        <v>2822</v>
      </c>
      <c r="B3" s="3146"/>
      <c r="C3" s="3147"/>
      <c r="D3" s="3147">
        <f>ROUND(AVERAGEIF(D4:D16,"&lt;&gt;0"),2)</f>
        <v>0.81</v>
      </c>
      <c r="E3" s="3147">
        <f t="shared" ref="E3:H3" si="0">ROUND(AVERAGEIF(E4:E16,"&lt;&gt;0"),2)</f>
        <v>0.33</v>
      </c>
      <c r="F3" s="3147">
        <f t="shared" si="0"/>
        <v>0.15</v>
      </c>
      <c r="G3" s="3147">
        <f t="shared" si="0"/>
        <v>0.89</v>
      </c>
      <c r="H3" s="3147">
        <f t="shared" si="0"/>
        <v>0.66</v>
      </c>
      <c r="I3" s="3147">
        <f>F3</f>
        <v>0.15</v>
      </c>
      <c r="J3" s="3148"/>
      <c r="K3" s="3149">
        <f>ROUND(AVERAGEIF(K4:K16,"&lt;&gt;0"),4)</f>
        <v>8.0999999999999996E-3</v>
      </c>
      <c r="L3" s="3150">
        <f t="shared" ref="L3:O3" si="1">ROUND(AVERAGEIF(L4:L16,"&lt;&gt;0"),4)</f>
        <v>3.3E-3</v>
      </c>
      <c r="M3" s="3150">
        <f t="shared" si="1"/>
        <v>1.5E-3</v>
      </c>
      <c r="N3" s="3150">
        <f t="shared" si="1"/>
        <v>8.8999999999999999E-3</v>
      </c>
      <c r="O3" s="3150">
        <f t="shared" si="1"/>
        <v>6.6E-3</v>
      </c>
      <c r="P3" s="3150">
        <f>M3</f>
        <v>1.5E-3</v>
      </c>
      <c r="Q3" s="3148"/>
      <c r="R3" s="3151">
        <f>ROUND(SUMPRODUCT(PRODUCT(1+K4:K16)),4)</f>
        <v>1.0668</v>
      </c>
      <c r="S3" s="3152">
        <f t="shared" ref="S3:V3" si="2">ROUND(SUMPRODUCT(PRODUCT(1+L4:L16)),4)</f>
        <v>1.0266999999999999</v>
      </c>
      <c r="T3" s="3152">
        <f t="shared" si="2"/>
        <v>1.0119</v>
      </c>
      <c r="U3" s="3152">
        <f t="shared" si="2"/>
        <v>1.0734999999999999</v>
      </c>
      <c r="V3" s="3152">
        <f t="shared" si="2"/>
        <v>1.054</v>
      </c>
      <c r="W3" s="3151">
        <f>T3</f>
        <v>1.0119</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3.2">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3.2">
      <c r="A5" s="3172" t="s">
        <v>3376</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1.0565</v>
      </c>
      <c r="S5" s="3179">
        <f>ROUND(IF(项目基本情况!$B$8="出让",SUMPRODUCT(PRODUCT(1+L5:$L$16)),SUMPRODUCT(PRODUCT(1+L5:$L$15))),4)</f>
        <v>1.0250999999999999</v>
      </c>
      <c r="T5" s="3179">
        <f>ROUND(IF(项目基本情况!$B$8="出让",SUMPRODUCT(PRODUCT(1+M5:$M$16)),SUMPRODUCT(PRODUCT(1+M5:$M$15))),4)</f>
        <v>1.0145</v>
      </c>
      <c r="U5" s="3179">
        <f>ROUND(IF(项目基本情况!$B$8="出让",SUMPRODUCT(PRODUCT(1+N5:$N$16)),SUMPRODUCT(PRODUCT(1+N5:$N$15))),4)</f>
        <v>1.0618000000000001</v>
      </c>
      <c r="V5" s="3179">
        <f>ROUND(IF(项目基本情况!$B$8="出让",SUMPRODUCT(PRODUCT(1+O5:$O$16)),SUMPRODUCT(PRODUCT(1+O5:$O$15))),4)</f>
        <v>1.0502</v>
      </c>
      <c r="W5" s="3179">
        <f>T5</f>
        <v>1.0145</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3.2">
      <c r="A6" s="3172" t="s">
        <v>3377</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1.0565</v>
      </c>
      <c r="S6" s="3179">
        <f>ROUND(IF(项目基本情况!$B$8="出让",SUMPRODUCT(PRODUCT(1+L6:$L$16)),SUMPRODUCT(PRODUCT(1+L6:$L$15))),4)</f>
        <v>1.0250999999999999</v>
      </c>
      <c r="T6" s="3179">
        <f>ROUND(IF(项目基本情况!$B$8="出让",SUMPRODUCT(PRODUCT(1+M6:$M$16)),SUMPRODUCT(PRODUCT(1+M6:$M$15))),4)</f>
        <v>1.0145</v>
      </c>
      <c r="U6" s="3179">
        <f>ROUND(IF(项目基本情况!$B$8="出让",SUMPRODUCT(PRODUCT(1+N6:$N$16)),SUMPRODUCT(PRODUCT(1+N6:$N$15))),4)</f>
        <v>1.0618000000000001</v>
      </c>
      <c r="V6" s="3179">
        <f>ROUND(IF(项目基本情况!$B$8="出让",SUMPRODUCT(PRODUCT(1+O6:$O$16)),SUMPRODUCT(PRODUCT(1+O6:$O$15))),4)</f>
        <v>1.0502</v>
      </c>
      <c r="W6" s="3179">
        <f t="shared" ref="W6:W8" si="14">T6</f>
        <v>1.0145</v>
      </c>
      <c r="X6" s="3177"/>
      <c r="Y6" s="3180"/>
      <c r="Z6" s="3180"/>
      <c r="AA6" s="3180"/>
      <c r="AB6" s="3180"/>
      <c r="AC6" s="3180"/>
      <c r="AD6" s="3180"/>
    </row>
    <row r="7" spans="1:30" s="3181" customFormat="1" ht="13.2">
      <c r="A7" s="3172" t="s">
        <v>3375</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1.0565</v>
      </c>
      <c r="S7" s="3179">
        <f>ROUND(IF(项目基本情况!$B$8="出让",SUMPRODUCT(PRODUCT(1+L7:$L$16)),SUMPRODUCT(PRODUCT(1+L7:$L$15))),4)</f>
        <v>1.0250999999999999</v>
      </c>
      <c r="T7" s="3179">
        <f>ROUND(IF(项目基本情况!$B$8="出让",SUMPRODUCT(PRODUCT(1+M7:$M$16)),SUMPRODUCT(PRODUCT(1+M7:$M$15))),4)</f>
        <v>1.0145</v>
      </c>
      <c r="U7" s="3179">
        <f>ROUND(IF(项目基本情况!$B$8="出让",SUMPRODUCT(PRODUCT(1+N7:$N$16)),SUMPRODUCT(PRODUCT(1+N7:$N$15))),4)</f>
        <v>1.0618000000000001</v>
      </c>
      <c r="V7" s="3179">
        <f>ROUND(IF(项目基本情况!$B$8="出让",SUMPRODUCT(PRODUCT(1+O7:$O$16)),SUMPRODUCT(PRODUCT(1+O7:$O$15))),4)</f>
        <v>1.0502</v>
      </c>
      <c r="W7" s="3179">
        <f t="shared" si="14"/>
        <v>1.0145</v>
      </c>
      <c r="X7" s="3177"/>
      <c r="Y7" s="3180"/>
      <c r="Z7" s="3180"/>
      <c r="AA7" s="3180"/>
      <c r="AB7" s="3180"/>
      <c r="AC7" s="3180"/>
      <c r="AD7" s="3180"/>
    </row>
    <row r="8" spans="1:30" s="3181" customFormat="1" ht="13.2">
      <c r="A8" s="3172" t="s">
        <v>2823</v>
      </c>
      <c r="B8" s="3173">
        <v>2023</v>
      </c>
      <c r="C8" s="3174">
        <v>1</v>
      </c>
      <c r="D8" s="3175">
        <v>0</v>
      </c>
      <c r="E8" s="3175">
        <v>0</v>
      </c>
      <c r="F8" s="3175">
        <v>0</v>
      </c>
      <c r="G8" s="3175">
        <v>0</v>
      </c>
      <c r="H8" s="3175">
        <v>0</v>
      </c>
      <c r="I8" s="3176">
        <f t="shared" si="4"/>
        <v>0</v>
      </c>
      <c r="J8" s="3177"/>
      <c r="K8" s="3178">
        <f t="shared" si="8"/>
        <v>0</v>
      </c>
      <c r="L8" s="3168">
        <f t="shared" si="9"/>
        <v>0</v>
      </c>
      <c r="M8" s="3168">
        <f t="shared" si="10"/>
        <v>0</v>
      </c>
      <c r="N8" s="3168">
        <f t="shared" si="11"/>
        <v>0</v>
      </c>
      <c r="O8" s="3168">
        <f t="shared" si="12"/>
        <v>0</v>
      </c>
      <c r="P8" s="3168">
        <f t="shared" si="13"/>
        <v>0</v>
      </c>
      <c r="Q8" s="3177"/>
      <c r="R8" s="3179">
        <f>ROUND(IF(项目基本情况!$B$8="出让",SUMPRODUCT(PRODUCT(1+K8:$K$16)),SUMPRODUCT(PRODUCT(1+K8:$K$15))),4)</f>
        <v>1.0565</v>
      </c>
      <c r="S8" s="3179">
        <f>ROUND(IF(项目基本情况!$B$8="出让",SUMPRODUCT(PRODUCT(1+L8:$L$16)),SUMPRODUCT(PRODUCT(1+L8:$L$15))),4)</f>
        <v>1.0250999999999999</v>
      </c>
      <c r="T8" s="3179">
        <f>ROUND(IF(项目基本情况!$B$8="出让",SUMPRODUCT(PRODUCT(1+M8:$M$16)),SUMPRODUCT(PRODUCT(1+M8:$M$15))),4)</f>
        <v>1.0145</v>
      </c>
      <c r="U8" s="3179">
        <f>ROUND(IF(项目基本情况!$B$8="出让",SUMPRODUCT(PRODUCT(1+N8:$N$16)),SUMPRODUCT(PRODUCT(1+N8:$N$15))),4)</f>
        <v>1.0618000000000001</v>
      </c>
      <c r="V8" s="3179">
        <f>ROUND(IF(项目基本情况!$B$8="出让",SUMPRODUCT(PRODUCT(1+O8:$O$16)),SUMPRODUCT(PRODUCT(1+O8:$O$15))),4)</f>
        <v>1.0502</v>
      </c>
      <c r="W8" s="3179">
        <f t="shared" si="14"/>
        <v>1.0145</v>
      </c>
      <c r="X8" s="3177"/>
      <c r="Y8" s="3180"/>
      <c r="Z8" s="3180"/>
      <c r="AA8" s="3180"/>
      <c r="AB8" s="3180"/>
      <c r="AC8" s="3180"/>
      <c r="AD8" s="3180"/>
    </row>
    <row r="9" spans="1:30" s="3191" customFormat="1" ht="13.2">
      <c r="A9" s="3182" t="s">
        <v>2824</v>
      </c>
      <c r="B9" s="3183">
        <v>2022</v>
      </c>
      <c r="C9" s="3184">
        <v>4</v>
      </c>
      <c r="D9" s="3185">
        <v>0.62</v>
      </c>
      <c r="E9" s="3185">
        <v>0.2</v>
      </c>
      <c r="F9" s="3185">
        <v>0.11</v>
      </c>
      <c r="G9" s="3185">
        <v>0.69</v>
      </c>
      <c r="H9" s="3186">
        <v>0.53</v>
      </c>
      <c r="I9" s="3187">
        <f t="shared" si="4"/>
        <v>0.11</v>
      </c>
      <c r="J9" s="3188"/>
      <c r="K9" s="3189">
        <f t="shared" si="5"/>
        <v>6.1999999999999998E-3</v>
      </c>
      <c r="L9" s="3190">
        <f t="shared" si="5"/>
        <v>2E-3</v>
      </c>
      <c r="M9" s="3190">
        <f t="shared" si="5"/>
        <v>1.1000000000000001E-3</v>
      </c>
      <c r="N9" s="3190">
        <f t="shared" si="5"/>
        <v>6.8999999999999999E-3</v>
      </c>
      <c r="O9" s="3190">
        <f t="shared" si="5"/>
        <v>5.3E-3</v>
      </c>
      <c r="P9" s="3190">
        <f t="shared" ref="P9:P16" si="15">M9</f>
        <v>1.1000000000000001E-3</v>
      </c>
      <c r="Q9" s="3188"/>
      <c r="R9" s="3188">
        <f>ROUND(IF([3]项目基本情况!B8="出让",SUMPRODUCT(PRODUCT(1+K9:K16)),SUMPRODUCT(PRODUCT(1+K9:K15))),4)</f>
        <v>1.0565</v>
      </c>
      <c r="S9" s="3188">
        <f>ROUND(IF([3]项目基本情况!B8="出让",SUMPRODUCT(PRODUCT(1+L9:L16)),SUMPRODUCT(PRODUCT(1+L9:L15))),4)</f>
        <v>1.0250999999999999</v>
      </c>
      <c r="T9" s="3188">
        <f>ROUND(IF([3]项目基本情况!B8="出让",SUMPRODUCT(PRODUCT(1+M9:M16)),SUMPRODUCT(PRODUCT(1+M9:M15))),4)</f>
        <v>1.0145</v>
      </c>
      <c r="U9" s="3188">
        <f>ROUND(IF([3]项目基本情况!B8="出让",SUMPRODUCT(PRODUCT(1+N9:N16)),SUMPRODUCT(PRODUCT(1+N9:N15))),4)</f>
        <v>1.0618000000000001</v>
      </c>
      <c r="V9" s="3188">
        <f>ROUND(IF([3]项目基本情况!B8="出让",SUMPRODUCT(PRODUCT(1+O9:O16)),SUMPRODUCT(PRODUCT(1+O9:O15))),4)</f>
        <v>1.0502</v>
      </c>
      <c r="W9" s="3188">
        <f t="shared" ref="W9:W16" si="16">T9</f>
        <v>1.0145</v>
      </c>
      <c r="X9" s="3188"/>
      <c r="Y9" s="3190">
        <f>IF(D9=0,0,ROUND(AVERAGE(D9:D17)/100,4))</f>
        <v>8.0999999999999996E-3</v>
      </c>
      <c r="Z9" s="3190">
        <f t="shared" ref="Z9:AC9" si="17">IF(E9=0,0,ROUND(AVERAGE(E9:E16)/100,4))</f>
        <v>3.3E-3</v>
      </c>
      <c r="AA9" s="3190">
        <f t="shared" si="17"/>
        <v>1.5E-3</v>
      </c>
      <c r="AB9" s="3190">
        <f t="shared" si="17"/>
        <v>8.8999999999999999E-3</v>
      </c>
      <c r="AC9" s="3190">
        <f t="shared" si="17"/>
        <v>6.6E-3</v>
      </c>
      <c r="AD9" s="3190">
        <f t="shared" si="7"/>
        <v>1.5E-3</v>
      </c>
    </row>
    <row r="10" spans="1:30" s="3181" customFormat="1" ht="13.2">
      <c r="A10" s="3172" t="s">
        <v>3370</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ROUND(IF([3]项目基本情况!B8="出让",SUMPRODUCT(PRODUCT(1+K10:K16)),SUMPRODUCT(PRODUCT(1+K10:K15))),4)</f>
        <v>1.05</v>
      </c>
      <c r="S10" s="3179">
        <f>ROUND(IF([3]项目基本情况!B8="出让",SUMPRODUCT(PRODUCT(1+L10:L16)),SUMPRODUCT(PRODUCT(1+L10:L15))),4)</f>
        <v>1.0229999999999999</v>
      </c>
      <c r="T10" s="3179">
        <f>ROUND(IF([3]项目基本情况!B8="出让",SUMPRODUCT(PRODUCT(1+M10:M16)),SUMPRODUCT(PRODUCT(1+M10:M15))),4)</f>
        <v>1.0134000000000001</v>
      </c>
      <c r="U10" s="3179">
        <f>ROUND(IF([3]项目基本情况!B8="出让",SUMPRODUCT(PRODUCT(1+N10:N16)),SUMPRODUCT(PRODUCT(1+N10:N15))),4)</f>
        <v>1.0545</v>
      </c>
      <c r="V10" s="3179">
        <f>ROUND(IF([3]项目基本情况!B8="出让",SUMPRODUCT(PRODUCT(1+O10:O16)),SUMPRODUCT(PRODUCT(1+O10:O15))),4)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3.2">
      <c r="A11" s="3172" t="s">
        <v>3361</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ROUND(IF([3]项目基本情况!B8="出让",SUMPRODUCT(PRODUCT(1+K11:K16)),SUMPRODUCT(PRODUCT(1+K11:K15))),4)</f>
        <v>1.0430999999999999</v>
      </c>
      <c r="S11" s="3179">
        <f>ROUND(IF([3]项目基本情况!B8="出让",SUMPRODUCT(PRODUCT(1+L11:L16)),SUMPRODUCT(PRODUCT(1+L11:L15))),4)</f>
        <v>1.0197000000000001</v>
      </c>
      <c r="T11" s="3179">
        <f>ROUND(IF([3]项目基本情况!B8="出让",SUMPRODUCT(PRODUCT(1+M11:M16)),SUMPRODUCT(PRODUCT(1+M11:M15))),4)</f>
        <v>1.0109999999999999</v>
      </c>
      <c r="U11" s="3179">
        <f>ROUND(IF([3]项目基本情况!B8="出让",SUMPRODUCT(PRODUCT(1+N11:N16)),SUMPRODUCT(PRODUCT(1+N11:N15))),4)</f>
        <v>1.0468999999999999</v>
      </c>
      <c r="V11" s="3179">
        <f>ROUND(IF([3]项目基本情况!B8="出让",SUMPRODUCT(PRODUCT(1+O11:O16)),SUMPRODUCT(PRODUCT(1+O11:O15))),4)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3.2">
      <c r="A12" s="3172" t="s">
        <v>2825</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ROUND(IF([3]项目基本情况!B8="出让",SUMPRODUCT(PRODUCT(1+K12:K16)),SUMPRODUCT(PRODUCT(1+K12:K15))),4)</f>
        <v>1.0335000000000001</v>
      </c>
      <c r="S12" s="3179">
        <f>ROUND(IF([3]项目基本情况!B8="出让",SUMPRODUCT(PRODUCT(1+L12:L16)),SUMPRODUCT(PRODUCT(1+L12:L15))),4)</f>
        <v>1.0182</v>
      </c>
      <c r="T12" s="3179">
        <f>ROUND(IF([3]项目基本情况!B8="出让",SUMPRODUCT(PRODUCT(1+M12:M16)),SUMPRODUCT(PRODUCT(1+M12:M15))),4)</f>
        <v>1.0108999999999999</v>
      </c>
      <c r="U12" s="3179">
        <f>ROUND(IF([3]项目基本情况!B8="出让",SUMPRODUCT(PRODUCT(1+N12:N16)),SUMPRODUCT(PRODUCT(1+N12:N15))),4)</f>
        <v>1.0361</v>
      </c>
      <c r="V12" s="3179">
        <f>ROUND(IF([3]项目基本情况!B8="出让",SUMPRODUCT(PRODUCT(1+O12:O16)),SUMPRODUCT(PRODUCT(1+O12:O15))),4)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3.2">
      <c r="A13" s="3172" t="s">
        <v>2826</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ROUND(IF([3]项目基本情况!B8="出让",SUMPRODUCT(PRODUCT(1+K13:K16)),SUMPRODUCT(PRODUCT(1+K13:K15))),4)</f>
        <v>1.0244</v>
      </c>
      <c r="S13" s="3179">
        <f>ROUND(IF([3]项目基本情况!B8="出让",SUMPRODUCT(PRODUCT(1+L13:L16)),SUMPRODUCT(PRODUCT(1+L13:L15))),4)</f>
        <v>1.0138</v>
      </c>
      <c r="T13" s="3179">
        <f>ROUND(IF([3]项目基本情况!B8="出让",SUMPRODUCT(PRODUCT(1+M13:M16)),SUMPRODUCT(PRODUCT(1+M13:M15))),4)</f>
        <v>1.0072000000000001</v>
      </c>
      <c r="U13" s="3179">
        <f>ROUND(IF([3]项目基本情况!B8="出让",SUMPRODUCT(PRODUCT(1+N13:N16)),SUMPRODUCT(PRODUCT(1+N13:N15))),4)</f>
        <v>1.0262</v>
      </c>
      <c r="V13" s="3179">
        <f>ROUND(IF([3]项目基本情况!B8="出让",SUMPRODUCT(PRODUCT(1+O13:O16)),SUMPRODUCT(PRODUCT(1+O13:O15))),4)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3.2">
      <c r="A14" s="3172" t="s">
        <v>2827</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ROUND(IF([3]项目基本情况!B8="出让",SUMPRODUCT(PRODUCT(1+K14:K16)),SUMPRODUCT(PRODUCT(1+K14:K15))),4)</f>
        <v>1.0139</v>
      </c>
      <c r="S14" s="3179">
        <f>ROUND(IF([3]项目基本情况!B8="出让",SUMPRODUCT(PRODUCT(1+L14:L16)),SUMPRODUCT(PRODUCT(1+L14:L15))),4)</f>
        <v>1.0113000000000001</v>
      </c>
      <c r="T14" s="3179">
        <f>ROUND(IF([3]项目基本情况!B8="出让",SUMPRODUCT(PRODUCT(1+M14:M16)),SUMPRODUCT(PRODUCT(1+M14:M15))),4)</f>
        <v>1.0065</v>
      </c>
      <c r="U14" s="3179">
        <f>ROUND(IF([3]项目基本情况!B8="出让",SUMPRODUCT(PRODUCT(1+N14:N16)),SUMPRODUCT(PRODUCT(1+N14:N15))),4)</f>
        <v>1.0143</v>
      </c>
      <c r="V14" s="3179">
        <f>ROUND(IF([3]项目基本情况!B8="出让",SUMPRODUCT(PRODUCT(1+O14:O16)),SUMPRODUCT(PRODUCT(1+O14:O15))),4)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3.2">
      <c r="A15" s="3172" t="s">
        <v>2828</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ROUND(IF([3]项目基本情况!B8="出让",SUMPRODUCT(PRODUCT(1+K15:K16)),SUMPRODUCT(PRODUCT(1+K15:K15))),4)</f>
        <v>1.0092000000000001</v>
      </c>
      <c r="S15" s="3179">
        <f>ROUND(IF([3]项目基本情况!B8="出让",SUMPRODUCT(PRODUCT(1+L15:L16)),SUMPRODUCT(PRODUCT(1+L15:L15))),4)</f>
        <v>1.0072000000000001</v>
      </c>
      <c r="T15" s="3179">
        <f>ROUND(IF([3]项目基本情况!B8="出让",SUMPRODUCT(PRODUCT(1+M15:M16)),SUMPRODUCT(PRODUCT(1+M15:M15))),4)</f>
        <v>1.0041</v>
      </c>
      <c r="U15" s="3179">
        <f>ROUND(IF([3]项目基本情况!B8="出让",SUMPRODUCT(PRODUCT(1+N15:N16)),SUMPRODUCT(PRODUCT(1+N15:N15))),4)</f>
        <v>1.0095000000000001</v>
      </c>
      <c r="V15" s="3179">
        <f>ROUND(IF([3]项目基本情况!B8="出让",SUMPRODUCT(PRODUCT(1+O15:O16)),SUMPRODUCT(PRODUCT(1+O15:O15))),4)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ht="13.8" thickBot="1">
      <c r="A16" s="3193" t="s">
        <v>2829</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5" thickTop="1"/>
    <row r="18" spans="1:30" s="3005" customFormat="1">
      <c r="A18" s="3444" t="s">
        <v>3373</v>
      </c>
    </row>
    <row r="19" spans="1:30" s="3005" customFormat="1">
      <c r="I19" s="3204" t="s">
        <v>2830</v>
      </c>
    </row>
    <row r="20" spans="1:30" s="3005" customFormat="1"/>
    <row r="21" spans="1:30" s="3205" customFormat="1" ht="13.2">
      <c r="B21" s="3206" t="s">
        <v>2831</v>
      </c>
      <c r="C21" s="3207"/>
      <c r="D21" s="3207"/>
      <c r="E21" s="3207"/>
      <c r="F21" s="3207"/>
      <c r="G21" s="3207"/>
      <c r="H21" s="3207"/>
      <c r="I21" s="3207"/>
      <c r="J21" s="3161"/>
      <c r="K21" s="3207" t="s">
        <v>2832</v>
      </c>
      <c r="L21" s="3207"/>
      <c r="M21" s="3207"/>
      <c r="N21" s="3207"/>
      <c r="O21" s="3207"/>
      <c r="P21" s="3207"/>
      <c r="Q21" s="3161"/>
      <c r="R21" s="3801" t="s">
        <v>2833</v>
      </c>
      <c r="S21" s="3802"/>
      <c r="T21" s="3802"/>
      <c r="U21" s="3802"/>
      <c r="V21" s="3802"/>
      <c r="W21" s="3802"/>
      <c r="X21" s="3161"/>
      <c r="Y21" s="3801" t="s">
        <v>2834</v>
      </c>
      <c r="Z21" s="3802"/>
      <c r="AA21" s="3802"/>
      <c r="AB21" s="3802"/>
      <c r="AC21" s="3802"/>
      <c r="AD21" s="3802"/>
    </row>
    <row r="22" spans="1:30" s="3139" customFormat="1" ht="15" thickBot="1">
      <c r="B22" s="3140"/>
      <c r="C22" s="3141"/>
      <c r="D22" s="3142" t="s">
        <v>2835</v>
      </c>
      <c r="E22" s="3143" t="s">
        <v>2836</v>
      </c>
      <c r="F22" s="3143" t="s">
        <v>2837</v>
      </c>
      <c r="G22" s="3143" t="s">
        <v>2838</v>
      </c>
      <c r="H22" s="3143"/>
      <c r="I22" s="3143" t="s">
        <v>2839</v>
      </c>
      <c r="J22" s="3144"/>
      <c r="K22" s="3142" t="s">
        <v>2835</v>
      </c>
      <c r="L22" s="3143" t="s">
        <v>2836</v>
      </c>
      <c r="M22" s="3143" t="s">
        <v>2837</v>
      </c>
      <c r="N22" s="3143" t="s">
        <v>2838</v>
      </c>
      <c r="O22" s="3143"/>
      <c r="P22" s="3143" t="s">
        <v>2839</v>
      </c>
      <c r="Q22" s="3144"/>
      <c r="R22" s="3142" t="s">
        <v>2835</v>
      </c>
      <c r="S22" s="3143" t="s">
        <v>2836</v>
      </c>
      <c r="T22" s="3143" t="s">
        <v>2837</v>
      </c>
      <c r="U22" s="3143" t="s">
        <v>2838</v>
      </c>
      <c r="V22" s="3143"/>
      <c r="W22" s="3143" t="s">
        <v>2839</v>
      </c>
      <c r="X22" s="3144"/>
      <c r="Y22" s="3142" t="s">
        <v>2835</v>
      </c>
      <c r="Z22" s="3143" t="s">
        <v>2836</v>
      </c>
      <c r="AA22" s="3143" t="s">
        <v>2837</v>
      </c>
      <c r="AB22" s="3143" t="s">
        <v>2838</v>
      </c>
      <c r="AC22" s="3143"/>
      <c r="AD22" s="3143" t="s">
        <v>2839</v>
      </c>
    </row>
    <row r="23" spans="1:30" s="3157" customFormat="1" ht="13.2">
      <c r="A23" s="3145" t="s">
        <v>2840</v>
      </c>
      <c r="B23" s="3146"/>
      <c r="C23" s="3147"/>
      <c r="D23" s="3147"/>
      <c r="E23" s="3147">
        <f t="shared" ref="E23:G23" si="22">ROUND(AVERAGEIF(E24:E36,"&lt;&gt;0"),2)</f>
        <v>0.4</v>
      </c>
      <c r="F23" s="3147">
        <f t="shared" si="22"/>
        <v>0.26</v>
      </c>
      <c r="G23" s="3147">
        <f t="shared" si="22"/>
        <v>0.74</v>
      </c>
      <c r="H23" s="3147"/>
      <c r="I23" s="3147">
        <f>F23</f>
        <v>0.26</v>
      </c>
      <c r="J23" s="3148"/>
      <c r="K23" s="3149"/>
      <c r="L23" s="3150">
        <f t="shared" ref="L23:N23" si="23">ROUND(AVERAGEIF(L24:L36,"&lt;&gt;0"),4)</f>
        <v>4.0000000000000001E-3</v>
      </c>
      <c r="M23" s="3150">
        <f t="shared" si="23"/>
        <v>2.5999999999999999E-3</v>
      </c>
      <c r="N23" s="3150">
        <f t="shared" si="23"/>
        <v>7.4000000000000003E-3</v>
      </c>
      <c r="O23" s="3150"/>
      <c r="P23" s="3150">
        <f>M23</f>
        <v>2.5999999999999999E-3</v>
      </c>
      <c r="Q23" s="3148"/>
      <c r="R23" s="3151"/>
      <c r="S23" s="3152">
        <f>ROUND(SUMPRODUCT(PRODUCT(1+L24:L36)),4)</f>
        <v>1.0323</v>
      </c>
      <c r="T23" s="3152">
        <f t="shared" ref="T23:U23" si="24">ROUND(SUMPRODUCT(PRODUCT(1+M24:M36)),4)</f>
        <v>1.0213000000000001</v>
      </c>
      <c r="U23" s="3152">
        <f t="shared" si="24"/>
        <v>1.0609</v>
      </c>
      <c r="V23" s="3152"/>
      <c r="W23" s="3151">
        <f>T23</f>
        <v>1.0213000000000001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3.2">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3.2">
      <c r="A25" s="3172" t="s">
        <v>3376</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ROUND(IF([3]项目基本情况!$B$8="出让",SUMPRODUCT(PRODUCT(1+L25:L$36)),SUMPRODUCT(PRODUCT(1+L25:L$35))),4)</f>
        <v>1.0286999999999999</v>
      </c>
      <c r="T25" s="3179">
        <f>ROUND(IF([3]项目基本情况!$B$8="出让",SUMPRODUCT(PRODUCT(1+M25:M$36)),SUMPRODUCT(PRODUCT(1+M25:M$35))),4)</f>
        <v>1.0164</v>
      </c>
      <c r="U25" s="3179">
        <f>ROUND(IF([3]项目基本情况!$B$8="出让",SUMPRODUCT(PRODUCT(1+N25:N$36)),SUMPRODUCT(PRODUCT(1+N25:N$35))),4)</f>
        <v>1.0506</v>
      </c>
      <c r="V25" s="3179"/>
      <c r="W25" s="3179">
        <f>T25</f>
        <v>1.0164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3.2">
      <c r="A26" s="3172" t="s">
        <v>3377</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ROUND(IF([3]项目基本情况!$B$8="出让",SUMPRODUCT(PRODUCT(1+L26:L$36)),SUMPRODUCT(PRODUCT(1+L26:L$35))),4)</f>
        <v>1.0286999999999999</v>
      </c>
      <c r="T26" s="3179">
        <f>ROUND(IF([3]项目基本情况!$B$8="出让",SUMPRODUCT(PRODUCT(1+M26:M$36)),SUMPRODUCT(PRODUCT(1+M26:M$35))),4)</f>
        <v>1.0164</v>
      </c>
      <c r="U26" s="3179">
        <f>ROUND(IF([3]项目基本情况!$B$8="出让",SUMPRODUCT(PRODUCT(1+N26:N$36)),SUMPRODUCT(PRODUCT(1+N26:N$35))),4)</f>
        <v>1.0506</v>
      </c>
      <c r="V26" s="3179"/>
      <c r="W26" s="3179">
        <f t="shared" ref="W26:W28" si="32">T26</f>
        <v>1.0164</v>
      </c>
      <c r="X26" s="3177"/>
      <c r="Y26" s="3180"/>
      <c r="Z26" s="3208"/>
      <c r="AA26" s="3445"/>
      <c r="AB26" s="3445"/>
      <c r="AC26" s="3209"/>
      <c r="AD26" s="3180"/>
    </row>
    <row r="27" spans="1:30" s="3181" customFormat="1" ht="13.2">
      <c r="A27" s="3172" t="s">
        <v>3375</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ROUND(IF([3]项目基本情况!$B$8="出让",SUMPRODUCT(PRODUCT(1+L27:L$36)),SUMPRODUCT(PRODUCT(1+L27:L$35))),4)</f>
        <v>1.0286999999999999</v>
      </c>
      <c r="T27" s="3179">
        <f>ROUND(IF([3]项目基本情况!$B$8="出让",SUMPRODUCT(PRODUCT(1+M27:M$36)),SUMPRODUCT(PRODUCT(1+M27:M$35))),4)</f>
        <v>1.0164</v>
      </c>
      <c r="U27" s="3179">
        <f>ROUND(IF([3]项目基本情况!$B$8="出让",SUMPRODUCT(PRODUCT(1+N27:N$36)),SUMPRODUCT(PRODUCT(1+N27:N$35))),4)</f>
        <v>1.0506</v>
      </c>
      <c r="V27" s="3179"/>
      <c r="W27" s="3179">
        <f t="shared" si="32"/>
        <v>1.0164</v>
      </c>
      <c r="X27" s="3177"/>
      <c r="Y27" s="3180"/>
      <c r="Z27" s="3208"/>
      <c r="AA27" s="3445"/>
      <c r="AB27" s="3445"/>
      <c r="AC27" s="3209"/>
      <c r="AD27" s="3180"/>
    </row>
    <row r="28" spans="1:30" s="3181" customFormat="1" ht="13.2">
      <c r="A28" s="3172" t="s">
        <v>2823</v>
      </c>
      <c r="B28" s="3173">
        <v>2023</v>
      </c>
      <c r="C28" s="3174">
        <v>1</v>
      </c>
      <c r="D28" s="3175"/>
      <c r="E28" s="3175">
        <v>0</v>
      </c>
      <c r="F28" s="3175">
        <v>0</v>
      </c>
      <c r="G28" s="3175">
        <v>0</v>
      </c>
      <c r="H28" s="3192"/>
      <c r="I28" s="3176">
        <f t="shared" si="26"/>
        <v>0</v>
      </c>
      <c r="J28" s="3177"/>
      <c r="K28" s="3178"/>
      <c r="L28" s="3168">
        <f t="shared" si="28"/>
        <v>0</v>
      </c>
      <c r="M28" s="3168">
        <f t="shared" si="29"/>
        <v>0</v>
      </c>
      <c r="N28" s="3168">
        <f t="shared" si="30"/>
        <v>0</v>
      </c>
      <c r="O28" s="3168"/>
      <c r="P28" s="3168">
        <f t="shared" si="31"/>
        <v>0</v>
      </c>
      <c r="Q28" s="3177"/>
      <c r="R28" s="3179"/>
      <c r="S28" s="3179">
        <f>ROUND(IF([3]项目基本情况!$B$8="出让",SUMPRODUCT(PRODUCT(1+L28:L$36)),SUMPRODUCT(PRODUCT(1+L28:L$35))),4)</f>
        <v>1.0286999999999999</v>
      </c>
      <c r="T28" s="3179">
        <f>ROUND(IF([3]项目基本情况!$B$8="出让",SUMPRODUCT(PRODUCT(1+M28:M$36)),SUMPRODUCT(PRODUCT(1+M28:M$35))),4)</f>
        <v>1.0164</v>
      </c>
      <c r="U28" s="3179">
        <f>ROUND(IF([3]项目基本情况!$B$8="出让",SUMPRODUCT(PRODUCT(1+N28:N$36)),SUMPRODUCT(PRODUCT(1+N28:N$35))),4)</f>
        <v>1.0506</v>
      </c>
      <c r="V28" s="3179"/>
      <c r="W28" s="3179">
        <f t="shared" si="32"/>
        <v>1.0164</v>
      </c>
      <c r="X28" s="3177"/>
      <c r="Y28" s="3180"/>
      <c r="Z28" s="3208"/>
      <c r="AA28" s="3445"/>
      <c r="AB28" s="3445"/>
      <c r="AC28" s="3209"/>
      <c r="AD28" s="3180"/>
    </row>
    <row r="29" spans="1:30" s="3191" customFormat="1" ht="13.2">
      <c r="A29" s="3182" t="s">
        <v>3371</v>
      </c>
      <c r="B29" s="3183">
        <v>2022</v>
      </c>
      <c r="C29" s="3184">
        <v>4</v>
      </c>
      <c r="D29" s="3185"/>
      <c r="E29" s="3185">
        <v>0.45</v>
      </c>
      <c r="F29" s="3185">
        <v>0.2</v>
      </c>
      <c r="G29" s="3185">
        <v>0.38</v>
      </c>
      <c r="H29" s="3186"/>
      <c r="I29" s="3187">
        <f t="shared" si="26"/>
        <v>0.2</v>
      </c>
      <c r="J29" s="3188"/>
      <c r="K29" s="3189"/>
      <c r="L29" s="3190">
        <f t="shared" si="27"/>
        <v>4.5000000000000005E-3</v>
      </c>
      <c r="M29" s="3190">
        <f t="shared" si="27"/>
        <v>2E-3</v>
      </c>
      <c r="N29" s="3190">
        <f t="shared" si="27"/>
        <v>3.8E-3</v>
      </c>
      <c r="O29" s="3190"/>
      <c r="P29" s="3190">
        <f t="shared" ref="P29:P36" si="33">M29</f>
        <v>2E-3</v>
      </c>
      <c r="Q29" s="3188"/>
      <c r="R29" s="3188"/>
      <c r="S29" s="3188">
        <f>ROUND(IF([3]项目基本情况!$B$8="出让",SUMPRODUCT(PRODUCT(1+L29:L$36)),SUMPRODUCT(PRODUCT(1+L29:L$35))),4)</f>
        <v>1.0286999999999999</v>
      </c>
      <c r="T29" s="3188">
        <f>ROUND(IF([3]项目基本情况!$B$8="出让",SUMPRODUCT(PRODUCT(1+M29:M$36)),SUMPRODUCT(PRODUCT(1+M29:M$35))),4)</f>
        <v>1.0164</v>
      </c>
      <c r="U29" s="3188">
        <f>ROUND(IF([3]项目基本情况!$B$8="出让",SUMPRODUCT(PRODUCT(1+N29:N$36)),SUMPRODUCT(PRODUCT(1+N29:N$35))),4)</f>
        <v>1.0506</v>
      </c>
      <c r="V29" s="3188"/>
      <c r="W29" s="3188">
        <f t="shared" ref="W29:W36" si="34">T29</f>
        <v>1.0164</v>
      </c>
      <c r="X29" s="3188"/>
      <c r="Y29" s="3190"/>
      <c r="Z29" s="3211">
        <f t="shared" ref="Z29:AD36" si="35">IF(E29=0,0,ROUND(AVERAGE(E29:E37)/100,4))</f>
        <v>4.0000000000000001E-3</v>
      </c>
      <c r="AA29" s="3212">
        <f t="shared" si="35"/>
        <v>2.5999999999999999E-3</v>
      </c>
      <c r="AB29" s="3190">
        <f t="shared" si="35"/>
        <v>7.4000000000000003E-3</v>
      </c>
      <c r="AC29" s="3213"/>
      <c r="AD29" s="3190">
        <f t="shared" si="35"/>
        <v>2.5999999999999999E-3</v>
      </c>
    </row>
    <row r="30" spans="1:30" s="3181" customFormat="1" ht="13.2">
      <c r="A30" s="3172" t="s">
        <v>3372</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ROUND(IF([3]项目基本情况!$B$8="出让",SUMPRODUCT(PRODUCT(1+L30:L$36)),SUMPRODUCT(PRODUCT(1+L30:L$35))),4)</f>
        <v>1.0241</v>
      </c>
      <c r="T30" s="3179">
        <f>ROUND(IF([3]项目基本情况!$B$8="出让",SUMPRODUCT(PRODUCT(1+M30:M$36)),SUMPRODUCT(PRODUCT(1+M30:M$35))),4)</f>
        <v>1.0144</v>
      </c>
      <c r="U30" s="3179">
        <f>ROUND(IF([3]项目基本情况!$B$8="出让",SUMPRODUCT(PRODUCT(1+N30:N$36)),SUMPRODUCT(PRODUCT(1+N30:N$35))),4)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3.2">
      <c r="A31" s="3172" t="s">
        <v>3361</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ROUND(IF([3]项目基本情况!$B$8="出让",SUMPRODUCT(PRODUCT(1+L31:L$36)),SUMPRODUCT(PRODUCT(1+L31:L$35))),4)</f>
        <v>1.0210999999999999</v>
      </c>
      <c r="T31" s="3179">
        <f>ROUND(IF([3]项目基本情况!$B$8="出让",SUMPRODUCT(PRODUCT(1+M31:M$36)),SUMPRODUCT(PRODUCT(1+M31:M$35))),4)</f>
        <v>1.0114000000000001</v>
      </c>
      <c r="U31" s="3179">
        <f>ROUND(IF([3]项目基本情况!$B$8="出让",SUMPRODUCT(PRODUCT(1+N31:N$36)),SUMPRODUCT(PRODUCT(1+N31:N$35))),4)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3.2">
      <c r="A32" s="3172" t="s">
        <v>2841</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ROUND(IF([3]项目基本情况!$B$8="出让",SUMPRODUCT(PRODUCT(1+L32:L$36)),SUMPRODUCT(PRODUCT(1+L32:L$35))),4)</f>
        <v>1.0222</v>
      </c>
      <c r="T32" s="3179">
        <f>ROUND(IF([3]项目基本情况!$B$8="出让",SUMPRODUCT(PRODUCT(1+M32:M$36)),SUMPRODUCT(PRODUCT(1+M32:M$35))),4)</f>
        <v>1.0127999999999999</v>
      </c>
      <c r="U32" s="3179">
        <f>ROUND(IF([3]项目基本情况!$B$8="出让",SUMPRODUCT(PRODUCT(1+N32:N$36)),SUMPRODUCT(PRODUCT(1+N32:N$35))),4)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3.2">
      <c r="A33" s="3172" t="s">
        <v>2842</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ROUND(IF([3]项目基本情况!$B$8="出让",SUMPRODUCT(PRODUCT(1+L33:L$36)),SUMPRODUCT(PRODUCT(1+L33:L$35))),4)</f>
        <v>1.0161</v>
      </c>
      <c r="T33" s="3179">
        <f>ROUND(IF([3]项目基本情况!$B$8="出让",SUMPRODUCT(PRODUCT(1+M33:M$36)),SUMPRODUCT(PRODUCT(1+M33:M$35))),4)</f>
        <v>1.0082</v>
      </c>
      <c r="U33" s="3179">
        <f>ROUND(IF([3]项目基本情况!$B$8="出让",SUMPRODUCT(PRODUCT(1+N33:N$36)),SUMPRODUCT(PRODUCT(1+N33:N$35))),4)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3.2">
      <c r="A34" s="3172" t="s">
        <v>2843</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ROUND(IF([3]项目基本情况!$B$8="出让",SUMPRODUCT(PRODUCT(1+L34:L$36)),SUMPRODUCT(PRODUCT(1+L34:L$35))),4)</f>
        <v>1.0102</v>
      </c>
      <c r="T34" s="3179">
        <f>ROUND(IF([3]项目基本情况!$B$8="出让",SUMPRODUCT(PRODUCT(1+M34:M$36)),SUMPRODUCT(PRODUCT(1+M34:M$35))),4)</f>
        <v>1.0074000000000001</v>
      </c>
      <c r="U34" s="3179">
        <f>ROUND(IF([3]项目基本情况!$B$8="出让",SUMPRODUCT(PRODUCT(1+N34:N$36)),SUMPRODUCT(PRODUCT(1+N34:N$35))),4)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3.2">
      <c r="A35" s="3172" t="s">
        <v>2844</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ROUND(IF([3]项目基本情况!$B$8="出让",SUMPRODUCT(PRODUCT(1+L35:L$36)),SUMPRODUCT(PRODUCT(1+L35:L$35))),4)</f>
        <v>1.0055000000000001</v>
      </c>
      <c r="T35" s="3179">
        <f>ROUND(IF([3]项目基本情况!$B$8="出让",SUMPRODUCT(PRODUCT(1+M35:M$36)),SUMPRODUCT(PRODUCT(1+M35:M$35))),4)</f>
        <v>1.0045999999999999</v>
      </c>
      <c r="U35" s="3179">
        <f>ROUND(IF([3]项目基本情况!$B$8="出让",SUMPRODUCT(PRODUCT(1+N35:N$36)),SUMPRODUCT(PRODUCT(1+N35:N$35))),4)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ht="13.8" thickBot="1">
      <c r="A36" s="3193" t="s">
        <v>2829</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5" thickTop="1"/>
    <row r="38" spans="1:30">
      <c r="A38" s="3444"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88"/>
    <col min="2" max="6" width="9" style="2188" customWidth="1"/>
    <col min="7" max="7" width="9" style="2226"/>
    <col min="8" max="8" width="9" style="2188"/>
    <col min="9" max="12" width="9" style="2188" customWidth="1"/>
    <col min="13" max="13" width="2.21875" style="2188" customWidth="1"/>
    <col min="14" max="14" width="9" style="2226" customWidth="1"/>
    <col min="15" max="17" width="9" style="2188" customWidth="1"/>
    <col min="18" max="18" width="2.33203125" style="2188" customWidth="1"/>
    <col min="19" max="19" width="7.109375" style="2226" customWidth="1"/>
    <col min="20" max="22" width="7.109375" style="2188" customWidth="1"/>
    <col min="23" max="23" width="24.21875" style="2188" customWidth="1"/>
    <col min="24" max="25" width="9" style="2188"/>
    <col min="26" max="27" width="11.6640625" style="2188" customWidth="1"/>
    <col min="28" max="28" width="9" style="2188"/>
    <col min="29" max="29" width="2" style="2188" customWidth="1"/>
    <col min="30" max="16384" width="9" style="2188"/>
  </cols>
  <sheetData>
    <row r="1" spans="1:34" s="2167" customFormat="1">
      <c r="B1" s="3808" t="s">
        <v>452</v>
      </c>
      <c r="C1" s="3808"/>
      <c r="D1" s="3808"/>
      <c r="E1" s="3808"/>
      <c r="F1" s="3808"/>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68" customFormat="1" ht="1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4">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4">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3369</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3366</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3367</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3368</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2439</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2316</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2315</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2314</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2312</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2311</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8"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8"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6">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6"/>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6"/>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3"/>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09">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6"/>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6"/>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3"/>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09">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6"/>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6"/>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8"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7"/>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8" thickBot="1">
      <c r="A33" s="2201" t="s">
        <v>124</v>
      </c>
      <c r="B33" s="2216">
        <v>333</v>
      </c>
      <c r="C33" s="2216">
        <v>277</v>
      </c>
      <c r="D33" s="2216">
        <f t="shared" si="246"/>
        <v>277</v>
      </c>
      <c r="E33" s="2216">
        <v>459</v>
      </c>
      <c r="F33" s="2217">
        <v>249</v>
      </c>
      <c r="G33" s="3805">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6"/>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6"/>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7"/>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8" thickBot="1">
      <c r="A37" s="2201" t="s">
        <v>120</v>
      </c>
      <c r="B37" s="2230">
        <v>318</v>
      </c>
      <c r="C37" s="2230">
        <v>268</v>
      </c>
      <c r="D37" s="2230">
        <f t="shared" si="246"/>
        <v>268</v>
      </c>
      <c r="E37" s="2230">
        <v>437</v>
      </c>
      <c r="F37" s="2231">
        <v>237</v>
      </c>
      <c r="G37" s="3805">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6"/>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8"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6"/>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8"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7"/>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8" thickBot="1">
      <c r="A41" s="2201" t="s">
        <v>465</v>
      </c>
      <c r="B41" s="2216">
        <v>299</v>
      </c>
      <c r="C41" s="2216">
        <v>252</v>
      </c>
      <c r="D41" s="2216">
        <f t="shared" si="246"/>
        <v>252</v>
      </c>
      <c r="E41" s="2216">
        <v>409</v>
      </c>
      <c r="F41" s="2217">
        <v>227</v>
      </c>
      <c r="G41" s="3810">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11"/>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11"/>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12"/>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8" thickBot="1">
      <c r="A45" s="2201" t="s">
        <v>469</v>
      </c>
      <c r="B45" s="2251">
        <v>278</v>
      </c>
      <c r="C45" s="2251">
        <v>234</v>
      </c>
      <c r="D45" s="2251">
        <f t="shared" si="246"/>
        <v>234</v>
      </c>
      <c r="E45" s="2251">
        <v>379</v>
      </c>
      <c r="F45" s="2252">
        <v>220</v>
      </c>
      <c r="G45" s="3805">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6"/>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6"/>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8" thickBot="1">
      <c r="A48" s="2201" t="s">
        <v>472</v>
      </c>
      <c r="B48" s="2202">
        <f>B47/(1+N47)</f>
        <v>275.19025476197027</v>
      </c>
      <c r="C48" s="2253">
        <v>232</v>
      </c>
      <c r="D48" s="2253">
        <f t="shared" si="246"/>
        <v>232</v>
      </c>
      <c r="E48" s="2202">
        <f t="shared" si="257"/>
        <v>375.65990977608692</v>
      </c>
      <c r="F48" s="2202">
        <f t="shared" si="257"/>
        <v>214.12518283971252</v>
      </c>
      <c r="G48" s="3807"/>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8" thickBot="1">
      <c r="A49" s="2201" t="s">
        <v>473</v>
      </c>
      <c r="B49" s="2216">
        <v>275</v>
      </c>
      <c r="C49" s="2216">
        <v>232</v>
      </c>
      <c r="D49" s="2216">
        <f t="shared" si="246"/>
        <v>232</v>
      </c>
      <c r="E49" s="2216">
        <v>376</v>
      </c>
      <c r="F49" s="2217">
        <v>213</v>
      </c>
      <c r="G49" s="3805">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6">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6">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8"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7">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8" thickBot="1">
      <c r="A53" s="2201" t="s">
        <v>477</v>
      </c>
      <c r="B53" s="2216">
        <v>269</v>
      </c>
      <c r="C53" s="2216">
        <v>221</v>
      </c>
      <c r="D53" s="2216">
        <f t="shared" si="246"/>
        <v>221</v>
      </c>
      <c r="E53" s="2216">
        <v>373</v>
      </c>
      <c r="F53" s="2217">
        <v>196</v>
      </c>
      <c r="G53" s="3805">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6">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6">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8"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7">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8" thickBot="1">
      <c r="A57" s="2201" t="s">
        <v>481</v>
      </c>
      <c r="B57" s="2216">
        <v>220</v>
      </c>
      <c r="C57" s="2216">
        <v>187</v>
      </c>
      <c r="D57" s="2216">
        <f t="shared" si="246"/>
        <v>187</v>
      </c>
      <c r="E57" s="2216">
        <v>301</v>
      </c>
      <c r="F57" s="2217">
        <v>168</v>
      </c>
      <c r="G57" s="3805">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6">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6">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7">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8" thickBot="1">
      <c r="A61" s="2201" t="s">
        <v>485</v>
      </c>
      <c r="B61" s="2251">
        <v>214</v>
      </c>
      <c r="C61" s="2251">
        <v>188</v>
      </c>
      <c r="D61" s="2251">
        <f t="shared" si="246"/>
        <v>188</v>
      </c>
      <c r="E61" s="2251">
        <v>289</v>
      </c>
      <c r="F61" s="2252">
        <v>166</v>
      </c>
      <c r="G61" s="3805">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6">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6">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8"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7">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8" thickBot="1">
      <c r="A65" s="2201" t="s">
        <v>489</v>
      </c>
      <c r="B65" s="2216">
        <v>188</v>
      </c>
      <c r="C65" s="2216">
        <v>165</v>
      </c>
      <c r="D65" s="2216">
        <f t="shared" si="246"/>
        <v>165</v>
      </c>
      <c r="E65" s="2216">
        <v>254</v>
      </c>
      <c r="F65" s="2217">
        <v>148</v>
      </c>
      <c r="G65" s="3805">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6">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6">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7">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8" thickBot="1">
      <c r="A69" s="2201" t="s">
        <v>493</v>
      </c>
      <c r="B69" s="2230">
        <v>159</v>
      </c>
      <c r="C69" s="2230">
        <v>141</v>
      </c>
      <c r="D69" s="2230">
        <f t="shared" si="246"/>
        <v>141</v>
      </c>
      <c r="E69" s="2230">
        <v>195</v>
      </c>
      <c r="F69" s="2231">
        <v>122</v>
      </c>
      <c r="G69" s="3805">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6">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6">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7">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8" thickBot="1">
      <c r="A73" s="2201" t="s">
        <v>497</v>
      </c>
      <c r="B73" s="2230">
        <v>138</v>
      </c>
      <c r="C73" s="2230">
        <v>131</v>
      </c>
      <c r="D73" s="2230">
        <f t="shared" si="246"/>
        <v>131</v>
      </c>
      <c r="E73" s="2230">
        <v>155</v>
      </c>
      <c r="F73" s="2231">
        <v>114</v>
      </c>
      <c r="G73" s="3805">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6">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6">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7">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8" thickBot="1">
      <c r="A77" s="2201" t="s">
        <v>501</v>
      </c>
      <c r="B77" s="2251">
        <v>121</v>
      </c>
      <c r="C77" s="2251">
        <v>122</v>
      </c>
      <c r="D77" s="2251">
        <f t="shared" si="246"/>
        <v>122</v>
      </c>
      <c r="E77" s="2251">
        <v>124</v>
      </c>
      <c r="F77" s="2252">
        <v>107</v>
      </c>
      <c r="G77" s="3805">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6">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6">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8"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7">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8" thickBot="1">
      <c r="A81" s="2201" t="s">
        <v>505</v>
      </c>
      <c r="B81" s="2271">
        <v>111</v>
      </c>
      <c r="C81" s="2271">
        <v>114</v>
      </c>
      <c r="D81" s="2271">
        <f t="shared" si="246"/>
        <v>114</v>
      </c>
      <c r="E81" s="2271">
        <v>108</v>
      </c>
      <c r="F81" s="2272">
        <v>104</v>
      </c>
      <c r="G81" s="3805">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6">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6">
        <v>2003</v>
      </c>
      <c r="H83" s="2214">
        <v>2</v>
      </c>
      <c r="I83" s="2273"/>
      <c r="J83" s="2273"/>
      <c r="K83" s="2273"/>
      <c r="L83" s="2273"/>
      <c r="X83" s="2265"/>
      <c r="Y83" s="2265"/>
      <c r="Z83" s="2265"/>
    </row>
    <row r="84" spans="1:26" ht="13.8" thickBot="1">
      <c r="A84" s="2201" t="s">
        <v>508</v>
      </c>
      <c r="B84" s="2275">
        <f t="shared" si="282"/>
        <v>107.25</v>
      </c>
      <c r="C84" s="2275">
        <f t="shared" si="282"/>
        <v>108.75</v>
      </c>
      <c r="D84" s="2275">
        <f t="shared" si="246"/>
        <v>108.75</v>
      </c>
      <c r="E84" s="2275">
        <f t="shared" si="283"/>
        <v>105.75</v>
      </c>
      <c r="F84" s="2275">
        <f t="shared" si="283"/>
        <v>102.5</v>
      </c>
      <c r="G84" s="3807">
        <v>2003</v>
      </c>
      <c r="H84" s="2276">
        <v>1</v>
      </c>
      <c r="I84" s="2273"/>
      <c r="J84" s="2273"/>
      <c r="K84" s="2273"/>
      <c r="L84" s="2273"/>
      <c r="S84" s="2204"/>
      <c r="T84" s="2189"/>
      <c r="U84" s="2189"/>
      <c r="X84" s="2265"/>
      <c r="Y84" s="2265"/>
      <c r="Z84" s="2265"/>
    </row>
    <row r="85" spans="1:26" ht="13.8" thickBot="1">
      <c r="A85" s="2201" t="s">
        <v>509</v>
      </c>
      <c r="B85" s="2277">
        <v>106</v>
      </c>
      <c r="C85" s="2277">
        <v>107</v>
      </c>
      <c r="D85" s="2277">
        <f t="shared" si="246"/>
        <v>107</v>
      </c>
      <c r="E85" s="2277">
        <v>105</v>
      </c>
      <c r="F85" s="2278">
        <v>102</v>
      </c>
      <c r="G85" s="3805">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6">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6">
        <v>2002</v>
      </c>
      <c r="H87" s="2214">
        <v>2</v>
      </c>
      <c r="I87" s="2273"/>
      <c r="J87" s="2273"/>
      <c r="K87" s="2273"/>
      <c r="L87" s="2273"/>
      <c r="X87" s="2265"/>
      <c r="Y87" s="2265"/>
      <c r="Z87" s="2265"/>
    </row>
    <row r="88" spans="1:26" s="2238" customFormat="1" ht="13.8" thickBot="1">
      <c r="A88" s="2234" t="s">
        <v>512</v>
      </c>
      <c r="B88" s="2241">
        <f t="shared" si="284"/>
        <v>103</v>
      </c>
      <c r="C88" s="2241">
        <f t="shared" si="284"/>
        <v>104</v>
      </c>
      <c r="D88" s="2241">
        <f t="shared" si="246"/>
        <v>104</v>
      </c>
      <c r="E88" s="2241">
        <f t="shared" si="285"/>
        <v>103.5</v>
      </c>
      <c r="F88" s="2241">
        <f t="shared" si="285"/>
        <v>100.5</v>
      </c>
      <c r="G88" s="3807">
        <v>2002</v>
      </c>
      <c r="H88" s="2279">
        <v>1</v>
      </c>
      <c r="I88" s="2280"/>
      <c r="J88" s="2280"/>
      <c r="K88" s="2280"/>
      <c r="L88" s="2280"/>
      <c r="N88" s="2281"/>
      <c r="S88" s="2281"/>
      <c r="X88" s="2282"/>
      <c r="Y88" s="2282"/>
      <c r="Z88" s="2282"/>
    </row>
    <row r="89" spans="1:26" ht="13.8"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8"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8"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4.4"/>
  <cols>
    <col min="1" max="1" width="4.88671875" style="1238" customWidth="1"/>
    <col min="2" max="2" width="13.21875" style="1244" customWidth="1"/>
    <col min="3" max="3" width="15.6640625" style="1244" customWidth="1"/>
    <col min="4" max="4" width="9.33203125" style="1244" bestFit="1" customWidth="1"/>
    <col min="5" max="5" width="13.44140625" style="1244" customWidth="1"/>
    <col min="6" max="6" width="9" style="1244"/>
    <col min="7" max="7" width="9.33203125" style="1244" bestFit="1" customWidth="1"/>
    <col min="8" max="8" width="12.21875" style="1244" customWidth="1"/>
    <col min="9" max="9" width="9" style="1244"/>
    <col min="10" max="10" width="9.33203125" style="1244" bestFit="1" customWidth="1"/>
    <col min="11" max="11" width="4" style="1238" customWidth="1"/>
    <col min="12" max="12" width="5.109375" style="1244" customWidth="1"/>
    <col min="13" max="13" width="13.77734375" style="1244" customWidth="1"/>
    <col min="14" max="256" width="9" style="1244"/>
    <col min="257" max="257" width="4.88671875" style="1235" customWidth="1"/>
    <col min="258" max="258" width="13.21875" style="1235" customWidth="1"/>
    <col min="259" max="259" width="15.6640625" style="1235" customWidth="1"/>
    <col min="260" max="260" width="9.33203125" style="1235" bestFit="1" customWidth="1"/>
    <col min="261" max="261" width="13.44140625" style="1235" customWidth="1"/>
    <col min="262" max="262" width="9" style="1235"/>
    <col min="263" max="263" width="9.33203125" style="1235" bestFit="1" customWidth="1"/>
    <col min="264" max="265" width="9" style="1235"/>
    <col min="266" max="266" width="9.33203125" style="1235" bestFit="1" customWidth="1"/>
    <col min="267" max="267" width="4" style="1235" customWidth="1"/>
    <col min="268" max="268" width="5.109375" style="1235" customWidth="1"/>
    <col min="269" max="269" width="13.77734375" style="1235" customWidth="1"/>
    <col min="270" max="512" width="9" style="1235"/>
    <col min="513" max="513" width="4.88671875" style="1235" customWidth="1"/>
    <col min="514" max="514" width="13.21875" style="1235" customWidth="1"/>
    <col min="515" max="515" width="15.6640625" style="1235" customWidth="1"/>
    <col min="516" max="516" width="9.33203125" style="1235" bestFit="1" customWidth="1"/>
    <col min="517" max="517" width="13.44140625" style="1235" customWidth="1"/>
    <col min="518" max="518" width="9" style="1235"/>
    <col min="519" max="519" width="9.33203125" style="1235" bestFit="1" customWidth="1"/>
    <col min="520" max="521" width="9" style="1235"/>
    <col min="522" max="522" width="9.33203125" style="1235" bestFit="1" customWidth="1"/>
    <col min="523" max="523" width="4" style="1235" customWidth="1"/>
    <col min="524" max="524" width="5.109375" style="1235" customWidth="1"/>
    <col min="525" max="525" width="13.77734375" style="1235" customWidth="1"/>
    <col min="526" max="768" width="9" style="1235"/>
    <col min="769" max="769" width="4.88671875" style="1235" customWidth="1"/>
    <col min="770" max="770" width="13.21875" style="1235" customWidth="1"/>
    <col min="771" max="771" width="15.6640625" style="1235" customWidth="1"/>
    <col min="772" max="772" width="9.33203125" style="1235" bestFit="1" customWidth="1"/>
    <col min="773" max="773" width="13.44140625" style="1235" customWidth="1"/>
    <col min="774" max="774" width="9" style="1235"/>
    <col min="775" max="775" width="9.33203125" style="1235" bestFit="1" customWidth="1"/>
    <col min="776" max="777" width="9" style="1235"/>
    <col min="778" max="778" width="9.33203125" style="1235" bestFit="1" customWidth="1"/>
    <col min="779" max="779" width="4" style="1235" customWidth="1"/>
    <col min="780" max="780" width="5.109375" style="1235" customWidth="1"/>
    <col min="781" max="781" width="13.77734375" style="1235" customWidth="1"/>
    <col min="782" max="1024" width="9" style="1235"/>
    <col min="1025" max="1025" width="4.88671875" style="1235" customWidth="1"/>
    <col min="1026" max="1026" width="13.21875" style="1235" customWidth="1"/>
    <col min="1027" max="1027" width="15.6640625" style="1235" customWidth="1"/>
    <col min="1028" max="1028" width="9.33203125" style="1235" bestFit="1" customWidth="1"/>
    <col min="1029" max="1029" width="13.44140625" style="1235" customWidth="1"/>
    <col min="1030" max="1030" width="9" style="1235"/>
    <col min="1031" max="1031" width="9.33203125" style="1235" bestFit="1" customWidth="1"/>
    <col min="1032" max="1033" width="9" style="1235"/>
    <col min="1034" max="1034" width="9.33203125" style="1235" bestFit="1" customWidth="1"/>
    <col min="1035" max="1035" width="4" style="1235" customWidth="1"/>
    <col min="1036" max="1036" width="5.109375" style="1235" customWidth="1"/>
    <col min="1037" max="1037" width="13.77734375" style="1235" customWidth="1"/>
    <col min="1038" max="1280" width="9" style="1235"/>
    <col min="1281" max="1281" width="4.88671875" style="1235" customWidth="1"/>
    <col min="1282" max="1282" width="13.21875" style="1235" customWidth="1"/>
    <col min="1283" max="1283" width="15.6640625" style="1235" customWidth="1"/>
    <col min="1284" max="1284" width="9.33203125" style="1235" bestFit="1" customWidth="1"/>
    <col min="1285" max="1285" width="13.44140625" style="1235" customWidth="1"/>
    <col min="1286" max="1286" width="9" style="1235"/>
    <col min="1287" max="1287" width="9.33203125" style="1235" bestFit="1" customWidth="1"/>
    <col min="1288" max="1289" width="9" style="1235"/>
    <col min="1290" max="1290" width="9.33203125" style="1235" bestFit="1" customWidth="1"/>
    <col min="1291" max="1291" width="4" style="1235" customWidth="1"/>
    <col min="1292" max="1292" width="5.109375" style="1235" customWidth="1"/>
    <col min="1293" max="1293" width="13.77734375" style="1235" customWidth="1"/>
    <col min="1294" max="1536" width="9" style="1235"/>
    <col min="1537" max="1537" width="4.88671875" style="1235" customWidth="1"/>
    <col min="1538" max="1538" width="13.21875" style="1235" customWidth="1"/>
    <col min="1539" max="1539" width="15.6640625" style="1235" customWidth="1"/>
    <col min="1540" max="1540" width="9.33203125" style="1235" bestFit="1" customWidth="1"/>
    <col min="1541" max="1541" width="13.44140625" style="1235" customWidth="1"/>
    <col min="1542" max="1542" width="9" style="1235"/>
    <col min="1543" max="1543" width="9.33203125" style="1235" bestFit="1" customWidth="1"/>
    <col min="1544" max="1545" width="9" style="1235"/>
    <col min="1546" max="1546" width="9.33203125" style="1235" bestFit="1" customWidth="1"/>
    <col min="1547" max="1547" width="4" style="1235" customWidth="1"/>
    <col min="1548" max="1548" width="5.109375" style="1235" customWidth="1"/>
    <col min="1549" max="1549" width="13.77734375" style="1235" customWidth="1"/>
    <col min="1550" max="1792" width="9" style="1235"/>
    <col min="1793" max="1793" width="4.88671875" style="1235" customWidth="1"/>
    <col min="1794" max="1794" width="13.21875" style="1235" customWidth="1"/>
    <col min="1795" max="1795" width="15.6640625" style="1235" customWidth="1"/>
    <col min="1796" max="1796" width="9.33203125" style="1235" bestFit="1" customWidth="1"/>
    <col min="1797" max="1797" width="13.44140625" style="1235" customWidth="1"/>
    <col min="1798" max="1798" width="9" style="1235"/>
    <col min="1799" max="1799" width="9.33203125" style="1235" bestFit="1" customWidth="1"/>
    <col min="1800" max="1801" width="9" style="1235"/>
    <col min="1802" max="1802" width="9.33203125" style="1235" bestFit="1" customWidth="1"/>
    <col min="1803" max="1803" width="4" style="1235" customWidth="1"/>
    <col min="1804" max="1804" width="5.109375" style="1235" customWidth="1"/>
    <col min="1805" max="1805" width="13.77734375" style="1235" customWidth="1"/>
    <col min="1806" max="2048" width="9" style="1235"/>
    <col min="2049" max="2049" width="4.88671875" style="1235" customWidth="1"/>
    <col min="2050" max="2050" width="13.21875" style="1235" customWidth="1"/>
    <col min="2051" max="2051" width="15.6640625" style="1235" customWidth="1"/>
    <col min="2052" max="2052" width="9.33203125" style="1235" bestFit="1" customWidth="1"/>
    <col min="2053" max="2053" width="13.44140625" style="1235" customWidth="1"/>
    <col min="2054" max="2054" width="9" style="1235"/>
    <col min="2055" max="2055" width="9.33203125" style="1235" bestFit="1" customWidth="1"/>
    <col min="2056" max="2057" width="9" style="1235"/>
    <col min="2058" max="2058" width="9.33203125" style="1235" bestFit="1" customWidth="1"/>
    <col min="2059" max="2059" width="4" style="1235" customWidth="1"/>
    <col min="2060" max="2060" width="5.109375" style="1235" customWidth="1"/>
    <col min="2061" max="2061" width="13.77734375" style="1235" customWidth="1"/>
    <col min="2062" max="2304" width="9" style="1235"/>
    <col min="2305" max="2305" width="4.88671875" style="1235" customWidth="1"/>
    <col min="2306" max="2306" width="13.21875" style="1235" customWidth="1"/>
    <col min="2307" max="2307" width="15.6640625" style="1235" customWidth="1"/>
    <col min="2308" max="2308" width="9.33203125" style="1235" bestFit="1" customWidth="1"/>
    <col min="2309" max="2309" width="13.44140625" style="1235" customWidth="1"/>
    <col min="2310" max="2310" width="9" style="1235"/>
    <col min="2311" max="2311" width="9.33203125" style="1235" bestFit="1" customWidth="1"/>
    <col min="2312" max="2313" width="9" style="1235"/>
    <col min="2314" max="2314" width="9.33203125" style="1235" bestFit="1" customWidth="1"/>
    <col min="2315" max="2315" width="4" style="1235" customWidth="1"/>
    <col min="2316" max="2316" width="5.109375" style="1235" customWidth="1"/>
    <col min="2317" max="2317" width="13.77734375" style="1235" customWidth="1"/>
    <col min="2318" max="2560" width="9" style="1235"/>
    <col min="2561" max="2561" width="4.88671875" style="1235" customWidth="1"/>
    <col min="2562" max="2562" width="13.21875" style="1235" customWidth="1"/>
    <col min="2563" max="2563" width="15.6640625" style="1235" customWidth="1"/>
    <col min="2564" max="2564" width="9.33203125" style="1235" bestFit="1" customWidth="1"/>
    <col min="2565" max="2565" width="13.44140625" style="1235" customWidth="1"/>
    <col min="2566" max="2566" width="9" style="1235"/>
    <col min="2567" max="2567" width="9.33203125" style="1235" bestFit="1" customWidth="1"/>
    <col min="2568" max="2569" width="9" style="1235"/>
    <col min="2570" max="2570" width="9.33203125" style="1235" bestFit="1" customWidth="1"/>
    <col min="2571" max="2571" width="4" style="1235" customWidth="1"/>
    <col min="2572" max="2572" width="5.109375" style="1235" customWidth="1"/>
    <col min="2573" max="2573" width="13.77734375" style="1235" customWidth="1"/>
    <col min="2574" max="2816" width="9" style="1235"/>
    <col min="2817" max="2817" width="4.88671875" style="1235" customWidth="1"/>
    <col min="2818" max="2818" width="13.21875" style="1235" customWidth="1"/>
    <col min="2819" max="2819" width="15.6640625" style="1235" customWidth="1"/>
    <col min="2820" max="2820" width="9.33203125" style="1235" bestFit="1" customWidth="1"/>
    <col min="2821" max="2821" width="13.44140625" style="1235" customWidth="1"/>
    <col min="2822" max="2822" width="9" style="1235"/>
    <col min="2823" max="2823" width="9.33203125" style="1235" bestFit="1" customWidth="1"/>
    <col min="2824" max="2825" width="9" style="1235"/>
    <col min="2826" max="2826" width="9.33203125" style="1235" bestFit="1" customWidth="1"/>
    <col min="2827" max="2827" width="4" style="1235" customWidth="1"/>
    <col min="2828" max="2828" width="5.109375" style="1235" customWidth="1"/>
    <col min="2829" max="2829" width="13.77734375" style="1235" customWidth="1"/>
    <col min="2830" max="3072" width="9" style="1235"/>
    <col min="3073" max="3073" width="4.88671875" style="1235" customWidth="1"/>
    <col min="3074" max="3074" width="13.21875" style="1235" customWidth="1"/>
    <col min="3075" max="3075" width="15.6640625" style="1235" customWidth="1"/>
    <col min="3076" max="3076" width="9.33203125" style="1235" bestFit="1" customWidth="1"/>
    <col min="3077" max="3077" width="13.44140625" style="1235" customWidth="1"/>
    <col min="3078" max="3078" width="9" style="1235"/>
    <col min="3079" max="3079" width="9.33203125" style="1235" bestFit="1" customWidth="1"/>
    <col min="3080" max="3081" width="9" style="1235"/>
    <col min="3082" max="3082" width="9.33203125" style="1235" bestFit="1" customWidth="1"/>
    <col min="3083" max="3083" width="4" style="1235" customWidth="1"/>
    <col min="3084" max="3084" width="5.109375" style="1235" customWidth="1"/>
    <col min="3085" max="3085" width="13.77734375" style="1235" customWidth="1"/>
    <col min="3086" max="3328" width="9" style="1235"/>
    <col min="3329" max="3329" width="4.88671875" style="1235" customWidth="1"/>
    <col min="3330" max="3330" width="13.21875" style="1235" customWidth="1"/>
    <col min="3331" max="3331" width="15.6640625" style="1235" customWidth="1"/>
    <col min="3332" max="3332" width="9.33203125" style="1235" bestFit="1" customWidth="1"/>
    <col min="3333" max="3333" width="13.44140625" style="1235" customWidth="1"/>
    <col min="3334" max="3334" width="9" style="1235"/>
    <col min="3335" max="3335" width="9.33203125" style="1235" bestFit="1" customWidth="1"/>
    <col min="3336" max="3337" width="9" style="1235"/>
    <col min="3338" max="3338" width="9.33203125" style="1235" bestFit="1" customWidth="1"/>
    <col min="3339" max="3339" width="4" style="1235" customWidth="1"/>
    <col min="3340" max="3340" width="5.109375" style="1235" customWidth="1"/>
    <col min="3341" max="3341" width="13.77734375" style="1235" customWidth="1"/>
    <col min="3342" max="3584" width="9" style="1235"/>
    <col min="3585" max="3585" width="4.88671875" style="1235" customWidth="1"/>
    <col min="3586" max="3586" width="13.21875" style="1235" customWidth="1"/>
    <col min="3587" max="3587" width="15.6640625" style="1235" customWidth="1"/>
    <col min="3588" max="3588" width="9.33203125" style="1235" bestFit="1" customWidth="1"/>
    <col min="3589" max="3589" width="13.44140625" style="1235" customWidth="1"/>
    <col min="3590" max="3590" width="9" style="1235"/>
    <col min="3591" max="3591" width="9.33203125" style="1235" bestFit="1" customWidth="1"/>
    <col min="3592" max="3593" width="9" style="1235"/>
    <col min="3594" max="3594" width="9.33203125" style="1235" bestFit="1" customWidth="1"/>
    <col min="3595" max="3595" width="4" style="1235" customWidth="1"/>
    <col min="3596" max="3596" width="5.109375" style="1235" customWidth="1"/>
    <col min="3597" max="3597" width="13.77734375" style="1235" customWidth="1"/>
    <col min="3598" max="3840" width="9" style="1235"/>
    <col min="3841" max="3841" width="4.88671875" style="1235" customWidth="1"/>
    <col min="3842" max="3842" width="13.21875" style="1235" customWidth="1"/>
    <col min="3843" max="3843" width="15.6640625" style="1235" customWidth="1"/>
    <col min="3844" max="3844" width="9.33203125" style="1235" bestFit="1" customWidth="1"/>
    <col min="3845" max="3845" width="13.44140625" style="1235" customWidth="1"/>
    <col min="3846" max="3846" width="9" style="1235"/>
    <col min="3847" max="3847" width="9.33203125" style="1235" bestFit="1" customWidth="1"/>
    <col min="3848" max="3849" width="9" style="1235"/>
    <col min="3850" max="3850" width="9.33203125" style="1235" bestFit="1" customWidth="1"/>
    <col min="3851" max="3851" width="4" style="1235" customWidth="1"/>
    <col min="3852" max="3852" width="5.109375" style="1235" customWidth="1"/>
    <col min="3853" max="3853" width="13.77734375" style="1235" customWidth="1"/>
    <col min="3854" max="4096" width="9" style="1235"/>
    <col min="4097" max="4097" width="4.88671875" style="1235" customWidth="1"/>
    <col min="4098" max="4098" width="13.21875" style="1235" customWidth="1"/>
    <col min="4099" max="4099" width="15.6640625" style="1235" customWidth="1"/>
    <col min="4100" max="4100" width="9.33203125" style="1235" bestFit="1" customWidth="1"/>
    <col min="4101" max="4101" width="13.44140625" style="1235" customWidth="1"/>
    <col min="4102" max="4102" width="9" style="1235"/>
    <col min="4103" max="4103" width="9.33203125" style="1235" bestFit="1" customWidth="1"/>
    <col min="4104" max="4105" width="9" style="1235"/>
    <col min="4106" max="4106" width="9.33203125" style="1235" bestFit="1" customWidth="1"/>
    <col min="4107" max="4107" width="4" style="1235" customWidth="1"/>
    <col min="4108" max="4108" width="5.109375" style="1235" customWidth="1"/>
    <col min="4109" max="4109" width="13.77734375" style="1235" customWidth="1"/>
    <col min="4110" max="4352" width="9" style="1235"/>
    <col min="4353" max="4353" width="4.88671875" style="1235" customWidth="1"/>
    <col min="4354" max="4354" width="13.21875" style="1235" customWidth="1"/>
    <col min="4355" max="4355" width="15.6640625" style="1235" customWidth="1"/>
    <col min="4356" max="4356" width="9.33203125" style="1235" bestFit="1" customWidth="1"/>
    <col min="4357" max="4357" width="13.44140625" style="1235" customWidth="1"/>
    <col min="4358" max="4358" width="9" style="1235"/>
    <col min="4359" max="4359" width="9.33203125" style="1235" bestFit="1" customWidth="1"/>
    <col min="4360" max="4361" width="9" style="1235"/>
    <col min="4362" max="4362" width="9.33203125" style="1235" bestFit="1" customWidth="1"/>
    <col min="4363" max="4363" width="4" style="1235" customWidth="1"/>
    <col min="4364" max="4364" width="5.109375" style="1235" customWidth="1"/>
    <col min="4365" max="4365" width="13.77734375" style="1235" customWidth="1"/>
    <col min="4366" max="4608" width="9" style="1235"/>
    <col min="4609" max="4609" width="4.88671875" style="1235" customWidth="1"/>
    <col min="4610" max="4610" width="13.21875" style="1235" customWidth="1"/>
    <col min="4611" max="4611" width="15.6640625" style="1235" customWidth="1"/>
    <col min="4612" max="4612" width="9.33203125" style="1235" bestFit="1" customWidth="1"/>
    <col min="4613" max="4613" width="13.44140625" style="1235" customWidth="1"/>
    <col min="4614" max="4614" width="9" style="1235"/>
    <col min="4615" max="4615" width="9.33203125" style="1235" bestFit="1" customWidth="1"/>
    <col min="4616" max="4617" width="9" style="1235"/>
    <col min="4618" max="4618" width="9.33203125" style="1235" bestFit="1" customWidth="1"/>
    <col min="4619" max="4619" width="4" style="1235" customWidth="1"/>
    <col min="4620" max="4620" width="5.109375" style="1235" customWidth="1"/>
    <col min="4621" max="4621" width="13.77734375" style="1235" customWidth="1"/>
    <col min="4622" max="4864" width="9" style="1235"/>
    <col min="4865" max="4865" width="4.88671875" style="1235" customWidth="1"/>
    <col min="4866" max="4866" width="13.21875" style="1235" customWidth="1"/>
    <col min="4867" max="4867" width="15.6640625" style="1235" customWidth="1"/>
    <col min="4868" max="4868" width="9.33203125" style="1235" bestFit="1" customWidth="1"/>
    <col min="4869" max="4869" width="13.44140625" style="1235" customWidth="1"/>
    <col min="4870" max="4870" width="9" style="1235"/>
    <col min="4871" max="4871" width="9.33203125" style="1235" bestFit="1" customWidth="1"/>
    <col min="4872" max="4873" width="9" style="1235"/>
    <col min="4874" max="4874" width="9.33203125" style="1235" bestFit="1" customWidth="1"/>
    <col min="4875" max="4875" width="4" style="1235" customWidth="1"/>
    <col min="4876" max="4876" width="5.109375" style="1235" customWidth="1"/>
    <col min="4877" max="4877" width="13.77734375" style="1235" customWidth="1"/>
    <col min="4878" max="5120" width="9" style="1235"/>
    <col min="5121" max="5121" width="4.88671875" style="1235" customWidth="1"/>
    <col min="5122" max="5122" width="13.21875" style="1235" customWidth="1"/>
    <col min="5123" max="5123" width="15.6640625" style="1235" customWidth="1"/>
    <col min="5124" max="5124" width="9.33203125" style="1235" bestFit="1" customWidth="1"/>
    <col min="5125" max="5125" width="13.44140625" style="1235" customWidth="1"/>
    <col min="5126" max="5126" width="9" style="1235"/>
    <col min="5127" max="5127" width="9.33203125" style="1235" bestFit="1" customWidth="1"/>
    <col min="5128" max="5129" width="9" style="1235"/>
    <col min="5130" max="5130" width="9.33203125" style="1235" bestFit="1" customWidth="1"/>
    <col min="5131" max="5131" width="4" style="1235" customWidth="1"/>
    <col min="5132" max="5132" width="5.109375" style="1235" customWidth="1"/>
    <col min="5133" max="5133" width="13.77734375" style="1235" customWidth="1"/>
    <col min="5134" max="5376" width="9" style="1235"/>
    <col min="5377" max="5377" width="4.88671875" style="1235" customWidth="1"/>
    <col min="5378" max="5378" width="13.21875" style="1235" customWidth="1"/>
    <col min="5379" max="5379" width="15.6640625" style="1235" customWidth="1"/>
    <col min="5380" max="5380" width="9.33203125" style="1235" bestFit="1" customWidth="1"/>
    <col min="5381" max="5381" width="13.44140625" style="1235" customWidth="1"/>
    <col min="5382" max="5382" width="9" style="1235"/>
    <col min="5383" max="5383" width="9.33203125" style="1235" bestFit="1" customWidth="1"/>
    <col min="5384" max="5385" width="9" style="1235"/>
    <col min="5386" max="5386" width="9.33203125" style="1235" bestFit="1" customWidth="1"/>
    <col min="5387" max="5387" width="4" style="1235" customWidth="1"/>
    <col min="5388" max="5388" width="5.109375" style="1235" customWidth="1"/>
    <col min="5389" max="5389" width="13.77734375" style="1235" customWidth="1"/>
    <col min="5390" max="5632" width="9" style="1235"/>
    <col min="5633" max="5633" width="4.88671875" style="1235" customWidth="1"/>
    <col min="5634" max="5634" width="13.21875" style="1235" customWidth="1"/>
    <col min="5635" max="5635" width="15.6640625" style="1235" customWidth="1"/>
    <col min="5636" max="5636" width="9.33203125" style="1235" bestFit="1" customWidth="1"/>
    <col min="5637" max="5637" width="13.44140625" style="1235" customWidth="1"/>
    <col min="5638" max="5638" width="9" style="1235"/>
    <col min="5639" max="5639" width="9.33203125" style="1235" bestFit="1" customWidth="1"/>
    <col min="5640" max="5641" width="9" style="1235"/>
    <col min="5642" max="5642" width="9.33203125" style="1235" bestFit="1" customWidth="1"/>
    <col min="5643" max="5643" width="4" style="1235" customWidth="1"/>
    <col min="5644" max="5644" width="5.109375" style="1235" customWidth="1"/>
    <col min="5645" max="5645" width="13.77734375" style="1235" customWidth="1"/>
    <col min="5646" max="5888" width="9" style="1235"/>
    <col min="5889" max="5889" width="4.88671875" style="1235" customWidth="1"/>
    <col min="5890" max="5890" width="13.21875" style="1235" customWidth="1"/>
    <col min="5891" max="5891" width="15.6640625" style="1235" customWidth="1"/>
    <col min="5892" max="5892" width="9.33203125" style="1235" bestFit="1" customWidth="1"/>
    <col min="5893" max="5893" width="13.44140625" style="1235" customWidth="1"/>
    <col min="5894" max="5894" width="9" style="1235"/>
    <col min="5895" max="5895" width="9.33203125" style="1235" bestFit="1" customWidth="1"/>
    <col min="5896" max="5897" width="9" style="1235"/>
    <col min="5898" max="5898" width="9.33203125" style="1235" bestFit="1" customWidth="1"/>
    <col min="5899" max="5899" width="4" style="1235" customWidth="1"/>
    <col min="5900" max="5900" width="5.109375" style="1235" customWidth="1"/>
    <col min="5901" max="5901" width="13.77734375" style="1235" customWidth="1"/>
    <col min="5902" max="6144" width="9" style="1235"/>
    <col min="6145" max="6145" width="4.88671875" style="1235" customWidth="1"/>
    <col min="6146" max="6146" width="13.21875" style="1235" customWidth="1"/>
    <col min="6147" max="6147" width="15.6640625" style="1235" customWidth="1"/>
    <col min="6148" max="6148" width="9.33203125" style="1235" bestFit="1" customWidth="1"/>
    <col min="6149" max="6149" width="13.44140625" style="1235" customWidth="1"/>
    <col min="6150" max="6150" width="9" style="1235"/>
    <col min="6151" max="6151" width="9.33203125" style="1235" bestFit="1" customWidth="1"/>
    <col min="6152" max="6153" width="9" style="1235"/>
    <col min="6154" max="6154" width="9.33203125" style="1235" bestFit="1" customWidth="1"/>
    <col min="6155" max="6155" width="4" style="1235" customWidth="1"/>
    <col min="6156" max="6156" width="5.109375" style="1235" customWidth="1"/>
    <col min="6157" max="6157" width="13.77734375" style="1235" customWidth="1"/>
    <col min="6158" max="6400" width="9" style="1235"/>
    <col min="6401" max="6401" width="4.88671875" style="1235" customWidth="1"/>
    <col min="6402" max="6402" width="13.21875" style="1235" customWidth="1"/>
    <col min="6403" max="6403" width="15.6640625" style="1235" customWidth="1"/>
    <col min="6404" max="6404" width="9.33203125" style="1235" bestFit="1" customWidth="1"/>
    <col min="6405" max="6405" width="13.44140625" style="1235" customWidth="1"/>
    <col min="6406" max="6406" width="9" style="1235"/>
    <col min="6407" max="6407" width="9.33203125" style="1235" bestFit="1" customWidth="1"/>
    <col min="6408" max="6409" width="9" style="1235"/>
    <col min="6410" max="6410" width="9.33203125" style="1235" bestFit="1" customWidth="1"/>
    <col min="6411" max="6411" width="4" style="1235" customWidth="1"/>
    <col min="6412" max="6412" width="5.109375" style="1235" customWidth="1"/>
    <col min="6413" max="6413" width="13.77734375" style="1235" customWidth="1"/>
    <col min="6414" max="6656" width="9" style="1235"/>
    <col min="6657" max="6657" width="4.88671875" style="1235" customWidth="1"/>
    <col min="6658" max="6658" width="13.21875" style="1235" customWidth="1"/>
    <col min="6659" max="6659" width="15.6640625" style="1235" customWidth="1"/>
    <col min="6660" max="6660" width="9.33203125" style="1235" bestFit="1" customWidth="1"/>
    <col min="6661" max="6661" width="13.44140625" style="1235" customWidth="1"/>
    <col min="6662" max="6662" width="9" style="1235"/>
    <col min="6663" max="6663" width="9.33203125" style="1235" bestFit="1" customWidth="1"/>
    <col min="6664" max="6665" width="9" style="1235"/>
    <col min="6666" max="6666" width="9.33203125" style="1235" bestFit="1" customWidth="1"/>
    <col min="6667" max="6667" width="4" style="1235" customWidth="1"/>
    <col min="6668" max="6668" width="5.109375" style="1235" customWidth="1"/>
    <col min="6669" max="6669" width="13.77734375" style="1235" customWidth="1"/>
    <col min="6670" max="6912" width="9" style="1235"/>
    <col min="6913" max="6913" width="4.88671875" style="1235" customWidth="1"/>
    <col min="6914" max="6914" width="13.21875" style="1235" customWidth="1"/>
    <col min="6915" max="6915" width="15.6640625" style="1235" customWidth="1"/>
    <col min="6916" max="6916" width="9.33203125" style="1235" bestFit="1" customWidth="1"/>
    <col min="6917" max="6917" width="13.44140625" style="1235" customWidth="1"/>
    <col min="6918" max="6918" width="9" style="1235"/>
    <col min="6919" max="6919" width="9.33203125" style="1235" bestFit="1" customWidth="1"/>
    <col min="6920" max="6921" width="9" style="1235"/>
    <col min="6922" max="6922" width="9.33203125" style="1235" bestFit="1" customWidth="1"/>
    <col min="6923" max="6923" width="4" style="1235" customWidth="1"/>
    <col min="6924" max="6924" width="5.109375" style="1235" customWidth="1"/>
    <col min="6925" max="6925" width="13.77734375" style="1235" customWidth="1"/>
    <col min="6926" max="7168" width="9" style="1235"/>
    <col min="7169" max="7169" width="4.88671875" style="1235" customWidth="1"/>
    <col min="7170" max="7170" width="13.21875" style="1235" customWidth="1"/>
    <col min="7171" max="7171" width="15.6640625" style="1235" customWidth="1"/>
    <col min="7172" max="7172" width="9.33203125" style="1235" bestFit="1" customWidth="1"/>
    <col min="7173" max="7173" width="13.44140625" style="1235" customWidth="1"/>
    <col min="7174" max="7174" width="9" style="1235"/>
    <col min="7175" max="7175" width="9.33203125" style="1235" bestFit="1" customWidth="1"/>
    <col min="7176" max="7177" width="9" style="1235"/>
    <col min="7178" max="7178" width="9.33203125" style="1235" bestFit="1" customWidth="1"/>
    <col min="7179" max="7179" width="4" style="1235" customWidth="1"/>
    <col min="7180" max="7180" width="5.109375" style="1235" customWidth="1"/>
    <col min="7181" max="7181" width="13.77734375" style="1235" customWidth="1"/>
    <col min="7182" max="7424" width="9" style="1235"/>
    <col min="7425" max="7425" width="4.88671875" style="1235" customWidth="1"/>
    <col min="7426" max="7426" width="13.21875" style="1235" customWidth="1"/>
    <col min="7427" max="7427" width="15.6640625" style="1235" customWidth="1"/>
    <col min="7428" max="7428" width="9.33203125" style="1235" bestFit="1" customWidth="1"/>
    <col min="7429" max="7429" width="13.44140625" style="1235" customWidth="1"/>
    <col min="7430" max="7430" width="9" style="1235"/>
    <col min="7431" max="7431" width="9.33203125" style="1235" bestFit="1" customWidth="1"/>
    <col min="7432" max="7433" width="9" style="1235"/>
    <col min="7434" max="7434" width="9.33203125" style="1235" bestFit="1" customWidth="1"/>
    <col min="7435" max="7435" width="4" style="1235" customWidth="1"/>
    <col min="7436" max="7436" width="5.109375" style="1235" customWidth="1"/>
    <col min="7437" max="7437" width="13.77734375" style="1235" customWidth="1"/>
    <col min="7438" max="7680" width="9" style="1235"/>
    <col min="7681" max="7681" width="4.88671875" style="1235" customWidth="1"/>
    <col min="7682" max="7682" width="13.21875" style="1235" customWidth="1"/>
    <col min="7683" max="7683" width="15.6640625" style="1235" customWidth="1"/>
    <col min="7684" max="7684" width="9.33203125" style="1235" bestFit="1" customWidth="1"/>
    <col min="7685" max="7685" width="13.44140625" style="1235" customWidth="1"/>
    <col min="7686" max="7686" width="9" style="1235"/>
    <col min="7687" max="7687" width="9.33203125" style="1235" bestFit="1" customWidth="1"/>
    <col min="7688" max="7689" width="9" style="1235"/>
    <col min="7690" max="7690" width="9.33203125" style="1235" bestFit="1" customWidth="1"/>
    <col min="7691" max="7691" width="4" style="1235" customWidth="1"/>
    <col min="7692" max="7692" width="5.109375" style="1235" customWidth="1"/>
    <col min="7693" max="7693" width="13.77734375" style="1235" customWidth="1"/>
    <col min="7694" max="7936" width="9" style="1235"/>
    <col min="7937" max="7937" width="4.88671875" style="1235" customWidth="1"/>
    <col min="7938" max="7938" width="13.21875" style="1235" customWidth="1"/>
    <col min="7939" max="7939" width="15.6640625" style="1235" customWidth="1"/>
    <col min="7940" max="7940" width="9.33203125" style="1235" bestFit="1" customWidth="1"/>
    <col min="7941" max="7941" width="13.44140625" style="1235" customWidth="1"/>
    <col min="7942" max="7942" width="9" style="1235"/>
    <col min="7943" max="7943" width="9.33203125" style="1235" bestFit="1" customWidth="1"/>
    <col min="7944" max="7945" width="9" style="1235"/>
    <col min="7946" max="7946" width="9.33203125" style="1235" bestFit="1" customWidth="1"/>
    <col min="7947" max="7947" width="4" style="1235" customWidth="1"/>
    <col min="7948" max="7948" width="5.109375" style="1235" customWidth="1"/>
    <col min="7949" max="7949" width="13.77734375" style="1235" customWidth="1"/>
    <col min="7950" max="8192" width="9" style="1235"/>
    <col min="8193" max="8193" width="4.88671875" style="1235" customWidth="1"/>
    <col min="8194" max="8194" width="13.21875" style="1235" customWidth="1"/>
    <col min="8195" max="8195" width="15.6640625" style="1235" customWidth="1"/>
    <col min="8196" max="8196" width="9.33203125" style="1235" bestFit="1" customWidth="1"/>
    <col min="8197" max="8197" width="13.44140625" style="1235" customWidth="1"/>
    <col min="8198" max="8198" width="9" style="1235"/>
    <col min="8199" max="8199" width="9.33203125" style="1235" bestFit="1" customWidth="1"/>
    <col min="8200" max="8201" width="9" style="1235"/>
    <col min="8202" max="8202" width="9.33203125" style="1235" bestFit="1" customWidth="1"/>
    <col min="8203" max="8203" width="4" style="1235" customWidth="1"/>
    <col min="8204" max="8204" width="5.109375" style="1235" customWidth="1"/>
    <col min="8205" max="8205" width="13.77734375" style="1235" customWidth="1"/>
    <col min="8206" max="8448" width="9" style="1235"/>
    <col min="8449" max="8449" width="4.88671875" style="1235" customWidth="1"/>
    <col min="8450" max="8450" width="13.21875" style="1235" customWidth="1"/>
    <col min="8451" max="8451" width="15.6640625" style="1235" customWidth="1"/>
    <col min="8452" max="8452" width="9.33203125" style="1235" bestFit="1" customWidth="1"/>
    <col min="8453" max="8453" width="13.44140625" style="1235" customWidth="1"/>
    <col min="8454" max="8454" width="9" style="1235"/>
    <col min="8455" max="8455" width="9.33203125" style="1235" bestFit="1" customWidth="1"/>
    <col min="8456" max="8457" width="9" style="1235"/>
    <col min="8458" max="8458" width="9.33203125" style="1235" bestFit="1" customWidth="1"/>
    <col min="8459" max="8459" width="4" style="1235" customWidth="1"/>
    <col min="8460" max="8460" width="5.109375" style="1235" customWidth="1"/>
    <col min="8461" max="8461" width="13.77734375" style="1235" customWidth="1"/>
    <col min="8462" max="8704" width="9" style="1235"/>
    <col min="8705" max="8705" width="4.88671875" style="1235" customWidth="1"/>
    <col min="8706" max="8706" width="13.21875" style="1235" customWidth="1"/>
    <col min="8707" max="8707" width="15.6640625" style="1235" customWidth="1"/>
    <col min="8708" max="8708" width="9.33203125" style="1235" bestFit="1" customWidth="1"/>
    <col min="8709" max="8709" width="13.44140625" style="1235" customWidth="1"/>
    <col min="8710" max="8710" width="9" style="1235"/>
    <col min="8711" max="8711" width="9.33203125" style="1235" bestFit="1" customWidth="1"/>
    <col min="8712" max="8713" width="9" style="1235"/>
    <col min="8714" max="8714" width="9.33203125" style="1235" bestFit="1" customWidth="1"/>
    <col min="8715" max="8715" width="4" style="1235" customWidth="1"/>
    <col min="8716" max="8716" width="5.109375" style="1235" customWidth="1"/>
    <col min="8717" max="8717" width="13.77734375" style="1235" customWidth="1"/>
    <col min="8718" max="8960" width="9" style="1235"/>
    <col min="8961" max="8961" width="4.88671875" style="1235" customWidth="1"/>
    <col min="8962" max="8962" width="13.21875" style="1235" customWidth="1"/>
    <col min="8963" max="8963" width="15.6640625" style="1235" customWidth="1"/>
    <col min="8964" max="8964" width="9.33203125" style="1235" bestFit="1" customWidth="1"/>
    <col min="8965" max="8965" width="13.44140625" style="1235" customWidth="1"/>
    <col min="8966" max="8966" width="9" style="1235"/>
    <col min="8967" max="8967" width="9.33203125" style="1235" bestFit="1" customWidth="1"/>
    <col min="8968" max="8969" width="9" style="1235"/>
    <col min="8970" max="8970" width="9.33203125" style="1235" bestFit="1" customWidth="1"/>
    <col min="8971" max="8971" width="4" style="1235" customWidth="1"/>
    <col min="8972" max="8972" width="5.109375" style="1235" customWidth="1"/>
    <col min="8973" max="8973" width="13.77734375" style="1235" customWidth="1"/>
    <col min="8974" max="9216" width="9" style="1235"/>
    <col min="9217" max="9217" width="4.88671875" style="1235" customWidth="1"/>
    <col min="9218" max="9218" width="13.21875" style="1235" customWidth="1"/>
    <col min="9219" max="9219" width="15.6640625" style="1235" customWidth="1"/>
    <col min="9220" max="9220" width="9.33203125" style="1235" bestFit="1" customWidth="1"/>
    <col min="9221" max="9221" width="13.44140625" style="1235" customWidth="1"/>
    <col min="9222" max="9222" width="9" style="1235"/>
    <col min="9223" max="9223" width="9.33203125" style="1235" bestFit="1" customWidth="1"/>
    <col min="9224" max="9225" width="9" style="1235"/>
    <col min="9226" max="9226" width="9.33203125" style="1235" bestFit="1" customWidth="1"/>
    <col min="9227" max="9227" width="4" style="1235" customWidth="1"/>
    <col min="9228" max="9228" width="5.109375" style="1235" customWidth="1"/>
    <col min="9229" max="9229" width="13.77734375" style="1235" customWidth="1"/>
    <col min="9230" max="9472" width="9" style="1235"/>
    <col min="9473" max="9473" width="4.88671875" style="1235" customWidth="1"/>
    <col min="9474" max="9474" width="13.21875" style="1235" customWidth="1"/>
    <col min="9475" max="9475" width="15.6640625" style="1235" customWidth="1"/>
    <col min="9476" max="9476" width="9.33203125" style="1235" bestFit="1" customWidth="1"/>
    <col min="9477" max="9477" width="13.44140625" style="1235" customWidth="1"/>
    <col min="9478" max="9478" width="9" style="1235"/>
    <col min="9479" max="9479" width="9.33203125" style="1235" bestFit="1" customWidth="1"/>
    <col min="9480" max="9481" width="9" style="1235"/>
    <col min="9482" max="9482" width="9.33203125" style="1235" bestFit="1" customWidth="1"/>
    <col min="9483" max="9483" width="4" style="1235" customWidth="1"/>
    <col min="9484" max="9484" width="5.109375" style="1235" customWidth="1"/>
    <col min="9485" max="9485" width="13.77734375" style="1235" customWidth="1"/>
    <col min="9486" max="9728" width="9" style="1235"/>
    <col min="9729" max="9729" width="4.88671875" style="1235" customWidth="1"/>
    <col min="9730" max="9730" width="13.21875" style="1235" customWidth="1"/>
    <col min="9731" max="9731" width="15.6640625" style="1235" customWidth="1"/>
    <col min="9732" max="9732" width="9.33203125" style="1235" bestFit="1" customWidth="1"/>
    <col min="9733" max="9733" width="13.44140625" style="1235" customWidth="1"/>
    <col min="9734" max="9734" width="9" style="1235"/>
    <col min="9735" max="9735" width="9.33203125" style="1235" bestFit="1" customWidth="1"/>
    <col min="9736" max="9737" width="9" style="1235"/>
    <col min="9738" max="9738" width="9.33203125" style="1235" bestFit="1" customWidth="1"/>
    <col min="9739" max="9739" width="4" style="1235" customWidth="1"/>
    <col min="9740" max="9740" width="5.109375" style="1235" customWidth="1"/>
    <col min="9741" max="9741" width="13.77734375" style="1235" customWidth="1"/>
    <col min="9742" max="9984" width="9" style="1235"/>
    <col min="9985" max="9985" width="4.88671875" style="1235" customWidth="1"/>
    <col min="9986" max="9986" width="13.21875" style="1235" customWidth="1"/>
    <col min="9987" max="9987" width="15.6640625" style="1235" customWidth="1"/>
    <col min="9988" max="9988" width="9.33203125" style="1235" bestFit="1" customWidth="1"/>
    <col min="9989" max="9989" width="13.44140625" style="1235" customWidth="1"/>
    <col min="9990" max="9990" width="9" style="1235"/>
    <col min="9991" max="9991" width="9.33203125" style="1235" bestFit="1" customWidth="1"/>
    <col min="9992" max="9993" width="9" style="1235"/>
    <col min="9994" max="9994" width="9.33203125" style="1235" bestFit="1" customWidth="1"/>
    <col min="9995" max="9995" width="4" style="1235" customWidth="1"/>
    <col min="9996" max="9996" width="5.109375" style="1235" customWidth="1"/>
    <col min="9997" max="9997" width="13.77734375" style="1235" customWidth="1"/>
    <col min="9998" max="10240" width="9" style="1235"/>
    <col min="10241" max="10241" width="4.88671875" style="1235" customWidth="1"/>
    <col min="10242" max="10242" width="13.21875" style="1235" customWidth="1"/>
    <col min="10243" max="10243" width="15.6640625" style="1235" customWidth="1"/>
    <col min="10244" max="10244" width="9.33203125" style="1235" bestFit="1" customWidth="1"/>
    <col min="10245" max="10245" width="13.44140625" style="1235" customWidth="1"/>
    <col min="10246" max="10246" width="9" style="1235"/>
    <col min="10247" max="10247" width="9.33203125" style="1235" bestFit="1" customWidth="1"/>
    <col min="10248" max="10249" width="9" style="1235"/>
    <col min="10250" max="10250" width="9.33203125" style="1235" bestFit="1" customWidth="1"/>
    <col min="10251" max="10251" width="4" style="1235" customWidth="1"/>
    <col min="10252" max="10252" width="5.109375" style="1235" customWidth="1"/>
    <col min="10253" max="10253" width="13.77734375" style="1235" customWidth="1"/>
    <col min="10254" max="10496" width="9" style="1235"/>
    <col min="10497" max="10497" width="4.88671875" style="1235" customWidth="1"/>
    <col min="10498" max="10498" width="13.21875" style="1235" customWidth="1"/>
    <col min="10499" max="10499" width="15.6640625" style="1235" customWidth="1"/>
    <col min="10500" max="10500" width="9.33203125" style="1235" bestFit="1" customWidth="1"/>
    <col min="10501" max="10501" width="13.44140625" style="1235" customWidth="1"/>
    <col min="10502" max="10502" width="9" style="1235"/>
    <col min="10503" max="10503" width="9.33203125" style="1235" bestFit="1" customWidth="1"/>
    <col min="10504" max="10505" width="9" style="1235"/>
    <col min="10506" max="10506" width="9.33203125" style="1235" bestFit="1" customWidth="1"/>
    <col min="10507" max="10507" width="4" style="1235" customWidth="1"/>
    <col min="10508" max="10508" width="5.109375" style="1235" customWidth="1"/>
    <col min="10509" max="10509" width="13.77734375" style="1235" customWidth="1"/>
    <col min="10510" max="10752" width="9" style="1235"/>
    <col min="10753" max="10753" width="4.88671875" style="1235" customWidth="1"/>
    <col min="10754" max="10754" width="13.21875" style="1235" customWidth="1"/>
    <col min="10755" max="10755" width="15.6640625" style="1235" customWidth="1"/>
    <col min="10756" max="10756" width="9.33203125" style="1235" bestFit="1" customWidth="1"/>
    <col min="10757" max="10757" width="13.44140625" style="1235" customWidth="1"/>
    <col min="10758" max="10758" width="9" style="1235"/>
    <col min="10759" max="10759" width="9.33203125" style="1235" bestFit="1" customWidth="1"/>
    <col min="10760" max="10761" width="9" style="1235"/>
    <col min="10762" max="10762" width="9.33203125" style="1235" bestFit="1" customWidth="1"/>
    <col min="10763" max="10763" width="4" style="1235" customWidth="1"/>
    <col min="10764" max="10764" width="5.109375" style="1235" customWidth="1"/>
    <col min="10765" max="10765" width="13.77734375" style="1235" customWidth="1"/>
    <col min="10766" max="11008" width="9" style="1235"/>
    <col min="11009" max="11009" width="4.88671875" style="1235" customWidth="1"/>
    <col min="11010" max="11010" width="13.21875" style="1235" customWidth="1"/>
    <col min="11011" max="11011" width="15.6640625" style="1235" customWidth="1"/>
    <col min="11012" max="11012" width="9.33203125" style="1235" bestFit="1" customWidth="1"/>
    <col min="11013" max="11013" width="13.44140625" style="1235" customWidth="1"/>
    <col min="11014" max="11014" width="9" style="1235"/>
    <col min="11015" max="11015" width="9.33203125" style="1235" bestFit="1" customWidth="1"/>
    <col min="11016" max="11017" width="9" style="1235"/>
    <col min="11018" max="11018" width="9.33203125" style="1235" bestFit="1" customWidth="1"/>
    <col min="11019" max="11019" width="4" style="1235" customWidth="1"/>
    <col min="11020" max="11020" width="5.109375" style="1235" customWidth="1"/>
    <col min="11021" max="11021" width="13.77734375" style="1235" customWidth="1"/>
    <col min="11022" max="11264" width="9" style="1235"/>
    <col min="11265" max="11265" width="4.88671875" style="1235" customWidth="1"/>
    <col min="11266" max="11266" width="13.21875" style="1235" customWidth="1"/>
    <col min="11267" max="11267" width="15.6640625" style="1235" customWidth="1"/>
    <col min="11268" max="11268" width="9.33203125" style="1235" bestFit="1" customWidth="1"/>
    <col min="11269" max="11269" width="13.44140625" style="1235" customWidth="1"/>
    <col min="11270" max="11270" width="9" style="1235"/>
    <col min="11271" max="11271" width="9.33203125" style="1235" bestFit="1" customWidth="1"/>
    <col min="11272" max="11273" width="9" style="1235"/>
    <col min="11274" max="11274" width="9.33203125" style="1235" bestFit="1" customWidth="1"/>
    <col min="11275" max="11275" width="4" style="1235" customWidth="1"/>
    <col min="11276" max="11276" width="5.109375" style="1235" customWidth="1"/>
    <col min="11277" max="11277" width="13.77734375" style="1235" customWidth="1"/>
    <col min="11278" max="11520" width="9" style="1235"/>
    <col min="11521" max="11521" width="4.88671875" style="1235" customWidth="1"/>
    <col min="11522" max="11522" width="13.21875" style="1235" customWidth="1"/>
    <col min="11523" max="11523" width="15.6640625" style="1235" customWidth="1"/>
    <col min="11524" max="11524" width="9.33203125" style="1235" bestFit="1" customWidth="1"/>
    <col min="11525" max="11525" width="13.44140625" style="1235" customWidth="1"/>
    <col min="11526" max="11526" width="9" style="1235"/>
    <col min="11527" max="11527" width="9.33203125" style="1235" bestFit="1" customWidth="1"/>
    <col min="11528" max="11529" width="9" style="1235"/>
    <col min="11530" max="11530" width="9.33203125" style="1235" bestFit="1" customWidth="1"/>
    <col min="11531" max="11531" width="4" style="1235" customWidth="1"/>
    <col min="11532" max="11532" width="5.109375" style="1235" customWidth="1"/>
    <col min="11533" max="11533" width="13.77734375" style="1235" customWidth="1"/>
    <col min="11534" max="11776" width="9" style="1235"/>
    <col min="11777" max="11777" width="4.88671875" style="1235" customWidth="1"/>
    <col min="11778" max="11778" width="13.21875" style="1235" customWidth="1"/>
    <col min="11779" max="11779" width="15.6640625" style="1235" customWidth="1"/>
    <col min="11780" max="11780" width="9.33203125" style="1235" bestFit="1" customWidth="1"/>
    <col min="11781" max="11781" width="13.44140625" style="1235" customWidth="1"/>
    <col min="11782" max="11782" width="9" style="1235"/>
    <col min="11783" max="11783" width="9.33203125" style="1235" bestFit="1" customWidth="1"/>
    <col min="11784" max="11785" width="9" style="1235"/>
    <col min="11786" max="11786" width="9.33203125" style="1235" bestFit="1" customWidth="1"/>
    <col min="11787" max="11787" width="4" style="1235" customWidth="1"/>
    <col min="11788" max="11788" width="5.109375" style="1235" customWidth="1"/>
    <col min="11789" max="11789" width="13.77734375" style="1235" customWidth="1"/>
    <col min="11790" max="12032" width="9" style="1235"/>
    <col min="12033" max="12033" width="4.88671875" style="1235" customWidth="1"/>
    <col min="12034" max="12034" width="13.21875" style="1235" customWidth="1"/>
    <col min="12035" max="12035" width="15.6640625" style="1235" customWidth="1"/>
    <col min="12036" max="12036" width="9.33203125" style="1235" bestFit="1" customWidth="1"/>
    <col min="12037" max="12037" width="13.44140625" style="1235" customWidth="1"/>
    <col min="12038" max="12038" width="9" style="1235"/>
    <col min="12039" max="12039" width="9.33203125" style="1235" bestFit="1" customWidth="1"/>
    <col min="12040" max="12041" width="9" style="1235"/>
    <col min="12042" max="12042" width="9.33203125" style="1235" bestFit="1" customWidth="1"/>
    <col min="12043" max="12043" width="4" style="1235" customWidth="1"/>
    <col min="12044" max="12044" width="5.109375" style="1235" customWidth="1"/>
    <col min="12045" max="12045" width="13.77734375" style="1235" customWidth="1"/>
    <col min="12046" max="12288" width="9" style="1235"/>
    <col min="12289" max="12289" width="4.88671875" style="1235" customWidth="1"/>
    <col min="12290" max="12290" width="13.21875" style="1235" customWidth="1"/>
    <col min="12291" max="12291" width="15.6640625" style="1235" customWidth="1"/>
    <col min="12292" max="12292" width="9.33203125" style="1235" bestFit="1" customWidth="1"/>
    <col min="12293" max="12293" width="13.44140625" style="1235" customWidth="1"/>
    <col min="12294" max="12294" width="9" style="1235"/>
    <col min="12295" max="12295" width="9.33203125" style="1235" bestFit="1" customWidth="1"/>
    <col min="12296" max="12297" width="9" style="1235"/>
    <col min="12298" max="12298" width="9.33203125" style="1235" bestFit="1" customWidth="1"/>
    <col min="12299" max="12299" width="4" style="1235" customWidth="1"/>
    <col min="12300" max="12300" width="5.109375" style="1235" customWidth="1"/>
    <col min="12301" max="12301" width="13.77734375" style="1235" customWidth="1"/>
    <col min="12302" max="12544" width="9" style="1235"/>
    <col min="12545" max="12545" width="4.88671875" style="1235" customWidth="1"/>
    <col min="12546" max="12546" width="13.21875" style="1235" customWidth="1"/>
    <col min="12547" max="12547" width="15.6640625" style="1235" customWidth="1"/>
    <col min="12548" max="12548" width="9.33203125" style="1235" bestFit="1" customWidth="1"/>
    <col min="12549" max="12549" width="13.44140625" style="1235" customWidth="1"/>
    <col min="12550" max="12550" width="9" style="1235"/>
    <col min="12551" max="12551" width="9.33203125" style="1235" bestFit="1" customWidth="1"/>
    <col min="12552" max="12553" width="9" style="1235"/>
    <col min="12554" max="12554" width="9.33203125" style="1235" bestFit="1" customWidth="1"/>
    <col min="12555" max="12555" width="4" style="1235" customWidth="1"/>
    <col min="12556" max="12556" width="5.109375" style="1235" customWidth="1"/>
    <col min="12557" max="12557" width="13.77734375" style="1235" customWidth="1"/>
    <col min="12558" max="12800" width="9" style="1235"/>
    <col min="12801" max="12801" width="4.88671875" style="1235" customWidth="1"/>
    <col min="12802" max="12802" width="13.21875" style="1235" customWidth="1"/>
    <col min="12803" max="12803" width="15.6640625" style="1235" customWidth="1"/>
    <col min="12804" max="12804" width="9.33203125" style="1235" bestFit="1" customWidth="1"/>
    <col min="12805" max="12805" width="13.44140625" style="1235" customWidth="1"/>
    <col min="12806" max="12806" width="9" style="1235"/>
    <col min="12807" max="12807" width="9.33203125" style="1235" bestFit="1" customWidth="1"/>
    <col min="12808" max="12809" width="9" style="1235"/>
    <col min="12810" max="12810" width="9.33203125" style="1235" bestFit="1" customWidth="1"/>
    <col min="12811" max="12811" width="4" style="1235" customWidth="1"/>
    <col min="12812" max="12812" width="5.109375" style="1235" customWidth="1"/>
    <col min="12813" max="12813" width="13.77734375" style="1235" customWidth="1"/>
    <col min="12814" max="13056" width="9" style="1235"/>
    <col min="13057" max="13057" width="4.88671875" style="1235" customWidth="1"/>
    <col min="13058" max="13058" width="13.21875" style="1235" customWidth="1"/>
    <col min="13059" max="13059" width="15.6640625" style="1235" customWidth="1"/>
    <col min="13060" max="13060" width="9.33203125" style="1235" bestFit="1" customWidth="1"/>
    <col min="13061" max="13061" width="13.44140625" style="1235" customWidth="1"/>
    <col min="13062" max="13062" width="9" style="1235"/>
    <col min="13063" max="13063" width="9.33203125" style="1235" bestFit="1" customWidth="1"/>
    <col min="13064" max="13065" width="9" style="1235"/>
    <col min="13066" max="13066" width="9.33203125" style="1235" bestFit="1" customWidth="1"/>
    <col min="13067" max="13067" width="4" style="1235" customWidth="1"/>
    <col min="13068" max="13068" width="5.109375" style="1235" customWidth="1"/>
    <col min="13069" max="13069" width="13.77734375" style="1235" customWidth="1"/>
    <col min="13070" max="13312" width="9" style="1235"/>
    <col min="13313" max="13313" width="4.88671875" style="1235" customWidth="1"/>
    <col min="13314" max="13314" width="13.21875" style="1235" customWidth="1"/>
    <col min="13315" max="13315" width="15.6640625" style="1235" customWidth="1"/>
    <col min="13316" max="13316" width="9.33203125" style="1235" bestFit="1" customWidth="1"/>
    <col min="13317" max="13317" width="13.44140625" style="1235" customWidth="1"/>
    <col min="13318" max="13318" width="9" style="1235"/>
    <col min="13319" max="13319" width="9.33203125" style="1235" bestFit="1" customWidth="1"/>
    <col min="13320" max="13321" width="9" style="1235"/>
    <col min="13322" max="13322" width="9.33203125" style="1235" bestFit="1" customWidth="1"/>
    <col min="13323" max="13323" width="4" style="1235" customWidth="1"/>
    <col min="13324" max="13324" width="5.109375" style="1235" customWidth="1"/>
    <col min="13325" max="13325" width="13.77734375" style="1235" customWidth="1"/>
    <col min="13326" max="13568" width="9" style="1235"/>
    <col min="13569" max="13569" width="4.88671875" style="1235" customWidth="1"/>
    <col min="13570" max="13570" width="13.21875" style="1235" customWidth="1"/>
    <col min="13571" max="13571" width="15.6640625" style="1235" customWidth="1"/>
    <col min="13572" max="13572" width="9.33203125" style="1235" bestFit="1" customWidth="1"/>
    <col min="13573" max="13573" width="13.44140625" style="1235" customWidth="1"/>
    <col min="13574" max="13574" width="9" style="1235"/>
    <col min="13575" max="13575" width="9.33203125" style="1235" bestFit="1" customWidth="1"/>
    <col min="13576" max="13577" width="9" style="1235"/>
    <col min="13578" max="13578" width="9.33203125" style="1235" bestFit="1" customWidth="1"/>
    <col min="13579" max="13579" width="4" style="1235" customWidth="1"/>
    <col min="13580" max="13580" width="5.109375" style="1235" customWidth="1"/>
    <col min="13581" max="13581" width="13.77734375" style="1235" customWidth="1"/>
    <col min="13582" max="13824" width="9" style="1235"/>
    <col min="13825" max="13825" width="4.88671875" style="1235" customWidth="1"/>
    <col min="13826" max="13826" width="13.21875" style="1235" customWidth="1"/>
    <col min="13827" max="13827" width="15.6640625" style="1235" customWidth="1"/>
    <col min="13828" max="13828" width="9.33203125" style="1235" bestFit="1" customWidth="1"/>
    <col min="13829" max="13829" width="13.44140625" style="1235" customWidth="1"/>
    <col min="13830" max="13830" width="9" style="1235"/>
    <col min="13831" max="13831" width="9.33203125" style="1235" bestFit="1" customWidth="1"/>
    <col min="13832" max="13833" width="9" style="1235"/>
    <col min="13834" max="13834" width="9.33203125" style="1235" bestFit="1" customWidth="1"/>
    <col min="13835" max="13835" width="4" style="1235" customWidth="1"/>
    <col min="13836" max="13836" width="5.109375" style="1235" customWidth="1"/>
    <col min="13837" max="13837" width="13.77734375" style="1235" customWidth="1"/>
    <col min="13838" max="14080" width="9" style="1235"/>
    <col min="14081" max="14081" width="4.88671875" style="1235" customWidth="1"/>
    <col min="14082" max="14082" width="13.21875" style="1235" customWidth="1"/>
    <col min="14083" max="14083" width="15.6640625" style="1235" customWidth="1"/>
    <col min="14084" max="14084" width="9.33203125" style="1235" bestFit="1" customWidth="1"/>
    <col min="14085" max="14085" width="13.44140625" style="1235" customWidth="1"/>
    <col min="14086" max="14086" width="9" style="1235"/>
    <col min="14087" max="14087" width="9.33203125" style="1235" bestFit="1" customWidth="1"/>
    <col min="14088" max="14089" width="9" style="1235"/>
    <col min="14090" max="14090" width="9.33203125" style="1235" bestFit="1" customWidth="1"/>
    <col min="14091" max="14091" width="4" style="1235" customWidth="1"/>
    <col min="14092" max="14092" width="5.109375" style="1235" customWidth="1"/>
    <col min="14093" max="14093" width="13.77734375" style="1235" customWidth="1"/>
    <col min="14094" max="14336" width="9" style="1235"/>
    <col min="14337" max="14337" width="4.88671875" style="1235" customWidth="1"/>
    <col min="14338" max="14338" width="13.21875" style="1235" customWidth="1"/>
    <col min="14339" max="14339" width="15.6640625" style="1235" customWidth="1"/>
    <col min="14340" max="14340" width="9.33203125" style="1235" bestFit="1" customWidth="1"/>
    <col min="14341" max="14341" width="13.44140625" style="1235" customWidth="1"/>
    <col min="14342" max="14342" width="9" style="1235"/>
    <col min="14343" max="14343" width="9.33203125" style="1235" bestFit="1" customWidth="1"/>
    <col min="14344" max="14345" width="9" style="1235"/>
    <col min="14346" max="14346" width="9.33203125" style="1235" bestFit="1" customWidth="1"/>
    <col min="14347" max="14347" width="4" style="1235" customWidth="1"/>
    <col min="14348" max="14348" width="5.109375" style="1235" customWidth="1"/>
    <col min="14349" max="14349" width="13.77734375" style="1235" customWidth="1"/>
    <col min="14350" max="14592" width="9" style="1235"/>
    <col min="14593" max="14593" width="4.88671875" style="1235" customWidth="1"/>
    <col min="14594" max="14594" width="13.21875" style="1235" customWidth="1"/>
    <col min="14595" max="14595" width="15.6640625" style="1235" customWidth="1"/>
    <col min="14596" max="14596" width="9.33203125" style="1235" bestFit="1" customWidth="1"/>
    <col min="14597" max="14597" width="13.44140625" style="1235" customWidth="1"/>
    <col min="14598" max="14598" width="9" style="1235"/>
    <col min="14599" max="14599" width="9.33203125" style="1235" bestFit="1" customWidth="1"/>
    <col min="14600" max="14601" width="9" style="1235"/>
    <col min="14602" max="14602" width="9.33203125" style="1235" bestFit="1" customWidth="1"/>
    <col min="14603" max="14603" width="4" style="1235" customWidth="1"/>
    <col min="14604" max="14604" width="5.109375" style="1235" customWidth="1"/>
    <col min="14605" max="14605" width="13.77734375" style="1235" customWidth="1"/>
    <col min="14606" max="14848" width="9" style="1235"/>
    <col min="14849" max="14849" width="4.88671875" style="1235" customWidth="1"/>
    <col min="14850" max="14850" width="13.21875" style="1235" customWidth="1"/>
    <col min="14851" max="14851" width="15.6640625" style="1235" customWidth="1"/>
    <col min="14852" max="14852" width="9.33203125" style="1235" bestFit="1" customWidth="1"/>
    <col min="14853" max="14853" width="13.44140625" style="1235" customWidth="1"/>
    <col min="14854" max="14854" width="9" style="1235"/>
    <col min="14855" max="14855" width="9.33203125" style="1235" bestFit="1" customWidth="1"/>
    <col min="14856" max="14857" width="9" style="1235"/>
    <col min="14858" max="14858" width="9.33203125" style="1235" bestFit="1" customWidth="1"/>
    <col min="14859" max="14859" width="4" style="1235" customWidth="1"/>
    <col min="14860" max="14860" width="5.109375" style="1235" customWidth="1"/>
    <col min="14861" max="14861" width="13.77734375" style="1235" customWidth="1"/>
    <col min="14862" max="15104" width="9" style="1235"/>
    <col min="15105" max="15105" width="4.88671875" style="1235" customWidth="1"/>
    <col min="15106" max="15106" width="13.21875" style="1235" customWidth="1"/>
    <col min="15107" max="15107" width="15.6640625" style="1235" customWidth="1"/>
    <col min="15108" max="15108" width="9.33203125" style="1235" bestFit="1" customWidth="1"/>
    <col min="15109" max="15109" width="13.44140625" style="1235" customWidth="1"/>
    <col min="15110" max="15110" width="9" style="1235"/>
    <col min="15111" max="15111" width="9.33203125" style="1235" bestFit="1" customWidth="1"/>
    <col min="15112" max="15113" width="9" style="1235"/>
    <col min="15114" max="15114" width="9.33203125" style="1235" bestFit="1" customWidth="1"/>
    <col min="15115" max="15115" width="4" style="1235" customWidth="1"/>
    <col min="15116" max="15116" width="5.109375" style="1235" customWidth="1"/>
    <col min="15117" max="15117" width="13.77734375" style="1235" customWidth="1"/>
    <col min="15118" max="15360" width="9" style="1235"/>
    <col min="15361" max="15361" width="4.88671875" style="1235" customWidth="1"/>
    <col min="15362" max="15362" width="13.21875" style="1235" customWidth="1"/>
    <col min="15363" max="15363" width="15.6640625" style="1235" customWidth="1"/>
    <col min="15364" max="15364" width="9.33203125" style="1235" bestFit="1" customWidth="1"/>
    <col min="15365" max="15365" width="13.44140625" style="1235" customWidth="1"/>
    <col min="15366" max="15366" width="9" style="1235"/>
    <col min="15367" max="15367" width="9.33203125" style="1235" bestFit="1" customWidth="1"/>
    <col min="15368" max="15369" width="9" style="1235"/>
    <col min="15370" max="15370" width="9.33203125" style="1235" bestFit="1" customWidth="1"/>
    <col min="15371" max="15371" width="4" style="1235" customWidth="1"/>
    <col min="15372" max="15372" width="5.109375" style="1235" customWidth="1"/>
    <col min="15373" max="15373" width="13.77734375" style="1235" customWidth="1"/>
    <col min="15374" max="15616" width="9" style="1235"/>
    <col min="15617" max="15617" width="4.88671875" style="1235" customWidth="1"/>
    <col min="15618" max="15618" width="13.21875" style="1235" customWidth="1"/>
    <col min="15619" max="15619" width="15.6640625" style="1235" customWidth="1"/>
    <col min="15620" max="15620" width="9.33203125" style="1235" bestFit="1" customWidth="1"/>
    <col min="15621" max="15621" width="13.44140625" style="1235" customWidth="1"/>
    <col min="15622" max="15622" width="9" style="1235"/>
    <col min="15623" max="15623" width="9.33203125" style="1235" bestFit="1" customWidth="1"/>
    <col min="15624" max="15625" width="9" style="1235"/>
    <col min="15626" max="15626" width="9.33203125" style="1235" bestFit="1" customWidth="1"/>
    <col min="15627" max="15627" width="4" style="1235" customWidth="1"/>
    <col min="15628" max="15628" width="5.109375" style="1235" customWidth="1"/>
    <col min="15629" max="15629" width="13.77734375" style="1235" customWidth="1"/>
    <col min="15630" max="15872" width="9" style="1235"/>
    <col min="15873" max="15873" width="4.88671875" style="1235" customWidth="1"/>
    <col min="15874" max="15874" width="13.21875" style="1235" customWidth="1"/>
    <col min="15875" max="15875" width="15.6640625" style="1235" customWidth="1"/>
    <col min="15876" max="15876" width="9.33203125" style="1235" bestFit="1" customWidth="1"/>
    <col min="15877" max="15877" width="13.44140625" style="1235" customWidth="1"/>
    <col min="15878" max="15878" width="9" style="1235"/>
    <col min="15879" max="15879" width="9.33203125" style="1235" bestFit="1" customWidth="1"/>
    <col min="15880" max="15881" width="9" style="1235"/>
    <col min="15882" max="15882" width="9.33203125" style="1235" bestFit="1" customWidth="1"/>
    <col min="15883" max="15883" width="4" style="1235" customWidth="1"/>
    <col min="15884" max="15884" width="5.109375" style="1235" customWidth="1"/>
    <col min="15885" max="15885" width="13.77734375" style="1235" customWidth="1"/>
    <col min="15886" max="16128" width="9" style="1235"/>
    <col min="16129" max="16129" width="4.88671875" style="1235" customWidth="1"/>
    <col min="16130" max="16130" width="13.21875" style="1235" customWidth="1"/>
    <col min="16131" max="16131" width="15.6640625" style="1235" customWidth="1"/>
    <col min="16132" max="16132" width="9.33203125" style="1235" bestFit="1" customWidth="1"/>
    <col min="16133" max="16133" width="13.44140625" style="1235" customWidth="1"/>
    <col min="16134" max="16134" width="9" style="1235"/>
    <col min="16135" max="16135" width="9.33203125" style="1235" bestFit="1" customWidth="1"/>
    <col min="16136" max="16137" width="9" style="1235"/>
    <col min="16138" max="16138" width="9.33203125" style="1235" bestFit="1" customWidth="1"/>
    <col min="16139" max="16139" width="4" style="1235" customWidth="1"/>
    <col min="16140" max="16140" width="5.109375" style="1235" customWidth="1"/>
    <col min="16141" max="16141" width="13.77734375" style="1235" customWidth="1"/>
    <col min="16142" max="16384" width="9" style="1235"/>
  </cols>
  <sheetData>
    <row r="1" spans="1:257" s="1297" customFormat="1" ht="15" thickBot="1">
      <c r="A1" s="1291"/>
      <c r="B1" s="1298" t="s">
        <v>602</v>
      </c>
      <c r="C1" s="1292">
        <f>项目基本情况!D3</f>
        <v>44995</v>
      </c>
      <c r="D1" s="1298" t="s">
        <v>603</v>
      </c>
      <c r="E1" s="1293">
        <f>'数据-取费表'!B22</f>
        <v>3</v>
      </c>
      <c r="F1" s="1298" t="s">
        <v>604</v>
      </c>
      <c r="G1" s="1294">
        <f ca="1">INDIRECT("d"&amp;$K$1)/100</f>
        <v>3.6499999999999998E-2</v>
      </c>
      <c r="H1" s="1298" t="s">
        <v>634</v>
      </c>
      <c r="I1" s="1294">
        <f ca="1">F4/100</f>
        <v>1.4999999999999999E-2</v>
      </c>
      <c r="J1" s="1299">
        <f>IF(C1&gt;C13,0,MATCH(C1,C$13:C$109,-1))+IF(SUMIF(C13:C109,C1,D13:D109)=0,13,12)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399999999999999">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2">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31.2">
      <c r="A13" s="1280"/>
      <c r="B13" s="1281" t="s">
        <v>632</v>
      </c>
      <c r="C13" s="2817">
        <v>44795</v>
      </c>
      <c r="D13" s="2818">
        <v>3.65</v>
      </c>
      <c r="E13" s="2818">
        <f>D13</f>
        <v>3.65</v>
      </c>
      <c r="F13" s="2818">
        <f>D13</f>
        <v>3.65</v>
      </c>
      <c r="G13" s="2818">
        <f>D13</f>
        <v>3.65</v>
      </c>
      <c r="H13" s="2818">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5.6">
      <c r="A14" s="1280"/>
      <c r="B14" s="2812"/>
      <c r="C14" s="2814">
        <v>44701</v>
      </c>
      <c r="D14" s="2813">
        <v>3.7</v>
      </c>
      <c r="E14" s="2813">
        <f>D14</f>
        <v>3.7</v>
      </c>
      <c r="F14" s="2813">
        <f>D14</f>
        <v>3.7</v>
      </c>
      <c r="G14" s="2813">
        <f>D14</f>
        <v>3.7</v>
      </c>
      <c r="H14" s="2813">
        <v>4.45</v>
      </c>
      <c r="I14" s="2818"/>
      <c r="J14" s="2818"/>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5.6">
      <c r="A15" s="1280"/>
      <c r="B15" s="2812"/>
      <c r="C15" s="2814">
        <v>44581</v>
      </c>
      <c r="D15" s="2813">
        <v>3.7</v>
      </c>
      <c r="E15" s="2813">
        <f>D15</f>
        <v>3.7</v>
      </c>
      <c r="F15" s="2813">
        <f>D15</f>
        <v>3.7</v>
      </c>
      <c r="G15" s="2813">
        <f>D15</f>
        <v>3.7</v>
      </c>
      <c r="H15" s="2813">
        <v>4.5999999999999996</v>
      </c>
      <c r="I15" s="2818"/>
      <c r="J15" s="2818"/>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5.6">
      <c r="A16" s="1280"/>
      <c r="B16" s="2813"/>
      <c r="C16" s="2814">
        <v>44550</v>
      </c>
      <c r="D16" s="2813">
        <v>3.8</v>
      </c>
      <c r="E16" s="2813">
        <f>D16</f>
        <v>3.8</v>
      </c>
      <c r="F16" s="2813">
        <f>D16</f>
        <v>3.8</v>
      </c>
      <c r="G16" s="2813">
        <f>D16</f>
        <v>3.8</v>
      </c>
      <c r="H16" s="2813">
        <v>4.6500000000000004</v>
      </c>
      <c r="I16" s="2813"/>
      <c r="J16" s="2818"/>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5.6">
      <c r="A17" s="1280"/>
      <c r="B17" s="2813"/>
      <c r="C17" s="2814">
        <v>43941</v>
      </c>
      <c r="D17" s="2813">
        <v>3.85</v>
      </c>
      <c r="E17" s="2813">
        <v>3.85</v>
      </c>
      <c r="F17" s="2813">
        <v>3.85</v>
      </c>
      <c r="G17" s="2813">
        <v>3.85</v>
      </c>
      <c r="H17" s="2813">
        <v>4.6500000000000004</v>
      </c>
      <c r="I17" s="2813"/>
      <c r="J17" s="2813"/>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6.8">
      <c r="A18" s="1280"/>
      <c r="B18" s="2813"/>
      <c r="C18" s="2814">
        <v>43881</v>
      </c>
      <c r="D18" s="2813">
        <v>4.05</v>
      </c>
      <c r="E18" s="2813">
        <v>4.05</v>
      </c>
      <c r="F18" s="2813">
        <v>4.05</v>
      </c>
      <c r="G18" s="2813">
        <v>4.05</v>
      </c>
      <c r="H18" s="2813">
        <v>4.75</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5.6">
      <c r="A19" s="1280"/>
      <c r="B19" s="2813"/>
      <c r="C19" s="2814">
        <v>43789</v>
      </c>
      <c r="D19" s="2813">
        <v>4.1500000000000004</v>
      </c>
      <c r="E19" s="2813">
        <v>4.1500000000000004</v>
      </c>
      <c r="F19" s="2813">
        <v>4.1500000000000004</v>
      </c>
      <c r="G19" s="2813">
        <v>4.1500000000000004</v>
      </c>
      <c r="H19" s="2813">
        <v>4.8</v>
      </c>
      <c r="I19" s="2813"/>
      <c r="J19" s="2813"/>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5.6">
      <c r="A20" s="1280"/>
      <c r="B20" s="2813"/>
      <c r="C20" s="2814">
        <v>43728</v>
      </c>
      <c r="D20" s="2813">
        <v>4.2</v>
      </c>
      <c r="E20" s="2813">
        <v>4.2</v>
      </c>
      <c r="F20" s="2813">
        <v>4.2</v>
      </c>
      <c r="G20" s="2813">
        <v>4.2</v>
      </c>
      <c r="H20" s="2813">
        <v>4.8499999999999996</v>
      </c>
      <c r="I20" s="2813"/>
      <c r="J20" s="2813"/>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5.6">
      <c r="A21" s="1280"/>
      <c r="B21" s="2812" t="s">
        <v>2313</v>
      </c>
      <c r="C21" s="2815">
        <v>43697</v>
      </c>
      <c r="D21" s="2816">
        <v>4.25</v>
      </c>
      <c r="E21" s="2816">
        <v>4.25</v>
      </c>
      <c r="F21" s="2816">
        <v>4.25</v>
      </c>
      <c r="G21" s="2816">
        <v>4.25</v>
      </c>
      <c r="H21" s="2816">
        <v>4.8499999999999996</v>
      </c>
      <c r="I21" s="2816"/>
      <c r="J21" s="2816"/>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5.6">
      <c r="A22" s="2819"/>
      <c r="B22" s="2820"/>
      <c r="C22" s="2821">
        <v>42301</v>
      </c>
      <c r="D22" s="2822">
        <v>4.3499999999999996</v>
      </c>
      <c r="E22" s="2822">
        <v>4.3499999999999996</v>
      </c>
      <c r="F22" s="2822">
        <v>4.75</v>
      </c>
      <c r="G22" s="2822">
        <v>4.75</v>
      </c>
      <c r="H22" s="2822">
        <v>4.9000000000000004</v>
      </c>
      <c r="I22" s="2822"/>
      <c r="J22" s="2822"/>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161</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结果表-地下商业1</vt:lpstr>
      <vt:lpstr>成本法-地下商业1</vt:lpstr>
      <vt:lpstr>收益法-地下商业1</vt:lpstr>
      <vt:lpstr>结果表-地下商业2</vt:lpstr>
      <vt:lpstr>成本法-地下商业2</vt:lpstr>
      <vt:lpstr>收益法-地下商业2</vt:lpstr>
      <vt:lpstr>结果表-地下车库</vt:lpstr>
      <vt:lpstr>成本法-地下车库</vt:lpstr>
      <vt:lpstr>收益法-地下车库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'成本法-地下车库'!Print_Area</vt:lpstr>
      <vt:lpstr>'成本法-地下商业1'!Print_Area</vt:lpstr>
      <vt:lpstr>'成本法-地下商业2'!Print_Area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'结果表-地下车库'!Print_Area</vt:lpstr>
      <vt:lpstr>'结果表-地下商业1'!Print_Area</vt:lpstr>
      <vt:lpstr>'结果表-地下商业2'!Print_Area</vt:lpstr>
      <vt:lpstr>收益法!Print_Area</vt:lpstr>
      <vt:lpstr>'收益法 (元)'!Print_Area</vt:lpstr>
      <vt:lpstr>'收益法（汇总）'!Print_Area</vt:lpstr>
      <vt:lpstr>'收益法-地下车库'!Print_Area</vt:lpstr>
      <vt:lpstr>'收益法-地下商业1'!Print_Area</vt:lpstr>
      <vt:lpstr>'收益法-地下商业2'!Print_Area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2023-03-10T08:51:00Z</dcterms:modified>
</cp:coreProperties>
</file>