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225" windowWidth="21840" windowHeight="5610" tabRatio="899" firstSheet="16"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未出租" sheetId="81"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r:id="rId42"/>
    <sheet name="区片价（范围）" sheetId="75" r:id="rId43"/>
    <sheet name="地价-分区" sheetId="79" r:id="rId44"/>
    <sheet name="地价" sheetId="71" state="hidden" r:id="rId45"/>
    <sheet name="存贷款利率" sheetId="73" r:id="rId46"/>
    <sheet name="Sheet1" sheetId="80" r:id="rId47"/>
    <sheet name="Sheet2" sheetId="82" state="hidden"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'收益法-未出租'!$A$1:$F$43,'收益法-未出租'!$H$3:$M$29,'收益法-未出租'!$A$46:$F$71,'收益法-未出租'!$I$46:$N$65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6" i="1" l="1"/>
  <c r="AM7" i="1"/>
  <c r="AK7" i="1"/>
  <c r="D33" i="43"/>
  <c r="Q72" i="81" l="1"/>
  <c r="Q59" i="81"/>
  <c r="K59" i="81"/>
  <c r="P74" i="81" s="1"/>
  <c r="F59" i="81"/>
  <c r="Q58" i="81"/>
  <c r="Q51" i="81"/>
  <c r="J51" i="81"/>
  <c r="J50" i="8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Y6" i="1"/>
  <c r="U6" i="1"/>
  <c r="O33" i="80"/>
  <c r="O32" i="80"/>
  <c r="O30" i="80"/>
  <c r="O31" i="80"/>
  <c r="O29" i="80"/>
  <c r="E31" i="80"/>
  <c r="E30" i="80"/>
  <c r="E29" i="80"/>
  <c r="N31" i="80"/>
  <c r="M31" i="80"/>
  <c r="L31" i="80"/>
  <c r="K31" i="80"/>
  <c r="J31" i="80"/>
  <c r="I31" i="80"/>
  <c r="H31" i="80"/>
  <c r="G31" i="80"/>
  <c r="F31" i="80"/>
  <c r="N30" i="80"/>
  <c r="M30" i="80"/>
  <c r="L30" i="80"/>
  <c r="K30" i="80"/>
  <c r="J30" i="80"/>
  <c r="I30" i="80"/>
  <c r="H30" i="80"/>
  <c r="F30" i="80"/>
  <c r="G30" i="80"/>
  <c r="N29" i="80"/>
  <c r="M29" i="80"/>
  <c r="L29" i="80"/>
  <c r="K29" i="80"/>
  <c r="J29" i="80"/>
  <c r="I29" i="80"/>
  <c r="H29" i="80"/>
  <c r="G29" i="80"/>
  <c r="F29" i="80"/>
  <c r="N7" i="1"/>
  <c r="Y7" i="1" s="1"/>
  <c r="F20" i="6"/>
  <c r="F23" i="80"/>
  <c r="F19" i="6"/>
  <c r="G22" i="80"/>
  <c r="L24" i="80"/>
  <c r="D22" i="80"/>
  <c r="F22" i="80"/>
  <c r="E22" i="80"/>
  <c r="C76" i="81"/>
  <c r="M28" i="81"/>
  <c r="F7" i="81"/>
  <c r="M22" i="81"/>
  <c r="L47" i="81"/>
  <c r="F42" i="81"/>
  <c r="F43" i="81"/>
  <c r="F40" i="81"/>
  <c r="M24" i="81"/>
  <c r="F9" i="81"/>
  <c r="F8" i="81"/>
  <c r="Q71" i="81" l="1"/>
  <c r="F50" i="81"/>
  <c r="M7" i="81"/>
  <c r="F51" i="81"/>
  <c r="C49" i="81" s="1"/>
  <c r="F68" i="81"/>
  <c r="F71" i="81"/>
  <c r="N59" i="81"/>
  <c r="L59" i="81"/>
  <c r="M59" i="81"/>
  <c r="P61" i="81"/>
  <c r="N6" i="1"/>
  <c r="N19" i="1"/>
  <c r="N21" i="1" s="1"/>
  <c r="A3" i="3"/>
  <c r="B6" i="4"/>
  <c r="M6" i="81"/>
  <c r="F26" i="81"/>
  <c r="J15" i="81"/>
  <c r="F13" i="81"/>
  <c r="M8" i="81"/>
  <c r="F6" i="81"/>
  <c r="C17" i="81"/>
  <c r="F38" i="81"/>
  <c r="F37" i="81"/>
  <c r="M26" i="81"/>
  <c r="M29" i="81"/>
  <c r="F16" i="81"/>
  <c r="M23" i="81"/>
  <c r="M9" i="81"/>
  <c r="C14" i="81"/>
  <c r="F36" i="81"/>
  <c r="F65" i="81" l="1"/>
  <c r="C18" i="81"/>
  <c r="C15" i="81"/>
  <c r="J6" i="81"/>
  <c r="F66" i="81"/>
  <c r="F64" i="81"/>
  <c r="C27" i="81"/>
  <c r="C6" i="81"/>
  <c r="Q61" i="81"/>
  <c r="Q74" i="81"/>
  <c r="C61" i="81"/>
  <c r="E8" i="1"/>
  <c r="E9" i="1"/>
  <c r="E10" i="1"/>
  <c r="E11" i="1"/>
  <c r="E12" i="1"/>
  <c r="E13" i="1"/>
  <c r="C16" i="81"/>
  <c r="C19" i="81" l="1"/>
  <c r="C33" i="81"/>
  <c r="C32" i="81"/>
  <c r="J19" i="81"/>
  <c r="J18" i="81"/>
  <c r="P26" i="79"/>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20" i="81" l="1"/>
  <c r="C26" i="81" s="1"/>
  <c r="P28" i="79"/>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BL5" i="3" s="1"/>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L15" i="3"/>
  <c r="BM16" i="3"/>
  <c r="BM17" i="3"/>
  <c r="BO13" i="3"/>
  <c r="BO14" i="3"/>
  <c r="BO15" i="3"/>
  <c r="BO16" i="3"/>
  <c r="BO17" i="3"/>
  <c r="BN13" i="3"/>
  <c r="BN5" i="3" s="1"/>
  <c r="G29" i="6"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H5" i="3"/>
  <c r="BD5" i="3"/>
  <c r="AZ309" i="3"/>
  <c r="AZ317" i="3"/>
  <c r="AZ325" i="3"/>
  <c r="AZ333" i="3"/>
  <c r="AZ341" i="3"/>
  <c r="BQ5" i="3"/>
  <c r="AC5" i="3"/>
  <c r="AZ549" i="3"/>
  <c r="AZ506" i="3"/>
  <c r="AZ496" i="3"/>
  <c r="G548" i="3"/>
  <c r="G538" i="3"/>
  <c r="G520" i="3"/>
  <c r="G502" i="3"/>
  <c r="BP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BA13" i="3"/>
  <c r="BA5" i="3" s="1"/>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F37" i="15"/>
  <c r="F9" i="15"/>
  <c r="D3" i="73"/>
  <c r="F37" i="67"/>
  <c r="F40" i="67"/>
  <c r="F20" i="31"/>
  <c r="M8" i="67"/>
  <c r="J15" i="15"/>
  <c r="B10" i="76"/>
  <c r="M23" i="15"/>
  <c r="B12" i="76"/>
  <c r="M24" i="15"/>
  <c r="AO13" i="1"/>
  <c r="M9" i="67"/>
  <c r="M22" i="15"/>
  <c r="F6" i="67"/>
  <c r="M26" i="15"/>
  <c r="F16" i="67"/>
  <c r="L47" i="15"/>
  <c r="F36" i="67"/>
  <c r="F13" i="15"/>
  <c r="F26" i="15"/>
  <c r="F7" i="67"/>
  <c r="F40" i="15"/>
  <c r="M29" i="15"/>
  <c r="E10" i="76"/>
  <c r="C76" i="15"/>
  <c r="B9" i="76"/>
  <c r="L48" i="67"/>
  <c r="F7" i="73"/>
  <c r="F5" i="73"/>
  <c r="F38" i="15"/>
  <c r="M28" i="67"/>
  <c r="E11" i="76"/>
  <c r="E2" i="69"/>
  <c r="D5" i="73"/>
  <c r="C76" i="67"/>
  <c r="B13" i="76"/>
  <c r="F4" i="73"/>
  <c r="E12" i="76"/>
  <c r="E13" i="76"/>
  <c r="L48" i="81"/>
  <c r="F38" i="67"/>
  <c r="F42" i="15"/>
  <c r="F7" i="15"/>
  <c r="B11" i="76"/>
  <c r="F43" i="67"/>
  <c r="E7" i="76"/>
  <c r="M23" i="67"/>
  <c r="F8" i="15"/>
  <c r="M6" i="15"/>
  <c r="M28" i="15"/>
  <c r="F3" i="73"/>
  <c r="M29" i="67"/>
  <c r="M24" i="67"/>
  <c r="F13" i="67"/>
  <c r="F6" i="15"/>
  <c r="F9" i="67"/>
  <c r="D6" i="73"/>
  <c r="F16" i="15"/>
  <c r="M9" i="15"/>
  <c r="F36" i="15"/>
  <c r="F42" i="67"/>
  <c r="B8" i="76"/>
  <c r="L47" i="67"/>
  <c r="F26" i="67"/>
  <c r="F6" i="73"/>
  <c r="D7" i="73"/>
  <c r="E9" i="76"/>
  <c r="M26" i="67"/>
  <c r="F8" i="67"/>
  <c r="F43" i="15"/>
  <c r="E8" i="76"/>
  <c r="D4" i="73"/>
  <c r="M8" i="15"/>
  <c r="J15" i="67"/>
  <c r="B7" i="76"/>
  <c r="M6" i="67"/>
  <c r="F6" i="1" l="1"/>
  <c r="I24" i="43" s="1"/>
  <c r="C24" i="43" s="1"/>
  <c r="L56" i="81"/>
  <c r="J53" i="81"/>
  <c r="J57" i="81"/>
  <c r="J55" i="81" s="1"/>
  <c r="J58" i="81" s="1"/>
  <c r="Q50" i="81" s="1"/>
  <c r="L58" i="81"/>
  <c r="L57" i="81"/>
  <c r="L60" i="81"/>
  <c r="I54" i="81"/>
  <c r="G7" i="1"/>
  <c r="B75" i="43"/>
  <c r="B68" i="43"/>
  <c r="B57" i="43"/>
  <c r="B73" i="43"/>
  <c r="B79" i="43"/>
  <c r="B76" i="43"/>
  <c r="B77" i="43"/>
  <c r="F34" i="15"/>
  <c r="F62" i="15" s="1"/>
  <c r="F34" i="67"/>
  <c r="F62" i="67" s="1"/>
  <c r="C21" i="68"/>
  <c r="C40" i="69"/>
  <c r="G28" i="6"/>
  <c r="E28" i="6" s="1"/>
  <c r="K14" i="1"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A15" i="62"/>
  <c r="B61" i="72" s="1"/>
  <c r="A2" i="9"/>
  <c r="A4" i="52"/>
  <c r="B41"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9"/>
  <c r="F27" i="69"/>
  <c r="C36" i="69"/>
  <c r="D9" i="68"/>
  <c r="L48" i="15"/>
  <c r="C16" i="15"/>
  <c r="C16" i="67"/>
  <c r="G1" i="73"/>
  <c r="J57" i="15" l="1"/>
  <c r="J55" i="15" s="1"/>
  <c r="J58" i="15" s="1"/>
  <c r="Q50" i="15" s="1"/>
  <c r="J53" i="15"/>
  <c r="L56" i="15" s="1"/>
  <c r="I54" i="15"/>
  <c r="L58" i="15"/>
  <c r="Q60" i="15" s="1"/>
  <c r="G6" i="1"/>
  <c r="G16" i="1" s="1"/>
  <c r="F10" i="39" s="1"/>
  <c r="AA10" i="39" s="1"/>
  <c r="Q57" i="81"/>
  <c r="Q66" i="81"/>
  <c r="Q73" i="81"/>
  <c r="Q60" i="81"/>
  <c r="Q52" i="81"/>
  <c r="F1" i="81"/>
  <c r="F11" i="81"/>
  <c r="M11" i="81"/>
  <c r="J10" i="81" s="1"/>
  <c r="J5" i="81" s="1"/>
  <c r="K16" i="1"/>
  <c r="B29" i="1" s="1"/>
  <c r="C8" i="68"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F10" i="40"/>
  <c r="S10" i="40" s="1"/>
  <c r="H10" i="40"/>
  <c r="AB10" i="40" s="1"/>
  <c r="C7" i="43"/>
  <c r="C5" i="43" s="1"/>
  <c r="D10" i="52"/>
  <c r="D125" i="9"/>
  <c r="D11" i="52" s="1"/>
  <c r="B7" i="74"/>
  <c r="F67" i="39"/>
  <c r="E69" i="39"/>
  <c r="F59" i="67"/>
  <c r="H7" i="37"/>
  <c r="AB7" i="37" s="1"/>
  <c r="T42" i="37" s="1"/>
  <c r="G42" i="37" s="1"/>
  <c r="B40" i="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73" i="15"/>
  <c r="Q61" i="67"/>
  <c r="Q74" i="67"/>
  <c r="Q74" i="15"/>
  <c r="Q61" i="15"/>
  <c r="AE11" i="1"/>
  <c r="AE9" i="1"/>
  <c r="F27" i="68"/>
  <c r="AE8" i="1"/>
  <c r="AE12" i="1"/>
  <c r="AE10" i="1"/>
  <c r="AE7" i="1"/>
  <c r="Q52" i="15" l="1"/>
  <c r="F1" i="15"/>
  <c r="J10" i="39"/>
  <c r="W10" i="39" s="1"/>
  <c r="H10" i="39"/>
  <c r="U10" i="39" s="1"/>
  <c r="L36" i="43"/>
  <c r="P36" i="43" s="1"/>
  <c r="F24" i="81"/>
  <c r="J24" i="81"/>
  <c r="C53" i="81"/>
  <c r="C48" i="81" s="1"/>
  <c r="C10" i="81"/>
  <c r="C5" i="81" s="1"/>
  <c r="E65" i="39"/>
  <c r="L37" i="43"/>
  <c r="AC7" i="34"/>
  <c r="V49" i="34" s="1"/>
  <c r="I49" i="34" s="1"/>
  <c r="U7" i="34"/>
  <c r="AA7" i="34"/>
  <c r="R49" i="34"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81"/>
  <c r="AE6" i="1"/>
  <c r="F41" i="15"/>
  <c r="F41" i="81"/>
  <c r="F41" i="67"/>
  <c r="M27" i="67"/>
  <c r="F69" i="81" l="1"/>
  <c r="F69" i="67"/>
  <c r="AG6" i="1"/>
  <c r="O36" i="43"/>
  <c r="N36" i="43"/>
  <c r="M36" i="43"/>
  <c r="Q36" i="43"/>
  <c r="C66" i="81"/>
  <c r="C60" i="81"/>
  <c r="C24" i="81"/>
  <c r="C23" i="81"/>
  <c r="C38" i="81"/>
  <c r="B14" i="74"/>
  <c r="B1" i="74" s="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M27" i="15"/>
  <c r="C17" i="15"/>
  <c r="C29" i="81" l="1"/>
  <c r="C57" i="81" s="1"/>
  <c r="C64" i="81" s="1"/>
  <c r="C14" i="74"/>
  <c r="B2"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C13" i="81" l="1"/>
  <c r="C75" i="81" s="1"/>
  <c r="J59" i="81"/>
  <c r="J60" i="81" s="1"/>
  <c r="L46" i="81" s="1"/>
  <c r="C36" i="81"/>
  <c r="Q49" i="81"/>
  <c r="J14" i="81"/>
  <c r="J13" i="81" s="1"/>
  <c r="J23" i="81" s="1"/>
  <c r="D7" i="74"/>
  <c r="D8" i="74"/>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C23" i="69"/>
  <c r="B2" i="76"/>
  <c r="I69" i="39"/>
  <c r="J67" i="39"/>
  <c r="D9" i="71"/>
  <c r="I63" i="40"/>
  <c r="H65" i="40"/>
  <c r="I58" i="21"/>
  <c r="J58" i="21" s="1"/>
  <c r="K58" i="21" s="1"/>
  <c r="L58" i="21" s="1"/>
  <c r="M58" i="21" s="1"/>
  <c r="N58" i="21" s="1"/>
  <c r="O58" i="21" s="1"/>
  <c r="H7" i="21" s="1"/>
  <c r="F7" i="21"/>
  <c r="J48" i="35"/>
  <c r="J22" i="81" l="1"/>
  <c r="C56" i="81"/>
  <c r="C65" i="81" s="1"/>
  <c r="Q70" i="81"/>
  <c r="C37" i="81"/>
  <c r="Q48" i="81"/>
  <c r="H26" i="43"/>
  <c r="J26" i="43"/>
  <c r="E26" i="43"/>
  <c r="N94" i="46"/>
  <c r="F26" i="43"/>
  <c r="G26" i="43"/>
  <c r="N370" i="46"/>
  <c r="Z7" i="43"/>
  <c r="B116" i="43"/>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I122" i="43" l="1"/>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1"/>
  <c r="M21" i="15"/>
  <c r="M21" i="67"/>
  <c r="F35" i="15"/>
  <c r="F35" i="81"/>
  <c r="F35" i="67"/>
  <c r="J20" i="81" l="1"/>
  <c r="J17" i="81" s="1"/>
  <c r="J16" i="81" s="1"/>
  <c r="J25" i="81" s="1"/>
  <c r="J26" i="81" s="1"/>
  <c r="J29" i="81" s="1"/>
  <c r="F63" i="81"/>
  <c r="C62" i="81" s="1"/>
  <c r="C59" i="81" s="1"/>
  <c r="C58" i="81" s="1"/>
  <c r="C67" i="81" s="1"/>
  <c r="C68" i="81" s="1"/>
  <c r="C34" i="81"/>
  <c r="C31" i="81" s="1"/>
  <c r="C30" i="81" s="1"/>
  <c r="C39" i="81" s="1"/>
  <c r="C118" i="43"/>
  <c r="D116" i="43" s="1"/>
  <c r="C33" i="43"/>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Q69" i="81" l="1"/>
  <c r="Q68" i="81" s="1"/>
  <c r="C40" i="81"/>
  <c r="C46" i="81" s="1"/>
  <c r="C80" i="81"/>
  <c r="C79" i="81" s="1"/>
  <c r="C71" i="81"/>
  <c r="E2" i="76"/>
  <c r="B3" i="76" s="1"/>
  <c r="E33" i="43"/>
  <c r="C6" i="68" s="1"/>
  <c r="C7" i="68" s="1"/>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Q67" i="81" l="1"/>
  <c r="Q47" i="81"/>
  <c r="Q53" i="81" s="1"/>
  <c r="B2" i="81"/>
  <c r="B3" i="81" s="1"/>
  <c r="Q65" i="81"/>
  <c r="Q75" i="81" s="1"/>
  <c r="Q56" i="81"/>
  <c r="Q62" i="81" s="1"/>
  <c r="C43" i="81"/>
  <c r="C83" i="81"/>
  <c r="C82" i="81" s="1"/>
  <c r="C23" i="68"/>
  <c r="C20"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C28" i="68"/>
  <c r="C27" i="68" s="1"/>
  <c r="C25" i="68"/>
  <c r="C22" i="68" s="1"/>
  <c r="Q65" i="67"/>
  <c r="B2" i="33"/>
  <c r="B3" i="33" s="1"/>
  <c r="C83" i="67"/>
  <c r="C82" i="67" s="1"/>
  <c r="Q47" i="67"/>
  <c r="Q53" i="67" s="1"/>
  <c r="C46" i="67"/>
  <c r="Q56" i="67"/>
  <c r="C43" i="67"/>
  <c r="C80" i="15"/>
  <c r="C79" i="15" s="1"/>
  <c r="C40" i="15"/>
  <c r="C46" i="15" s="1"/>
  <c r="H7" i="39"/>
  <c r="J7" i="39"/>
  <c r="S7" i="39"/>
  <c r="AA7" i="39"/>
  <c r="R47" i="39" s="1"/>
  <c r="O63" i="40"/>
  <c r="O65" i="40" s="1"/>
  <c r="N65" i="40"/>
  <c r="E2" i="68"/>
  <c r="D2" i="34"/>
  <c r="D2" i="36"/>
  <c r="D2" i="35"/>
  <c r="D2" i="37"/>
  <c r="L51" i="15"/>
  <c r="Q57" i="67" l="1"/>
  <c r="Q66" i="67"/>
  <c r="C31" i="68"/>
  <c r="C52" i="68"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7" i="1"/>
  <c r="AO10" i="1"/>
  <c r="AO12" i="1"/>
  <c r="AO6" i="1"/>
  <c r="AO9" i="1"/>
  <c r="AO8" i="1"/>
  <c r="B2" i="68" l="1"/>
  <c r="C57" i="68"/>
  <c r="C56" i="68"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21" i="9" l="1"/>
  <c r="C102" i="9"/>
  <c r="B3" i="68"/>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D35" i="9"/>
  <c r="D34" i="9"/>
  <c r="D19" i="9"/>
  <c r="D21" i="9" l="1"/>
  <c r="D102" i="9"/>
  <c r="D22" i="9"/>
  <c r="G19" i="9"/>
  <c r="G21" i="9" s="1"/>
  <c r="B3" i="70"/>
  <c r="C103" i="9"/>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G14" i="74" s="1"/>
  <c r="B6" i="74" s="1"/>
  <c r="D6" i="74" s="1"/>
  <c r="F119" i="9"/>
  <c r="F5" i="52" s="1"/>
  <c r="B53" i="72" s="1"/>
  <c r="G118" i="9"/>
  <c r="G4" i="52" s="1"/>
  <c r="B52" i="72" s="1"/>
  <c r="H101" i="9"/>
  <c r="I118" i="9"/>
  <c r="D119" i="9"/>
  <c r="D5" i="52" s="1"/>
  <c r="B49" i="72" s="1"/>
  <c r="H4" i="52"/>
  <c r="H119" i="9"/>
  <c r="H5" i="52" s="1"/>
  <c r="F14" i="74" l="1"/>
  <c r="E14" i="74"/>
  <c r="B5" i="74"/>
  <c r="D5" i="74" s="1"/>
  <c r="D45" i="9"/>
  <c r="M48" i="9"/>
  <c r="H107" i="9"/>
  <c r="D5" i="53"/>
  <c r="C105" i="9"/>
  <c r="I4" i="52"/>
  <c r="H102" i="9"/>
  <c r="E118" i="9"/>
  <c r="E4" i="52" s="1"/>
  <c r="B48" i="72" s="1"/>
  <c r="D7" i="53" l="1"/>
  <c r="B21" i="72" s="1"/>
  <c r="C5" i="74"/>
  <c r="D122" i="9"/>
  <c r="H108" i="9"/>
  <c r="D13" i="53"/>
  <c r="D53" i="9"/>
  <c r="D52" i="9"/>
  <c r="C72" i="9"/>
  <c r="C85" i="9"/>
  <c r="C64" i="9"/>
  <c r="C63" i="9" s="1"/>
  <c r="C67" i="9" s="1"/>
  <c r="C78" i="9"/>
  <c r="C73" i="9" s="1"/>
  <c r="C93" i="9"/>
  <c r="C86" i="9" s="1"/>
  <c r="D55" i="9"/>
  <c r="M53" i="9" s="1"/>
  <c r="B20" i="72"/>
  <c r="D6" i="53"/>
  <c r="B22" i="72" s="1"/>
  <c r="C95" i="9" l="1"/>
  <c r="C96" i="9" s="1"/>
  <c r="E96" i="9" s="1"/>
  <c r="E97" i="9" s="1"/>
  <c r="D14" i="53"/>
  <c r="B32" i="72" s="1"/>
  <c r="B30" i="72"/>
  <c r="D123" i="9"/>
  <c r="D9" i="52" s="1"/>
  <c r="D8" i="52"/>
  <c r="D59" i="9"/>
  <c r="M55" i="9" s="1"/>
  <c r="C68" i="9"/>
  <c r="D54" i="9" s="1"/>
  <c r="C79" i="9"/>
  <c r="C6" i="74"/>
  <c r="D15" i="53"/>
  <c r="B31" i="72" s="1"/>
  <c r="C80" i="9" l="1"/>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<sst xmlns="http://schemas.openxmlformats.org/spreadsheetml/2006/main" count="8296" uniqueCount="3473">
  <si>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</si>
  <si>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</si>
  <si>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</si>
  <si>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</si>
  <si>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</si>
  <si>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</si>
  <si>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</si>
  <si>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</si>
  <si>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</si>
  <si>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</si>
  <si>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</si>
  <si>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</si>
  <si>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</si>
  <si>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</si>
  <si>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</si>
  <si>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</si>
  <si>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</si>
  <si>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</si>
  <si>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</si>
  <si>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</si>
  <si>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</si>
  <si>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</si>
  <si>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</si>
  <si>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</si>
  <si>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</si>
  <si>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</si>
  <si>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</si>
  <si>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</si>
  <si>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</si>
  <si>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</si>
  <si>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</si>
  <si>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</si>
  <si>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</si>
  <si>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</si>
  <si>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</si>
  <si>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</si>
  <si>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</si>
  <si>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</si>
  <si>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</si>
  <si>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</si>
  <si>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</si>
  <si>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</si>
  <si>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</si>
  <si>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</si>
  <si>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</si>
  <si>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</si>
  <si>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</si>
  <si>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</si>
  <si>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</si>
  <si>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</si>
  <si>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</si>
  <si>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</si>
  <si>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</si>
  <si>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</si>
  <si>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</si>
  <si>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</si>
  <si>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</si>
  <si>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</si>
  <si>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</si>
  <si>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</si>
  <si>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</si>
  <si>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</si>
  <si>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</si>
  <si>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</si>
  <si>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</si>
  <si>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</si>
  <si>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</si>
  <si>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</si>
  <si>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</si>
  <si>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</si>
  <si>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</si>
  <si>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</si>
  <si>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</si>
  <si>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</si>
  <si>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</si>
  <si>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</si>
  <si>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</si>
  <si>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</si>
  <si>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</si>
  <si>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</si>
  <si>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</si>
  <si>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</si>
  <si>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</si>
  <si>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</si>
  <si>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</si>
  <si>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</si>
  <si>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</si>
  <si>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</si>
  <si>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</si>
  <si>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</si>
  <si>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</si>
  <si>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</si>
  <si>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</si>
  <si>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</si>
  <si>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</si>
  <si>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</si>
  <si>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</si>
  <si>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</si>
  <si>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</si>
  <si>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</si>
  <si>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</si>
  <si>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</si>
  <si>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</si>
  <si>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</si>
  <si>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</si>
  <si>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</si>
  <si>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</si>
  <si>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</si>
  <si>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</si>
  <si>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</si>
  <si>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</si>
  <si>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</si>
  <si>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</si>
  <si>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</si>
  <si>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</si>
  <si>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</si>
  <si>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</si>
  <si>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</si>
  <si>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</si>
  <si>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</si>
  <si>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</si>
  <si>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</si>
  <si>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</si>
  <si>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</si>
  <si>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</si>
  <si>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</si>
  <si>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</si>
  <si>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</si>
  <si>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</si>
  <si>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</si>
  <si>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</si>
  <si>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</si>
  <si>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</si>
  <si>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</si>
  <si>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</si>
  <si>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</si>
  <si>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</si>
  <si>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</si>
  <si>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</si>
  <si>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</si>
  <si>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</si>
  <si>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</si>
  <si>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</si>
  <si>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</si>
  <si>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</si>
  <si>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</si>
  <si>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</si>
  <si>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</si>
  <si>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</si>
  <si>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</si>
  <si>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</si>
  <si>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</si>
  <si>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</si>
  <si>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</si>
  <si>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</si>
  <si>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</si>
  <si>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</si>
  <si>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</si>
  <si>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</si>
  <si>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</si>
  <si>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</si>
  <si>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</si>
  <si>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</si>
  <si>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</si>
  <si>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</si>
  <si>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</si>
  <si>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</si>
  <si>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</si>
  <si>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</si>
  <si>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</si>
  <si>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</si>
  <si>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</si>
  <si>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</si>
  <si>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</si>
  <si>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</si>
  <si>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</si>
  <si>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</si>
  <si>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</si>
  <si>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</si>
  <si>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</si>
  <si>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</si>
  <si>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</si>
  <si>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</si>
  <si>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</si>
  <si>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</si>
  <si>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</si>
  <si>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</si>
  <si>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</si>
  <si>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</si>
  <si>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</si>
  <si>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</si>
  <si>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</si>
  <si>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</si>
  <si>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</si>
  <si>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</si>
  <si>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</si>
  <si>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</si>
  <si>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</si>
  <si>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</si>
  <si>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</si>
  <si>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</si>
  <si>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</si>
  <si>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</si>
  <si>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</si>
  <si>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</si>
  <si>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</si>
  <si>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</si>
  <si>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</si>
  <si>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</si>
  <si>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</si>
  <si>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</si>
  <si>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</si>
  <si>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</si>
  <si>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</si>
  <si>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</si>
  <si>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</si>
  <si>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</si>
  <si>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</si>
  <si>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</si>
  <si>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</si>
  <si>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</si>
  <si>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</si>
  <si>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</si>
  <si>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</si>
  <si>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</si>
  <si>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</si>
  <si>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</si>
  <si>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</si>
  <si>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</si>
  <si>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</si>
  <si>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</si>
  <si>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</si>
  <si>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</si>
  <si>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</si>
  <si>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</si>
  <si>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</si>
  <si>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</si>
  <si>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</si>
  <si>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</si>
  <si>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</si>
  <si>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</si>
  <si>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</si>
  <si>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</si>
  <si>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</si>
  <si>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</si>
  <si>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</si>
  <si>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</si>
  <si>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</si>
  <si>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</si>
  <si>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</si>
  <si>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</si>
  <si>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</si>
  <si>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</si>
  <si>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</si>
  <si>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</si>
  <si>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</si>
  <si>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</si>
  <si>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</si>
  <si>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</si>
  <si>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</si>
  <si>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</si>
  <si>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</si>
  <si>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</si>
  <si>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</si>
  <si>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</si>
  <si>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</si>
  <si>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</si>
  <si>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</si>
  <si>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</si>
  <si>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</si>
  <si>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</si>
  <si>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</si>
  <si>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</si>
  <si>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</si>
  <si>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</si>
  <si>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</si>
  <si>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</si>
  <si>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</si>
  <si>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</si>
  <si>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</si>
  <si>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</si>
  <si>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</si>
  <si>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</si>
  <si>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</si>
  <si>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</si>
  <si>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</si>
  <si>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</si>
  <si>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</si>
  <si>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</si>
  <si>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</si>
  <si>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</si>
  <si>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</si>
  <si>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</si>
  <si>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</si>
  <si>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</si>
  <si>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</si>
  <si>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</si>
  <si>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</si>
  <si>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</si>
  <si>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</si>
  <si>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</si>
  <si>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</si>
  <si>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</si>
  <si>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</si>
  <si>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</si>
  <si>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</si>
  <si>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</si>
  <si>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</si>
  <si>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</si>
  <si>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</si>
  <si>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</si>
  <si>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</si>
  <si>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</si>
  <si>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</si>
  <si>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</si>
  <si>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</si>
  <si>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</si>
  <si>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</si>
  <si>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</si>
  <si>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</si>
  <si>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</si>
  <si>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</si>
  <si>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</si>
  <si>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</si>
  <si>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</si>
  <si>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</si>
  <si>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</si>
  <si>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</si>
  <si>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</si>
  <si>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</si>
  <si>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</si>
  <si>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</si>
  <si>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</si>
  <si>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</si>
  <si>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</si>
  <si>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</si>
  <si>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</si>
  <si>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</si>
  <si>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</si>
  <si>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</si>
  <si>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</si>
  <si>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</si>
  <si>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</si>
  <si>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</si>
  <si>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</si>
  <si>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</si>
  <si>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</si>
  <si>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</si>
  <si>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</si>
  <si>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</si>
  <si>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</si>
  <si>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</si>
  <si>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</si>
  <si>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</si>
  <si>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</si>
  <si>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</si>
  <si>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</si>
  <si>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</si>
  <si>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</si>
  <si>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</si>
  <si>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</si>
  <si>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</si>
  <si>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</si>
  <si>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</si>
  <si>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</si>
  <si>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</si>
  <si>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</si>
  <si>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</si>
  <si>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</si>
  <si>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</si>
  <si>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</si>
  <si>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</si>
  <si>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</si>
  <si>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</si>
  <si>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</si>
  <si>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</si>
  <si>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</si>
  <si>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</si>
  <si>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</si>
  <si>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</si>
  <si>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</si>
  <si>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</si>
  <si>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</si>
  <si>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</si>
  <si>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</si>
  <si>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</si>
  <si>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</si>
  <si>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</si>
  <si>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</si>
  <si>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</si>
  <si>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</si>
  <si>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</si>
  <si>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</si>
  <si>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</si>
  <si>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</si>
  <si>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</si>
  <si>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</si>
  <si>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</si>
  <si>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</si>
  <si>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</si>
  <si>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</si>
  <si>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</si>
  <si>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</si>
  <si>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</si>
  <si>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</si>
  <si>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</si>
  <si>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</si>
  <si>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</si>
  <si>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</si>
  <si>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</si>
  <si>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</si>
  <si>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</si>
  <si>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</si>
  <si>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</si>
  <si>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</si>
  <si>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</si>
  <si>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</si>
  <si>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</si>
  <si>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</si>
  <si>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</si>
  <si>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</si>
  <si>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</si>
  <si>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</si>
  <si>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</si>
  <si>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</si>
  <si>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</si>
  <si>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</si>
  <si>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</si>
  <si>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</si>
  <si>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</si>
  <si>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</si>
  <si>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</si>
  <si>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</si>
  <si>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</si>
  <si>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</si>
  <si>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</si>
  <si>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</si>
  <si>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</si>
  <si>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</si>
  <si>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</si>
  <si>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</si>
  <si>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</si>
  <si>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</si>
  <si>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</si>
  <si>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</si>
  <si>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</si>
  <si>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</si>
  <si>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</si>
  <si>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</si>
  <si>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</si>
  <si>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</si>
  <si>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</si>
  <si>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</si>
  <si>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</si>
  <si>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</si>
  <si>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</si>
  <si>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</si>
  <si>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</si>
  <si>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</si>
  <si>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</si>
  <si>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</si>
  <si>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</si>
  <si>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</si>
  <si>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</si>
  <si>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</si>
  <si>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</si>
  <si>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</si>
  <si>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</si>
  <si>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</si>
  <si>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</si>
  <si>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</si>
  <si>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</si>
  <si>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</si>
  <si>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</si>
  <si>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</si>
  <si>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</si>
  <si>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</si>
  <si>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</si>
  <si>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</si>
  <si>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</si>
  <si>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</si>
  <si>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</si>
  <si>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</si>
  <si>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</si>
  <si>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</si>
  <si>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</si>
  <si>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</si>
  <si>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</si>
  <si>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</si>
  <si>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</si>
  <si>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</si>
  <si>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</si>
  <si>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</si>
  <si>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</si>
  <si>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</si>
  <si>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</si>
  <si>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</si>
  <si>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</si>
  <si>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</si>
  <si>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</si>
  <si>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</si>
  <si>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</si>
  <si>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</si>
  <si>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</si>
  <si>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</si>
  <si>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</si>
  <si>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</si>
  <si>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</si>
  <si>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</si>
  <si>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</si>
  <si>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</si>
  <si>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</si>
  <si>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</si>
  <si>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</si>
  <si>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</si>
  <si>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</si>
  <si>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</si>
  <si>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</si>
  <si>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</si>
  <si>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</si>
  <si>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</si>
  <si>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</si>
  <si>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</si>
  <si>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</si>
  <si>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</si>
  <si>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</si>
  <si>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</si>
  <si>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</si>
  <si>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</si>
  <si>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</si>
  <si>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</si>
  <si>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</si>
  <si>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</si>
  <si>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</si>
  <si>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</si>
  <si>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</si>
  <si>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</si>
  <si>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</si>
  <si>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</si>
  <si>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</si>
  <si>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</si>
  <si>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</si>
  <si>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</si>
  <si>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</si>
  <si>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</si>
  <si>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</si>
  <si>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</si>
  <si>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</si>
  <si>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</si>
  <si>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</si>
  <si>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</si>
  <si>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</si>
  <si>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</si>
  <si>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</si>
  <si>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</si>
  <si>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</si>
  <si>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</si>
  <si>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</si>
  <si>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</si>
  <si>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</si>
  <si>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</si>
  <si>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</si>
  <si>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</si>
  <si>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</si>
  <si>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</si>
  <si>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</si>
  <si>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</si>
  <si>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</si>
  <si>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</si>
  <si>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</si>
  <si>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</si>
  <si>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</si>
  <si>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</si>
  <si>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</si>
  <si>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</si>
  <si>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</si>
  <si>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</si>
  <si>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</si>
  <si>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</si>
  <si>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</si>
  <si>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</si>
  <si>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</si>
  <si>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</si>
  <si>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</si>
  <si>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</si>
  <si>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</si>
  <si>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</si>
  <si>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</si>
  <si>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</si>
  <si>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</si>
  <si>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</si>
  <si>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</si>
  <si>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</si>
  <si>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</si>
  <si>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</si>
  <si>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</si>
  <si>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</si>
  <si>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</si>
  <si>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</si>
  <si>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</si>
  <si>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</si>
  <si>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</si>
  <si>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</si>
  <si>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</si>
  <si>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</si>
  <si>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</si>
  <si>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</si>
  <si>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</si>
  <si>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</si>
  <si>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</si>
  <si>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</si>
  <si>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</si>
  <si>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</si>
  <si>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</si>
  <si>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</si>
  <si>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</si>
  <si>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</si>
  <si>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</si>
  <si>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</si>
  <si>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</si>
  <si>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</si>
  <si>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</si>
  <si>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</si>
  <si>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</si>
  <si>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</si>
  <si>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</si>
  <si>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</si>
  <si>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</si>
  <si>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</si>
  <si>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</si>
  <si>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</si>
  <si>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</si>
  <si>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</si>
  <si>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</si>
  <si>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</si>
  <si>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</si>
  <si>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</si>
  <si>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</si>
  <si>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</si>
  <si>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</si>
  <si>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</si>
  <si>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</si>
  <si>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</si>
  <si>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</si>
  <si>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</si>
  <si>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</si>
  <si>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</si>
  <si>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</si>
  <si>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</si>
  <si>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</si>
  <si>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</si>
  <si>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</si>
  <si>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</si>
  <si>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</si>
  <si>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</si>
  <si>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</si>
  <si>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</si>
  <si>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</si>
  <si>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</si>
  <si>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</si>
  <si>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</si>
  <si>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</si>
  <si>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</si>
  <si>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</si>
  <si>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</si>
  <si>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</si>
  <si>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</si>
  <si>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</si>
  <si>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</si>
  <si>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</si>
  <si>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</si>
  <si>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</si>
  <si>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</si>
  <si>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</si>
  <si>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</si>
  <si>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</si>
  <si>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</si>
  <si>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</si>
  <si>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</si>
  <si>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</si>
  <si>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</si>
  <si>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</si>
  <si>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</si>
  <si>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</si>
  <si>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</si>
  <si>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</si>
  <si>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</si>
  <si>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</si>
  <si>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</si>
  <si>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</si>
  <si>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</si>
  <si>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</si>
  <si>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</si>
  <si>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</si>
  <si>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</si>
  <si>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</si>
  <si>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</si>
  <si>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</si>
  <si>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</si>
  <si>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</si>
  <si>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</si>
  <si>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</si>
  <si>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</si>
  <si>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</si>
  <si>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</si>
  <si>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</si>
  <si>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</si>
  <si>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</si>
  <si>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</si>
  <si>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</si>
  <si>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</si>
  <si>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</si>
  <si>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</si>
  <si>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</si>
  <si>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</si>
  <si>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</si>
  <si>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</si>
  <si>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</si>
  <si>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</si>
  <si>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</si>
  <si>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</si>
  <si>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</si>
  <si>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</si>
  <si>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</si>
  <si>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</si>
  <si>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</si>
  <si>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</si>
  <si>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</si>
  <si>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</si>
  <si>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</si>
  <si>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</si>
  <si>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</si>
  <si>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</si>
  <si>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</si>
  <si>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</si>
  <si>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</si>
  <si>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</si>
  <si>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</si>
  <si>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</si>
  <si>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</si>
  <si>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</si>
  <si>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</si>
  <si>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</si>
  <si>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</si>
  <si>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</si>
  <si>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</si>
  <si>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</si>
  <si>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</si>
  <si>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</si>
  <si>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</si>
  <si>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</si>
  <si>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</si>
  <si>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</si>
  <si>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</si>
  <si>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</si>
  <si>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</si>
  <si>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</si>
  <si>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</si>
  <si>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</si>
  <si>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</si>
  <si>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</si>
  <si>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</si>
  <si>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</si>
  <si>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</si>
  <si>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</si>
  <si>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</si>
  <si>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</si>
  <si>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</si>
  <si>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</si>
  <si>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</si>
  <si>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</si>
  <si>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</si>
  <si>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</si>
  <si>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</si>
  <si>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</si>
  <si>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</si>
  <si>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</si>
  <si>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</si>
  <si>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</si>
  <si>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</si>
  <si>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</si>
  <si>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</si>
  <si>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</si>
  <si>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</si>
  <si>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</si>
  <si>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</si>
  <si>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</si>
  <si>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</si>
  <si>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</si>
  <si>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</si>
  <si>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</si>
  <si>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</si>
  <si>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</si>
  <si>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</si>
  <si>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</si>
  <si>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</si>
  <si>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</si>
  <si>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</si>
  <si>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</si>
  <si>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</si>
  <si>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</si>
  <si>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</si>
  <si>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</si>
  <si>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</si>
  <si>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</si>
  <si>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</si>
  <si>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</si>
  <si>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</si>
  <si>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</si>
  <si>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</si>
  <si>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</si>
  <si>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</si>
  <si>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</si>
  <si>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</si>
  <si>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</si>
  <si>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</si>
  <si>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</si>
  <si>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</si>
  <si>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</si>
  <si>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</si>
  <si>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</si>
  <si>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</si>
  <si>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</si>
  <si>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</si>
  <si>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</si>
  <si>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</si>
  <si>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</si>
  <si>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</si>
  <si>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</si>
  <si>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</si>
  <si>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</si>
  <si>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</si>
  <si>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</si>
  <si>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</si>
  <si>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</si>
  <si>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</si>
  <si>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</si>
  <si>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</si>
  <si>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</si>
  <si>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</si>
  <si>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</si>
  <si>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</si>
  <si>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</si>
  <si>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</si>
  <si>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</si>
  <si>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</si>
  <si>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</si>
  <si>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</si>
  <si>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</si>
  <si>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</si>
  <si>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</si>
  <si>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</si>
  <si>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</si>
  <si>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</si>
  <si>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</si>
  <si>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</si>
  <si>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</si>
  <si>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</si>
  <si>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</si>
  <si>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</si>
  <si>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</si>
  <si>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</si>
  <si>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</si>
  <si>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</si>
  <si>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</si>
  <si>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</si>
  <si>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</si>
  <si>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</si>
  <si>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</si>
  <si>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</si>
  <si>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</si>
  <si>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</si>
  <si>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</si>
  <si>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</si>
  <si>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</si>
  <si>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</si>
  <si>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</si>
  <si>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</si>
  <si>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</si>
  <si>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</si>
  <si>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</si>
  <si>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</si>
  <si>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</si>
  <si>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</si>
  <si>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</si>
  <si>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</si>
  <si>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</si>
  <si>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</si>
  <si>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</si>
  <si>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</si>
  <si>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</si>
  <si>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</si>
  <si>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</si>
  <si>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</si>
  <si>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</si>
  <si>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</si>
  <si>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</si>
  <si>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</si>
  <si>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</si>
  <si>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</si>
  <si>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</si>
  <si>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</si>
  <si>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</si>
  <si>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</si>
  <si>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</si>
  <si>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</si>
  <si>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</si>
  <si>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</si>
  <si>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</si>
  <si>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</si>
  <si>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</si>
  <si>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</si>
  <si>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</si>
  <si>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</si>
  <si>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</si>
  <si>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</si>
  <si>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</si>
  <si>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</si>
  <si>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</si>
  <si>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</si>
  <si>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</si>
  <si>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</si>
  <si>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</si>
  <si>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</si>
  <si>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</si>
  <si>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</si>
  <si>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</si>
  <si>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</si>
  <si>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</si>
  <si>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</si>
  <si>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</si>
  <si>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</si>
  <si>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</si>
  <si>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</si>
  <si>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</si>
  <si>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</si>
  <si>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</si>
  <si>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</si>
  <si>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</si>
  <si>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</si>
  <si>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</si>
  <si>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</si>
  <si>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</si>
  <si>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</si>
  <si>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</si>
  <si>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</si>
  <si>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</si>
  <si>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</si>
  <si>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</si>
  <si>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</si>
  <si>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</si>
  <si>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</si>
  <si>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</si>
  <si>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</si>
  <si>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</si>
  <si>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</si>
  <si>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</si>
  <si>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</si>
  <si>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</si>
  <si>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</si>
  <si>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</si>
  <si>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</si>
  <si>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</si>
  <si>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</si>
  <si>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</si>
  <si>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</si>
  <si>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</si>
  <si>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</si>
  <si>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</si>
  <si>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</si>
  <si>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</si>
  <si>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</si>
  <si>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</si>
  <si>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</si>
  <si>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</si>
  <si>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</si>
  <si>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</si>
  <si>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</si>
  <si>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</si>
  <si>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</si>
  <si>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</si>
  <si>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</si>
  <si>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</si>
  <si>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</si>
  <si>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</si>
  <si>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</si>
  <si>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</si>
  <si>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</si>
  <si>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</si>
  <si>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</si>
  <si>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</si>
  <si>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</si>
  <si>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</si>
  <si>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</si>
  <si>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</si>
  <si>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</si>
  <si>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</si>
  <si>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</si>
  <si>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</si>
  <si>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</si>
  <si>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</si>
  <si>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</si>
  <si>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</si>
  <si>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</si>
  <si>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</si>
  <si>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</si>
  <si>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</si>
  <si>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</si>
  <si>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</si>
  <si>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</si>
  <si>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</si>
  <si>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</si>
  <si>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</si>
  <si>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</si>
  <si>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</si>
  <si>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</si>
  <si>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</si>
  <si>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</si>
  <si>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</si>
  <si>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</si>
  <si>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</si>
  <si>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</si>
  <si>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</si>
  <si>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</si>
  <si>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</si>
  <si>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</si>
  <si>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</si>
  <si>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</si>
  <si>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</si>
  <si>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</si>
  <si>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</si>
  <si>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</si>
  <si>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</si>
  <si>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</si>
  <si>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</si>
  <si>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</si>
  <si>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</si>
  <si>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</si>
  <si>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</si>
  <si>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</si>
  <si>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</si>
  <si>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</si>
  <si>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</si>
  <si>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</si>
  <si>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</si>
  <si>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</si>
  <si>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</si>
  <si>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</si>
  <si>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</si>
  <si>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</si>
  <si>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</si>
  <si>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</si>
  <si>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</si>
  <si>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</si>
  <si>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</si>
  <si>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</si>
  <si>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</si>
  <si>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</si>
  <si>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</si>
  <si>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</si>
  <si>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</si>
  <si>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</si>
  <si>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</si>
  <si>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</si>
  <si>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</si>
  <si>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</si>
  <si>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</si>
  <si>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</si>
  <si>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</si>
  <si>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</si>
  <si>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</si>
  <si>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</si>
  <si>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</si>
  <si>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</si>
  <si>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</si>
  <si>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</si>
  <si>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</si>
  <si>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</si>
  <si>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</si>
  <si>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</si>
  <si>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</si>
  <si>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</si>
  <si>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</si>
  <si>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</si>
  <si>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</si>
  <si>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</si>
  <si>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</si>
  <si>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</si>
  <si>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</si>
  <si>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</si>
  <si>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</si>
  <si>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</si>
  <si>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</si>
  <si>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</si>
  <si>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</si>
  <si>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</si>
  <si>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</si>
  <si>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</si>
  <si>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</si>
  <si>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</si>
  <si>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</si>
  <si>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</si>
  <si>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</si>
  <si>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</si>
  <si>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</si>
  <si>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</si>
  <si>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</si>
  <si>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</si>
  <si>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</si>
  <si>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</si>
  <si>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</si>
  <si>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</si>
  <si>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</si>
  <si>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</si>
  <si>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</si>
  <si>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</si>
  <si>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</si>
  <si>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</si>
  <si>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</si>
  <si>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</si>
  <si>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</si>
  <si>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</si>
  <si>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</si>
  <si>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</si>
  <si>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</si>
  <si>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</si>
  <si>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</si>
  <si>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</si>
  <si>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</si>
  <si>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</si>
  <si>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</si>
  <si>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</si>
  <si>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</si>
  <si>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</si>
  <si>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</si>
  <si>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</si>
  <si>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</si>
  <si>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</si>
  <si>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</si>
  <si>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</si>
  <si>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</si>
  <si>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</si>
  <si>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</si>
  <si>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</si>
  <si>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</si>
  <si>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</si>
  <si>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</si>
  <si>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</si>
  <si>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</si>
  <si>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</si>
  <si>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</si>
  <si>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</si>
  <si>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</si>
  <si>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</si>
  <si>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</si>
  <si>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</si>
  <si>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</si>
  <si>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</si>
  <si>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</si>
  <si>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</si>
  <si>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</si>
  <si>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</si>
  <si>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</si>
  <si>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</si>
  <si>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</si>
  <si>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</si>
  <si>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</si>
  <si>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</si>
  <si>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</si>
  <si>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</si>
  <si>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</si>
  <si>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</si>
  <si>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</si>
  <si>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</si>
  <si>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</si>
  <si>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</si>
  <si>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</si>
  <si>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</si>
  <si>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</si>
  <si>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</si>
  <si>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</si>
  <si>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</si>
  <si>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</si>
  <si>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</si>
  <si>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</si>
  <si>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</si>
  <si>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</si>
  <si>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</si>
  <si>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</si>
  <si>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</si>
  <si>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</si>
  <si>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</si>
  <si>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</si>
  <si>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</si>
  <si>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</si>
  <si>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</si>
  <si>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</si>
  <si>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</si>
  <si>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</si>
  <si>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</si>
  <si>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</si>
  <si>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</si>
  <si>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</si>
  <si>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</si>
  <si>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</si>
  <si>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</si>
  <si>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</si>
  <si>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</si>
  <si>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</si>
  <si>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</si>
  <si>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</si>
  <si>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</si>
  <si>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</si>
  <si>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</si>
  <si>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</si>
  <si>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</si>
  <si>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</si>
  <si>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</si>
  <si>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</si>
  <si>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</si>
  <si>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</si>
  <si>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</si>
  <si>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</si>
  <si>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</si>
  <si>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</si>
  <si>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</si>
  <si>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</si>
  <si>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</si>
  <si>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</si>
  <si>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</si>
  <si>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</si>
  <si>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</si>
  <si>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</si>
  <si>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</si>
  <si>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</si>
  <si>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</si>
  <si>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</si>
  <si>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</si>
  <si>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</si>
  <si>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</si>
  <si>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</si>
  <si>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</si>
  <si>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</si>
  <si>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</si>
  <si>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</si>
  <si>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</si>
  <si>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</si>
  <si>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</si>
  <si>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</si>
  <si>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</si>
  <si>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</si>
  <si>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</si>
  <si>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</si>
  <si>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</si>
  <si>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</si>
  <si>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</si>
  <si>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</si>
  <si>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</si>
  <si>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</si>
  <si>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</si>
  <si>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</si>
  <si>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</si>
  <si>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</si>
  <si>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</si>
  <si>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</si>
  <si>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</si>
  <si>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</si>
  <si>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</si>
  <si>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</si>
  <si>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</si>
  <si>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</si>
  <si>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</si>
  <si>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</si>
  <si>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</si>
  <si>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</si>
  <si>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</si>
  <si>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</si>
  <si>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</si>
  <si>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</si>
  <si>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</si>
  <si>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</si>
  <si>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</si>
  <si>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</si>
  <si>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</si>
  <si>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</si>
  <si>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</si>
  <si>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</si>
  <si>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</si>
  <si>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</si>
  <si>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</si>
  <si>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</si>
  <si>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</si>
  <si>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</si>
  <si>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</si>
  <si>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</si>
  <si>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</si>
  <si>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</si>
  <si>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</si>
  <si>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</si>
  <si>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</si>
  <si>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</si>
  <si>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</si>
  <si>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</si>
  <si>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</si>
  <si>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</si>
  <si>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</si>
  <si>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</si>
  <si>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</si>
  <si>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</si>
  <si>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</si>
  <si>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</si>
  <si>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</si>
  <si>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</si>
  <si>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</si>
  <si>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</si>
  <si>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</si>
  <si>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</si>
  <si>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</si>
  <si>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</si>
  <si>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</si>
  <si>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</si>
  <si>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</si>
  <si>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</si>
  <si>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</si>
  <si>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</si>
  <si>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</si>
  <si>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</si>
  <si>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</si>
  <si>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</si>
  <si>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</si>
  <si>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</si>
  <si>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</si>
  <si>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</si>
  <si>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</si>
  <si>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</si>
  <si>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</si>
  <si>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</si>
  <si>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</si>
  <si>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</si>
  <si>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</si>
  <si>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</si>
  <si>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</si>
  <si>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</si>
  <si>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</si>
  <si>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</si>
  <si>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</si>
  <si>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</si>
  <si>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</si>
  <si>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</si>
  <si>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</si>
  <si>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</si>
  <si>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</si>
  <si>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</si>
  <si>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</si>
  <si>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</si>
  <si>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</si>
  <si>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</si>
  <si>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</si>
  <si>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</si>
  <si>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</si>
  <si>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</si>
  <si>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</si>
  <si>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</si>
  <si>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</si>
  <si>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</si>
  <si>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</si>
  <si>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</si>
  <si>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</si>
  <si>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</si>
  <si>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</si>
  <si>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</si>
  <si>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</si>
  <si>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</si>
  <si>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</si>
  <si>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</si>
  <si>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</si>
  <si>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</si>
  <si>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</si>
  <si>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</si>
  <si>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</si>
  <si>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</si>
  <si>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</si>
  <si>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</si>
  <si>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</si>
  <si>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</si>
  <si>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</si>
  <si>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</si>
  <si>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</si>
  <si>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</si>
  <si>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</si>
  <si>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</si>
  <si>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</si>
  <si>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</si>
  <si>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</si>
  <si>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</si>
  <si>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</si>
  <si>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</si>
  <si>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</si>
  <si>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</si>
  <si>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</si>
  <si>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</si>
  <si>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</si>
  <si>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</si>
  <si>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</si>
  <si>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</si>
  <si>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</si>
  <si>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</si>
  <si>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</si>
  <si>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</si>
  <si>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</si>
  <si>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</si>
  <si>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</si>
  <si>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</si>
  <si>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</si>
  <si>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</si>
  <si>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</si>
  <si>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</si>
  <si>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</si>
  <si>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</si>
  <si>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</si>
  <si>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</si>
  <si>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</si>
  <si>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</si>
  <si>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</si>
  <si>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</si>
  <si>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</si>
  <si>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</si>
  <si>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</si>
  <si>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</si>
  <si>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</si>
  <si>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</si>
  <si>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</si>
  <si>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</si>
  <si>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</si>
  <si>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</si>
  <si>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</si>
  <si>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</si>
  <si>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</si>
  <si>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</si>
  <si>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</si>
  <si>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</si>
  <si>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</si>
  <si>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</si>
  <si>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</si>
  <si>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</si>
  <si>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</si>
  <si>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</si>
  <si>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</si>
  <si>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</si>
  <si>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</si>
  <si>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</si>
  <si>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</si>
  <si>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</si>
  <si>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</si>
  <si>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</si>
  <si>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</si>
  <si>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</si>
  <si>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</si>
  <si>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</si>
  <si>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</si>
  <si>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</si>
  <si>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</si>
  <si>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</si>
  <si>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</si>
  <si>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</si>
  <si>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</si>
  <si>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</si>
  <si>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</si>
  <si>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</si>
  <si>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</si>
  <si>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</si>
  <si>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</si>
  <si>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</si>
  <si>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</si>
  <si>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</si>
  <si>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</si>
  <si>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</si>
  <si>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</si>
  <si>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</si>
  <si>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</si>
  <si>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</si>
  <si>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</si>
  <si>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</si>
  <si>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</si>
  <si>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</si>
  <si>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</si>
  <si>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</si>
  <si>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</si>
  <si>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</si>
  <si>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</si>
  <si>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</si>
  <si>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</si>
  <si>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</si>
  <si>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</si>
  <si>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</si>
  <si>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</si>
  <si>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</si>
  <si>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</si>
  <si>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</si>
  <si>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</si>
  <si>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</si>
  <si>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</si>
  <si>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</si>
  <si>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</si>
  <si>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</si>
  <si>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</si>
  <si>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</si>
  <si>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</si>
  <si>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</si>
  <si>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</si>
  <si>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</si>
  <si>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</si>
  <si>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</si>
  <si>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</si>
  <si>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</si>
  <si>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</si>
  <si>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</si>
  <si>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</si>
  <si>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</si>
  <si>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</si>
  <si>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</si>
  <si>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</si>
  <si>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</si>
  <si>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</si>
  <si>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</si>
  <si>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</si>
  <si>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</si>
  <si>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</si>
  <si>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</si>
  <si>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</si>
  <si>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</si>
  <si>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</si>
  <si>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</si>
  <si>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</si>
  <si>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</si>
  <si>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</si>
  <si>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</si>
  <si>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</si>
  <si>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</si>
  <si>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</si>
  <si>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</si>
  <si>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</si>
  <si>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</si>
  <si>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</si>
  <si>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</si>
  <si>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</si>
  <si>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</si>
  <si>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</si>
  <si>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</si>
  <si>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</si>
  <si>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</si>
  <si>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</si>
  <si>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</si>
  <si>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</si>
  <si>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</si>
  <si>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</si>
  <si>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</si>
  <si>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</si>
  <si>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</si>
  <si>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</si>
  <si>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</si>
  <si>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</si>
  <si>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</si>
  <si>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</si>
  <si>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</si>
  <si>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</si>
  <si>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</si>
  <si>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</si>
  <si>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</si>
  <si>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</si>
  <si>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</si>
  <si>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</si>
  <si>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</si>
  <si>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</si>
  <si>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</si>
  <si>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</si>
  <si>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</si>
  <si>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</si>
  <si>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</si>
  <si>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</si>
  <si>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</si>
  <si>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</si>
  <si>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</si>
  <si>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</si>
  <si>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</si>
  <si>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</si>
  <si>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</si>
  <si>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</si>
  <si>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</si>
  <si>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</si>
  <si>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</si>
  <si>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</si>
  <si>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</si>
  <si>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</si>
  <si>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</si>
  <si>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</si>
  <si>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</si>
  <si>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</si>
  <si>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</si>
  <si>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</si>
  <si>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</si>
  <si>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</si>
  <si>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</si>
  <si>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</si>
  <si>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</si>
  <si>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</si>
  <si>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</si>
  <si>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</si>
  <si>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</si>
  <si>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</si>
  <si>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</si>
  <si>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</si>
  <si>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</si>
  <si>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</si>
  <si>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</si>
  <si>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</si>
  <si>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</si>
  <si>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</si>
  <si>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</si>
  <si>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</si>
  <si>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</si>
  <si>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</si>
  <si>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</si>
  <si>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</si>
  <si>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</si>
  <si>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</si>
  <si>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</si>
  <si>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</si>
  <si>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</si>
  <si>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</si>
  <si>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</si>
  <si>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</si>
  <si>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</si>
  <si>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</si>
  <si>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</si>
  <si>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</si>
  <si>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</si>
  <si>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</si>
  <si>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</si>
  <si>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</si>
  <si>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</si>
  <si>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</si>
  <si>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</si>
  <si>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</si>
  <si>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</si>
  <si>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</si>
  <si>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</si>
  <si>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</si>
  <si>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</si>
  <si>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</si>
  <si>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</si>
  <si>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</si>
  <si>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</si>
  <si>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</si>
  <si>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</si>
  <si>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</si>
  <si>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</si>
  <si>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</si>
  <si>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</si>
  <si>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</si>
  <si>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</si>
  <si>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</si>
  <si>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</si>
  <si>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</si>
  <si>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</si>
  <si>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</si>
  <si>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</si>
  <si>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</si>
  <si>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</si>
  <si>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</si>
  <si>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</si>
  <si>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</si>
  <si>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</si>
  <si>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</si>
  <si>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</si>
  <si>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</si>
  <si>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</si>
  <si>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</si>
  <si>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</si>
  <si>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</si>
  <si>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</si>
  <si>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</si>
  <si>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</si>
  <si>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</si>
  <si>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</si>
  <si>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</si>
  <si>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</si>
  <si>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</si>
  <si>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</si>
  <si>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</si>
  <si>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</si>
  <si>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</si>
  <si>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</si>
  <si>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</si>
  <si>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</si>
  <si>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</si>
  <si>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</si>
  <si>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</si>
  <si>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</si>
  <si>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</si>
  <si>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</si>
  <si>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</si>
  <si>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</si>
  <si>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</si>
  <si>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</si>
  <si>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</si>
  <si>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</si>
  <si>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</si>
  <si>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</si>
  <si>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</si>
  <si>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</si>
  <si>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</si>
  <si>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</si>
  <si>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</si>
  <si>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</si>
  <si>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</si>
  <si>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</si>
  <si>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</si>
  <si>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</si>
  <si>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</si>
  <si>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</si>
  <si>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</si>
  <si>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</si>
  <si>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</si>
  <si>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</si>
  <si>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</si>
  <si>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</si>
  <si>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</si>
  <si>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</si>
  <si>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</si>
  <si>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</si>
  <si>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</si>
  <si>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</si>
  <si>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</si>
  <si>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</si>
  <si>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</si>
  <si>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</si>
  <si>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</si>
  <si>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</si>
  <si>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</si>
  <si>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</si>
  <si>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</si>
  <si>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</si>
  <si>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</si>
  <si>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</si>
  <si>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</si>
  <si>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</si>
  <si>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</si>
  <si>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</si>
  <si>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</si>
  <si>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</si>
  <si>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</si>
  <si>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</si>
  <si>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</si>
  <si>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</si>
  <si>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</si>
  <si>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</si>
  <si>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</si>
  <si>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</si>
  <si>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</si>
  <si>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</si>
  <si>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</si>
  <si>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</si>
  <si>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</si>
  <si>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</si>
  <si>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</si>
  <si>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</si>
  <si>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</si>
  <si>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</si>
  <si>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</si>
  <si>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</si>
  <si>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</si>
  <si>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</si>
  <si>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</si>
  <si>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</si>
  <si>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</si>
  <si>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</si>
  <si>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</si>
  <si>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</si>
  <si>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</si>
  <si>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</si>
  <si>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</si>
  <si>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</si>
  <si>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</si>
  <si>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</si>
  <si>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</si>
  <si>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</si>
  <si>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</si>
  <si>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</si>
  <si>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</si>
  <si>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</si>
  <si>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</si>
  <si>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</si>
  <si>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</si>
  <si>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</si>
  <si>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</si>
  <si>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</si>
  <si>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</si>
  <si>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</si>
  <si>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</si>
  <si>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</si>
  <si>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</si>
  <si>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</si>
  <si>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</si>
  <si>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</si>
  <si>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</si>
  <si>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</si>
  <si>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</si>
  <si>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</si>
  <si>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</si>
  <si>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</si>
  <si>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</si>
  <si>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</si>
  <si>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</si>
  <si>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</si>
  <si>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</si>
  <si>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</si>
  <si>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</si>
  <si>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</si>
  <si>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</si>
  <si>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</si>
  <si>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</si>
  <si>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</si>
  <si>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</si>
  <si>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</si>
  <si>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</si>
  <si>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</si>
  <si>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</si>
  <si>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</si>
  <si>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</si>
  <si>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</si>
  <si>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</si>
  <si>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</si>
  <si>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</si>
  <si>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</si>
  <si>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</si>
  <si>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</si>
  <si>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</si>
  <si>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</si>
  <si>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</si>
  <si>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</si>
  <si>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</si>
  <si>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</si>
  <si>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</si>
  <si>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</si>
  <si>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</si>
  <si>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</si>
  <si>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</si>
  <si>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</si>
  <si>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</si>
  <si>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</si>
  <si>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</si>
  <si>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</si>
  <si>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</si>
  <si>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</si>
  <si>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</si>
  <si>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</si>
  <si>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</si>
  <si>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</si>
  <si>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</si>
  <si>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</si>
  <si>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</si>
  <si>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</si>
  <si>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</si>
  <si>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</si>
  <si>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</si>
  <si>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</si>
  <si>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</si>
  <si>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</si>
  <si>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</si>
  <si>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</si>
  <si>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</si>
  <si>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</si>
  <si>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</si>
  <si>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</si>
  <si>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</si>
  <si>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</si>
  <si>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</si>
  <si>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</si>
  <si>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</si>
  <si>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</si>
  <si>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</si>
  <si>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</si>
  <si>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</si>
  <si>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</si>
  <si>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</si>
  <si>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</si>
  <si>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</si>
  <si>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</si>
  <si>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</si>
  <si>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</si>
  <si>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</si>
  <si>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</si>
  <si>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</si>
  <si>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</si>
  <si>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</si>
  <si>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</si>
  <si>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</si>
  <si>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</si>
  <si>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</si>
  <si>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</si>
  <si>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</si>
  <si>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</si>
  <si>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</si>
  <si>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</si>
  <si>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</si>
  <si>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</si>
  <si>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</si>
  <si>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</si>
  <si>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</si>
  <si>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</si>
  <si>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</si>
  <si>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</si>
  <si>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</si>
  <si>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</si>
  <si>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</si>
  <si>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</si>
  <si>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</si>
  <si>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</si>
  <si>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</si>
  <si>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</si>
  <si>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</si>
  <si>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</si>
  <si>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</si>
  <si>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</si>
  <si>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</si>
  <si>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</si>
  <si>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</si>
  <si>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</si>
  <si>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</si>
  <si>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</si>
  <si>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</si>
  <si>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</si>
  <si>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</si>
  <si>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</si>
  <si>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</si>
  <si>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</si>
  <si>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</si>
  <si>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</si>
  <si>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</si>
  <si>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</si>
  <si>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</si>
  <si>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</si>
  <si>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</si>
  <si>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</si>
  <si>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</si>
  <si>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</si>
  <si>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</si>
  <si>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</si>
  <si>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</si>
  <si>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</si>
  <si>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</si>
  <si>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</si>
  <si>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</si>
  <si>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</si>
  <si>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</si>
  <si>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</si>
  <si>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</si>
  <si>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</si>
  <si>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</si>
  <si>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</si>
  <si>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</si>
  <si>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</si>
  <si>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</si>
  <si>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</si>
  <si>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</si>
  <si>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</si>
  <si>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</si>
  <si>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</si>
  <si>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</si>
  <si>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</si>
  <si>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</si>
  <si>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</si>
  <si>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</si>
  <si>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</si>
  <si>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</si>
  <si>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</si>
  <si>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</si>
  <si>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</si>
  <si>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</si>
  <si>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</si>
  <si>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</si>
  <si>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</si>
  <si>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</si>
  <si>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</si>
  <si>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</si>
  <si>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</si>
  <si>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</si>
  <si>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</si>
  <si>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</si>
  <si>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</si>
  <si>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</si>
  <si>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</si>
  <si>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</si>
  <si>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</si>
  <si>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</si>
  <si>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</si>
  <si>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</si>
  <si>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</si>
  <si>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</si>
  <si>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</si>
  <si>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</si>
  <si>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</si>
  <si>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</si>
  <si>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</si>
  <si>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</si>
  <si>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</si>
  <si>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</si>
  <si>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</si>
  <si>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</si>
  <si>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</si>
  <si>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</si>
  <si>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</si>
  <si>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</si>
  <si>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</si>
  <si>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</si>
  <si>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</si>
  <si>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</si>
  <si>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</si>
  <si>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</si>
  <si>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</si>
  <si>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</si>
  <si>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</si>
  <si>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</si>
  <si>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</si>
  <si>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</si>
  <si>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</si>
  <si>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</si>
  <si>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</si>
  <si>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</si>
  <si>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</si>
  <si>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</si>
  <si>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</si>
  <si>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</si>
  <si>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</si>
  <si>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</si>
  <si>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</si>
  <si>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</si>
  <si>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</si>
  <si>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</si>
  <si>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</si>
  <si>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</si>
  <si>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</si>
  <si>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</si>
  <si>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</si>
  <si>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</si>
  <si>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</si>
  <si>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</si>
  <si>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</si>
  <si>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</si>
  <si>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</si>
  <si>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</si>
  <si>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</si>
  <si>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</si>
  <si>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</si>
  <si>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</si>
  <si>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</si>
  <si>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</si>
  <si>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</si>
  <si>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</si>
  <si>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</si>
  <si>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</si>
  <si>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</si>
  <si>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</si>
  <si>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</si>
  <si>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</si>
  <si>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</si>
  <si>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</si>
  <si>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</si>
  <si>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</si>
  <si>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</si>
  <si>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</si>
  <si>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</si>
  <si>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</si>
  <si>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</si>
  <si>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</si>
  <si>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</si>
  <si>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</si>
  <si>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</si>
  <si>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</si>
  <si>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</si>
  <si>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</si>
  <si>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</si>
  <si>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</si>
  <si>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</si>
  <si>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</si>
  <si>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</si>
  <si>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</si>
  <si>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</si>
  <si>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</si>
  <si>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</si>
  <si>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</si>
  <si>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</si>
  <si>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</si>
  <si>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</si>
  <si>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</si>
  <si>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</si>
  <si>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</si>
  <si>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</si>
  <si>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</si>
  <si>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</si>
  <si>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</si>
  <si>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</si>
  <si>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</si>
  <si>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</si>
  <si>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</si>
  <si>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</si>
  <si>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</si>
  <si>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</si>
  <si>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</si>
  <si>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</si>
  <si>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</si>
  <si>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</si>
  <si>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</si>
  <si>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</si>
  <si>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</si>
  <si>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</si>
  <si>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</si>
  <si>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</si>
  <si>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</si>
  <si>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</si>
  <si>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</si>
  <si>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</si>
  <si>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</si>
  <si>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</si>
  <si>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</si>
  <si>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</si>
  <si>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</si>
  <si>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</si>
  <si>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</si>
  <si>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</si>
  <si>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</si>
  <si>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</si>
  <si>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</si>
  <si>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</si>
  <si>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</si>
  <si>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</si>
  <si>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</si>
  <si>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</si>
  <si>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</si>
  <si>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</si>
  <si>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</si>
  <si>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</si>
  <si>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</si>
  <si>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</si>
  <si>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</si>
  <si>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</si>
  <si>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</si>
  <si>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</si>
  <si>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</si>
  <si>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</si>
  <si>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</si>
  <si>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</si>
  <si>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</si>
  <si>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</si>
  <si>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</si>
  <si>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</si>
  <si>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</si>
  <si>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</si>
  <si>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</si>
  <si>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</si>
  <si>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</si>
  <si>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</si>
  <si>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</si>
  <si>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</si>
  <si>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</si>
  <si>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</si>
  <si>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</si>
  <si>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</si>
  <si>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</si>
  <si>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</si>
  <si>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</si>
  <si>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</si>
  <si>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</si>
  <si>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</si>
  <si>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</si>
  <si>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</si>
  <si>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</si>
  <si>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</si>
  <si>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</si>
  <si>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</si>
  <si>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</si>
  <si>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</si>
  <si>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</si>
  <si>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</si>
  <si>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</si>
  <si>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</si>
  <si>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</si>
  <si>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</si>
  <si>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</si>
  <si>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</si>
  <si>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</si>
  <si>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</si>
  <si>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</si>
  <si>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</si>
  <si>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</si>
  <si>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</si>
  <si>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</si>
  <si>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</si>
  <si>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</si>
  <si>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</si>
  <si>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</si>
  <si>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</si>
  <si>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</si>
  <si>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</si>
  <si>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</si>
  <si>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</si>
  <si>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</si>
  <si>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</si>
  <si>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</si>
  <si>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</si>
  <si>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</si>
  <si>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</si>
  <si>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</si>
  <si>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</si>
  <si>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</si>
  <si>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</si>
  <si>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</si>
  <si>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</si>
  <si>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</si>
  <si>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</si>
  <si>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</si>
  <si>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</si>
  <si>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</si>
  <si>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</si>
  <si>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</si>
  <si>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</si>
  <si>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</si>
  <si>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</si>
  <si>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</si>
  <si>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</si>
  <si>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</si>
  <si>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</si>
  <si>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</si>
  <si>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</si>
  <si>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</si>
  <si>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</si>
  <si>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</si>
  <si>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</si>
  <si>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</si>
  <si>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</si>
  <si>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</si>
  <si>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</si>
  <si>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</si>
  <si>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</si>
  <si>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</si>
  <si>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</si>
  <si>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</si>
  <si>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</si>
  <si>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</si>
  <si>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</si>
  <si>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</si>
  <si>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</si>
  <si>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</si>
  <si>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</si>
  <si>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</si>
  <si>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</si>
  <si>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</si>
  <si>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</si>
  <si>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</si>
  <si>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</si>
  <si>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</si>
  <si>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</si>
  <si>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</si>
  <si>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</si>
  <si>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</si>
  <si>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</si>
  <si>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</si>
  <si>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</si>
  <si>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</si>
  <si>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</si>
  <si>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</si>
  <si>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</si>
  <si>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</si>
  <si>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</si>
  <si>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</si>
  <si>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</si>
  <si>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</si>
  <si>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</si>
  <si>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</si>
  <si>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</si>
  <si>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</si>
  <si>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</si>
  <si>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</si>
  <si>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</si>
  <si>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</si>
  <si>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</si>
  <si>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</si>
  <si>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</si>
  <si>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</si>
  <si>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</si>
  <si>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</si>
  <si>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</si>
  <si>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</si>
  <si>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</si>
  <si>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</si>
  <si>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</si>
  <si>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</si>
  <si>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</si>
  <si>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</si>
  <si>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</si>
  <si>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</si>
  <si>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</si>
  <si>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</si>
  <si>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</si>
  <si>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</si>
  <si>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</si>
  <si>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</si>
  <si>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</si>
  <si>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</si>
  <si>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</si>
  <si>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</si>
  <si>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</si>
  <si>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</si>
  <si>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</si>
  <si>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</si>
  <si>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</si>
  <si>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</si>
  <si>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</si>
  <si>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</si>
  <si>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</si>
  <si>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</si>
  <si>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</si>
  <si>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</si>
  <si>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</si>
  <si>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</si>
  <si>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</si>
  <si>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</si>
  <si>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</si>
  <si>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</si>
  <si>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</si>
  <si>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</si>
  <si>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</si>
  <si>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</si>
  <si>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</si>
  <si>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</si>
  <si>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</si>
  <si>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</si>
  <si>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</si>
  <si>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</si>
  <si>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</si>
  <si>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</si>
  <si>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</si>
  <si>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</si>
  <si>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</si>
  <si>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</si>
  <si>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</si>
  <si>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</si>
  <si>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</si>
  <si>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</si>
  <si>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</si>
  <si>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</si>
  <si>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</si>
  <si>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</si>
  <si>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</si>
  <si>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</si>
  <si>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</si>
  <si>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</si>
  <si>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</si>
  <si>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</si>
  <si>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</si>
  <si>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</si>
  <si>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</si>
  <si>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</si>
  <si>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</si>
  <si>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</si>
  <si>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</si>
  <si>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</si>
  <si>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</si>
  <si>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</si>
  <si>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</si>
  <si>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</si>
  <si>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</si>
  <si>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</si>
  <si>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</si>
  <si>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</si>
  <si>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</si>
  <si>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</si>
  <si>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</si>
  <si>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</si>
  <si>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</si>
  <si>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</si>
  <si>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</si>
  <si>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</si>
  <si>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</si>
  <si>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</si>
  <si>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</si>
  <si>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</si>
  <si>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</si>
  <si>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</si>
  <si>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</si>
  <si>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</si>
  <si>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</si>
  <si>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</si>
  <si>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</si>
  <si>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</si>
  <si>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</si>
  <si>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</si>
  <si>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</si>
  <si>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</si>
  <si>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</si>
  <si>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</si>
  <si>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</si>
  <si>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</si>
  <si>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</si>
  <si>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</si>
  <si>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</si>
  <si>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</si>
  <si>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</si>
  <si>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</si>
  <si>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</si>
  <si>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</si>
  <si>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</si>
  <si>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</si>
  <si>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</si>
  <si>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</si>
  <si>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</si>
  <si>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</si>
  <si>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</si>
  <si>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</si>
  <si>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</si>
  <si>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</si>
  <si>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</si>
  <si>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</si>
  <si>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</si>
  <si>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</si>
  <si>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</si>
  <si>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</si>
  <si>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</si>
  <si>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</si>
  <si>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</si>
  <si>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</si>
  <si>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</si>
  <si>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</si>
  <si>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</si>
  <si>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</si>
  <si>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</si>
  <si>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</si>
  <si>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</si>
  <si>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</si>
  <si>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</si>
  <si>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</si>
  <si>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</si>
  <si>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</si>
  <si>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</si>
  <si>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</si>
  <si>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</si>
  <si>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</si>
  <si>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</si>
  <si>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</si>
  <si>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</si>
  <si>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</si>
  <si>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</si>
  <si>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</si>
  <si>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</si>
  <si>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</si>
  <si>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</si>
  <si>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</si>
  <si>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</si>
  <si>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</si>
  <si>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</si>
  <si>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</si>
  <si>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</si>
  <si>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</si>
  <si>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</si>
  <si>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</si>
  <si>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</si>
  <si>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</si>
  <si>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</si>
  <si>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</si>
  <si>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</si>
  <si>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</si>
  <si>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</si>
  <si>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</si>
  <si>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</si>
  <si>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</si>
  <si>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</si>
  <si>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</si>
  <si>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</si>
  <si>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</si>
  <si>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</si>
  <si>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</si>
  <si>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</si>
  <si>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</si>
  <si>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</si>
  <si>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</si>
  <si>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</si>
  <si>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</si>
  <si>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</si>
  <si>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</si>
  <si>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</si>
  <si>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</si>
  <si>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</si>
  <si>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</si>
  <si>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</si>
  <si>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</si>
  <si>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</si>
  <si>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</si>
  <si>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</si>
  <si>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</si>
  <si>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</si>
  <si>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</si>
  <si>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</si>
  <si>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</si>
  <si>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</si>
  <si>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</si>
  <si>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</si>
  <si>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</si>
  <si>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</si>
  <si>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</si>
  <si>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</si>
  <si>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</si>
  <si>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</si>
  <si>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</si>
  <si>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</si>
  <si>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</si>
  <si>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</si>
  <si>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</si>
  <si>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</si>
  <si>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</si>
  <si>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</si>
  <si>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</si>
  <si>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</si>
  <si>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</si>
  <si>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</si>
  <si>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</si>
  <si>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</si>
  <si>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</si>
  <si>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</si>
  <si>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</si>
  <si>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</si>
  <si>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</si>
  <si>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</si>
  <si>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</si>
  <si>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</si>
  <si>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</si>
  <si>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</si>
  <si>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</si>
  <si>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</si>
  <si>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</si>
  <si>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</si>
  <si>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</si>
  <si>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</si>
  <si>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</si>
  <si>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</si>
  <si>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</si>
  <si>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</si>
  <si>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</si>
  <si>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</si>
  <si>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</si>
  <si>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</si>
  <si>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</si>
  <si>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</si>
  <si>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</si>
  <si>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</si>
  <si>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</si>
  <si>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</si>
  <si>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</si>
  <si>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</si>
  <si>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</si>
  <si>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</si>
  <si>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</si>
  <si>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</si>
  <si>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</si>
  <si>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</si>
  <si>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</si>
  <si>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</si>
  <si>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</si>
  <si>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</si>
  <si>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</si>
  <si>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</si>
  <si>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</si>
  <si>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</si>
  <si>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</si>
  <si>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</si>
  <si>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</si>
  <si>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</si>
  <si>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</si>
  <si>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</si>
  <si>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</si>
  <si>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</si>
  <si>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</si>
  <si>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</si>
  <si>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</si>
  <si>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</si>
  <si>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</si>
  <si>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</si>
  <si>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</si>
  <si>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</si>
  <si>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</si>
  <si>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</si>
  <si>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</si>
  <si>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</si>
  <si>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</si>
  <si>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</si>
  <si>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</si>
  <si>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</si>
  <si>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</si>
  <si>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</si>
  <si>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</si>
  <si>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</si>
  <si>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</si>
  <si>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</si>
  <si>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</si>
  <si>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</si>
  <si>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</si>
  <si>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</si>
  <si>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</si>
  <si>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</si>
  <si>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</si>
  <si>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</si>
  <si>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</si>
  <si>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</si>
  <si>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</si>
  <si>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</si>
  <si>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</si>
  <si>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</si>
  <si>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</si>
  <si>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</si>
  <si>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</si>
  <si>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</si>
  <si>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</si>
  <si>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</si>
  <si>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</si>
  <si>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</si>
  <si>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</si>
  <si>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</si>
  <si>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</si>
  <si>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</si>
  <si>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</si>
  <si>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</si>
  <si>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</si>
  <si>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</si>
  <si>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</si>
  <si>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</si>
  <si>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</si>
  <si>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</si>
  <si>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</si>
  <si>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</si>
  <si>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</si>
  <si>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</si>
  <si>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</si>
  <si>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</si>
  <si>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</si>
  <si>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</si>
  <si>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</si>
  <si>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</si>
  <si>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</si>
  <si>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</si>
  <si>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</si>
  <si>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</si>
  <si>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</si>
  <si>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</si>
  <si>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</si>
  <si>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</si>
  <si>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</si>
  <si>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</si>
  <si>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</si>
  <si>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</si>
  <si>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</si>
  <si>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</si>
  <si>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</si>
  <si>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</si>
  <si>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</si>
  <si>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</si>
  <si>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</si>
  <si>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</si>
  <si>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</si>
  <si>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</si>
  <si>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</si>
  <si>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</si>
  <si>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</si>
  <si>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</si>
  <si>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</si>
  <si>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</si>
  <si>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</si>
  <si>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</si>
  <si>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</si>
  <si>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</si>
  <si>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</si>
  <si>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</si>
  <si>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</si>
  <si>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</si>
  <si>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</si>
  <si>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</si>
  <si>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</si>
  <si>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</si>
  <si>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</si>
  <si>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</si>
  <si>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</si>
  <si>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</si>
  <si>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</si>
  <si>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</si>
  <si>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</si>
  <si>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</si>
  <si>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</si>
  <si>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</si>
  <si>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</si>
  <si>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</si>
  <si>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</si>
  <si>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</si>
  <si>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</si>
  <si>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</si>
  <si>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</si>
  <si>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</si>
  <si>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</si>
  <si>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</si>
  <si>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</si>
  <si>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</si>
  <si>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</si>
  <si>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</si>
  <si>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</si>
  <si>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</si>
  <si>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</si>
  <si>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</si>
  <si>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</si>
  <si>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</si>
  <si>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</si>
  <si>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</si>
  <si>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</si>
  <si>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</si>
  <si>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</si>
  <si>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</si>
  <si>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</si>
  <si>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</si>
  <si>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</si>
  <si>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</si>
  <si>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</si>
  <si>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</si>
  <si>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</si>
  <si>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</si>
  <si>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</si>
  <si>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</si>
  <si>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</si>
  <si>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</si>
  <si>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</si>
  <si>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</si>
  <si>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</si>
  <si>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</si>
  <si>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</si>
  <si>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</si>
  <si>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</si>
  <si>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</si>
  <si>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</si>
  <si>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</si>
  <si>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</si>
  <si>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</si>
  <si>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</si>
  <si>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</si>
  <si>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</si>
  <si>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</si>
  <si>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</si>
  <si>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</si>
  <si>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</si>
  <si>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</si>
  <si>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</si>
  <si>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</si>
  <si>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</si>
  <si>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</si>
  <si>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</si>
  <si>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</si>
  <si>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</si>
  <si>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</si>
  <si>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</si>
  <si>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</si>
  <si>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</si>
  <si>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</si>
  <si>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</si>
  <si>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</si>
  <si>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</si>
  <si>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</si>
  <si>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</si>
  <si>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</si>
  <si>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</si>
  <si>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</si>
  <si>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</si>
  <si>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</si>
  <si>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</si>
  <si>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</si>
  <si>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</si>
  <si>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</si>
  <si>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</si>
  <si>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</si>
  <si>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</si>
  <si>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</si>
  <si>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</si>
  <si>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</si>
  <si>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</si>
  <si>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</si>
  <si>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</si>
  <si>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</si>
  <si>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</si>
  <si>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</si>
  <si>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</si>
  <si>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</si>
  <si>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</si>
  <si>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</si>
  <si>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</si>
  <si>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</si>
  <si>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</si>
  <si>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</si>
  <si>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</si>
  <si>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</si>
  <si>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</si>
  <si>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</si>
  <si>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</si>
  <si>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</si>
  <si>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</si>
  <si>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</si>
  <si>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</si>
  <si>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</si>
  <si>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</si>
  <si>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</si>
  <si>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</si>
  <si>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</si>
  <si>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</si>
  <si>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</si>
  <si>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</si>
  <si>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</si>
  <si>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</si>
  <si>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</si>
  <si>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</si>
  <si>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</si>
  <si>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</si>
  <si>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</si>
  <si>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</si>
  <si>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</si>
  <si>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</si>
  <si>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</si>
  <si>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</si>
  <si>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</si>
  <si>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</si>
  <si>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</si>
  <si>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</si>
  <si>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</si>
  <si>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</si>
  <si>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</si>
  <si>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</si>
  <si>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</si>
  <si>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</si>
  <si>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</si>
  <si>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</si>
  <si>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</si>
  <si>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</si>
  <si>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</si>
  <si>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</si>
  <si>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</si>
  <si>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</si>
  <si>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</si>
  <si>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</si>
  <si>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</si>
  <si>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</si>
  <si>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</si>
  <si>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</si>
  <si>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</si>
  <si>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</si>
  <si>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</si>
  <si>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</si>
  <si>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</si>
  <si>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</si>
  <si>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</si>
  <si>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</si>
  <si>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</si>
  <si>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</si>
  <si>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</si>
  <si>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</si>
  <si>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</si>
  <si>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</si>
  <si>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</si>
  <si>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</si>
  <si>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</si>
  <si>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</si>
  <si>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</si>
  <si>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</si>
  <si>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</si>
  <si>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</si>
  <si>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</si>
  <si>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</si>
  <si>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</si>
  <si>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</si>
  <si>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</si>
  <si>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</si>
  <si>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</si>
  <si>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</si>
  <si>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</si>
  <si>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</si>
  <si>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</si>
  <si>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</si>
  <si>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</si>
  <si>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</si>
  <si>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</si>
  <si>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</si>
  <si>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</si>
  <si>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</si>
  <si>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</si>
  <si>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</si>
  <si>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</si>
  <si>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</si>
  <si>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</si>
  <si>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</si>
  <si>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</si>
  <si>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</si>
  <si>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</si>
  <si>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</si>
  <si>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</si>
  <si>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</si>
  <si>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</si>
  <si>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</si>
  <si>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</si>
  <si>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</si>
  <si>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</si>
  <si>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</si>
  <si>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</si>
  <si>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</si>
  <si>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</si>
  <si>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</si>
  <si>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</si>
  <si>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</si>
  <si>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</si>
  <si>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</si>
  <si>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</si>
  <si>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</si>
  <si>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</si>
  <si>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</si>
  <si>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</si>
  <si>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</si>
  <si>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</si>
  <si>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</si>
  <si>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</si>
  <si>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</si>
  <si>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</si>
  <si>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</si>
  <si>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</si>
  <si>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</si>
  <si>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</si>
  <si>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</si>
  <si>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</si>
  <si>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</si>
  <si>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</si>
  <si>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</si>
  <si>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</si>
  <si>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</si>
  <si>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</si>
  <si>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</si>
  <si>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</si>
  <si>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</si>
  <si>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</si>
  <si>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</si>
  <si>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</si>
  <si>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</si>
  <si>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</si>
  <si>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</si>
  <si>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</si>
  <si>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</si>
  <si>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</si>
  <si>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</si>
  <si>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</si>
  <si>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</si>
  <si>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</si>
  <si>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</si>
  <si>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</si>
  <si>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</si>
  <si>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</si>
  <si>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</si>
  <si>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</si>
  <si>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</si>
  <si>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</si>
  <si>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</si>
  <si>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</si>
  <si>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</si>
  <si>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</si>
  <si>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</si>
  <si>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</si>
  <si>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</si>
  <si>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</si>
  <si>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</si>
  <si>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</si>
  <si>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</si>
  <si>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</si>
  <si>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</si>
  <si>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</si>
  <si>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</si>
  <si>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</si>
  <si>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</si>
  <si>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</si>
  <si>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</si>
  <si>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</si>
  <si>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</si>
  <si>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</si>
  <si>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</si>
  <si>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</si>
  <si>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</si>
  <si>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</si>
  <si>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</si>
  <si>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</si>
  <si>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</si>
  <si>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</si>
  <si>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</si>
  <si>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</si>
  <si>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</si>
  <si>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</si>
  <si>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</si>
  <si>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</si>
  <si>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</si>
  <si>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</si>
  <si>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</si>
  <si>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</si>
  <si>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</si>
  <si>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</si>
  <si>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</si>
  <si>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</si>
  <si>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</si>
  <si>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</si>
  <si>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</si>
  <si>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</si>
  <si>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</si>
  <si>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</si>
  <si>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</si>
  <si>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</si>
  <si>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</si>
  <si>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</si>
  <si>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</si>
  <si>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</si>
  <si>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</si>
  <si>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</si>
  <si>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</si>
  <si>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</si>
  <si>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</si>
  <si>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</si>
  <si>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</si>
  <si>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</si>
  <si>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</si>
  <si>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</si>
  <si>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</si>
  <si>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</si>
  <si>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</si>
  <si>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</si>
  <si>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</si>
  <si>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</si>
  <si>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</si>
  <si>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</si>
  <si>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</si>
  <si>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</si>
  <si>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</si>
  <si>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</si>
  <si>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</si>
  <si>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</si>
  <si>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</si>
  <si>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</si>
  <si>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</si>
  <si>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</si>
  <si>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</si>
  <si>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</si>
  <si>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</si>
  <si>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</si>
  <si>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</si>
  <si>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</si>
  <si>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</si>
  <si>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</si>
  <si>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</si>
  <si>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</si>
  <si>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</si>
  <si>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</si>
  <si>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</si>
  <si>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</si>
  <si>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</si>
  <si>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</si>
  <si>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</si>
  <si>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</si>
  <si>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</si>
  <si>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</si>
  <si>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</si>
  <si>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</si>
  <si>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</si>
  <si>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</si>
  <si>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</si>
  <si>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</si>
  <si>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</si>
  <si>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</si>
  <si>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</si>
  <si>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</si>
  <si>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</si>
  <si>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</si>
  <si>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</si>
  <si>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</si>
  <si>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</si>
  <si>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</si>
  <si>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</si>
  <si>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</si>
  <si>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</si>
  <si>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</si>
  <si>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</si>
  <si>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</si>
  <si>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</si>
  <si>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</si>
  <si>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</si>
  <si>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</si>
  <si>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</si>
  <si>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</si>
  <si>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</si>
  <si>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</si>
  <si>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</si>
  <si>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</si>
  <si>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</si>
  <si>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</si>
  <si>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</si>
  <si>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</si>
  <si>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</si>
  <si>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</si>
  <si>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</si>
  <si>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</si>
  <si>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</si>
  <si>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</si>
  <si>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</si>
  <si>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</si>
  <si>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</si>
  <si>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</si>
  <si>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</si>
  <si>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</si>
  <si>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</si>
  <si>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</si>
  <si>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</si>
  <si>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</si>
  <si>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</si>
  <si>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</si>
  <si>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</si>
  <si>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</si>
  <si>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</si>
  <si>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</si>
  <si>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</si>
  <si>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</si>
  <si>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</si>
  <si>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</si>
  <si>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</si>
  <si>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</si>
  <si>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</si>
  <si>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</si>
  <si>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</si>
  <si>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</si>
  <si>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</si>
  <si>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</si>
  <si>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</si>
  <si>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</si>
  <si>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</si>
  <si>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</si>
  <si>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</si>
  <si>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</si>
  <si>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</si>
  <si>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</si>
  <si>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</si>
  <si>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</si>
  <si>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</si>
  <si>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</si>
  <si>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</si>
  <si>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</si>
  <si>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</si>
  <si>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</si>
  <si>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</si>
  <si>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</si>
  <si>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</si>
  <si>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</si>
  <si>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</si>
  <si>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</si>
  <si>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</si>
  <si>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</si>
  <si>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</si>
  <si>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</si>
  <si>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</si>
  <si>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</si>
  <si>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</si>
  <si>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</si>
  <si>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</si>
  <si>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</si>
  <si>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</si>
  <si>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</si>
  <si>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</si>
  <si>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</si>
  <si>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</si>
  <si>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</si>
  <si>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</si>
  <si>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</si>
  <si>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</si>
  <si>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</si>
  <si>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</si>
  <si>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</si>
  <si>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</si>
  <si>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</si>
  <si>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</si>
  <si>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</si>
  <si>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</si>
  <si>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</si>
  <si>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</si>
  <si>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</si>
  <si>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</si>
  <si>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</si>
  <si>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</si>
  <si>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</si>
  <si>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</si>
  <si>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</si>
  <si>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</si>
  <si>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</si>
  <si>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</si>
  <si>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</si>
  <si>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</si>
  <si>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</si>
  <si>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</si>
  <si>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</si>
  <si>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</si>
  <si>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</si>
  <si>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</si>
  <si>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</si>
  <si>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</si>
  <si>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</si>
  <si>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</si>
  <si>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</si>
  <si>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</si>
  <si>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</si>
  <si>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</si>
  <si>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</si>
  <si>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</si>
  <si>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</si>
  <si>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</si>
  <si>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</si>
  <si>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</si>
  <si>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</si>
  <si>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</si>
  <si>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</si>
  <si>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</si>
  <si>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</si>
  <si>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</si>
  <si>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</si>
  <si>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</si>
  <si>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</si>
  <si>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</si>
  <si>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</si>
  <si>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</si>
  <si>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</si>
  <si>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</si>
  <si>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</si>
  <si>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</si>
  <si>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</si>
  <si>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</si>
  <si>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</si>
  <si>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</si>
  <si>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</si>
  <si>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</si>
  <si>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</si>
  <si>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</si>
  <si>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</si>
  <si>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</si>
  <si>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</si>
  <si>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</si>
  <si>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</si>
  <si>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</si>
  <si>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</si>
  <si>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</si>
  <si>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</si>
  <si>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</si>
  <si>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</si>
  <si>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</si>
  <si>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</si>
  <si>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</si>
  <si>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</si>
  <si>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</si>
  <si>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</si>
  <si>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</si>
  <si>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</si>
  <si>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</si>
  <si>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</si>
  <si>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</si>
  <si>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</si>
  <si>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</si>
  <si>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</si>
  <si>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</si>
  <si>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</si>
  <si>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</si>
  <si>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</si>
  <si>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</si>
  <si>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</si>
  <si>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</si>
  <si>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</si>
  <si>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</si>
  <si>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</si>
  <si>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</si>
  <si>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</si>
  <si>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</si>
  <si>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</si>
  <si>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</si>
  <si>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</si>
  <si>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</si>
  <si>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</si>
  <si>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</si>
  <si>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</si>
  <si>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</si>
  <si>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</si>
  <si>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</si>
  <si>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</si>
  <si>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</si>
  <si>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</si>
  <si>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</si>
  <si>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</si>
  <si>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</si>
  <si>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</si>
  <si>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</si>
  <si>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</si>
  <si>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</si>
  <si>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</si>
  <si>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</si>
  <si>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</si>
  <si>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</si>
  <si>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</si>
  <si>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</si>
  <si>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</si>
  <si>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</si>
  <si>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</si>
  <si>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</si>
  <si>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</si>
  <si>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</si>
  <si>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</si>
  <si>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</si>
  <si>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</si>
  <si>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</si>
  <si>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</si>
  <si>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</si>
  <si>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</si>
  <si>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</si>
  <si>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</si>
  <si>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</si>
  <si>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</si>
  <si>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</si>
  <si>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</si>
  <si>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</si>
  <si>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</si>
  <si>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</si>
  <si>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</si>
  <si>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</si>
  <si>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</si>
  <si>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</si>
  <si>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</si>
  <si>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</si>
  <si>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</si>
  <si>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</si>
  <si>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</si>
  <si>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</si>
  <si>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</si>
  <si>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</si>
  <si>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</si>
  <si>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</si>
  <si>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</si>
  <si>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</si>
  <si>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</si>
  <si>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</si>
  <si>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</si>
  <si>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</si>
  <si>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</si>
  <si>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</si>
  <si>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</si>
  <si>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</si>
  <si>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</si>
  <si>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</si>
  <si>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</si>
  <si>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</si>
  <si>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</si>
  <si>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</si>
  <si>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</si>
  <si>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</si>
  <si>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</si>
  <si>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</si>
  <si>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</si>
  <si>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</si>
  <si>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</si>
  <si>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</si>
  <si>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</si>
  <si>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</si>
  <si>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中行商务区支行</t>
    <phoneticPr fontId="6" type="noConversion"/>
  </si>
  <si>
    <t>抵押</t>
  </si>
  <si>
    <t>房地产抵押价值</t>
  </si>
  <si>
    <t>北京市</t>
  </si>
  <si>
    <t>企业</t>
  </si>
  <si>
    <r>
      <rPr>
        <sz val="10"/>
        <color theme="9" tint="-0.249977111117893"/>
        <rFont val="宋体"/>
        <family val="3"/>
        <charset val="134"/>
      </rPr>
      <t>朝阳区朝阳区门外大街</t>
    </r>
    <r>
      <rPr>
        <sz val="10"/>
        <color theme="9" tint="-0.249977111117893"/>
        <rFont val="Arial"/>
        <family val="2"/>
      </rPr>
      <t>18</t>
    </r>
    <r>
      <rPr>
        <sz val="10"/>
        <color theme="9" tint="-0.249977111117893"/>
        <rFont val="宋体"/>
        <family val="3"/>
        <charset val="134"/>
      </rPr>
      <t>号</t>
    </r>
    <phoneticPr fontId="6" type="noConversion"/>
  </si>
  <si>
    <t>北京丰联广场商业有限公司</t>
    <phoneticPr fontId="6" type="noConversion"/>
  </si>
  <si>
    <t>否</t>
  </si>
  <si>
    <t>是</t>
  </si>
  <si>
    <t>原件</t>
  </si>
  <si>
    <t>综合项目（商业、办公）</t>
  </si>
  <si>
    <t>通路</t>
  </si>
  <si>
    <t>通电</t>
  </si>
  <si>
    <t>通讯</t>
  </si>
  <si>
    <t>通上水</t>
  </si>
  <si>
    <t>通下水</t>
  </si>
  <si>
    <t>平整</t>
  </si>
  <si>
    <t>总建筑面积</t>
    <phoneticPr fontId="3" type="noConversion"/>
  </si>
  <si>
    <t>总土地面积</t>
    <phoneticPr fontId="3" type="noConversion"/>
  </si>
  <si>
    <t>地上</t>
  </si>
  <si>
    <t>底商</t>
  </si>
  <si>
    <t>成新度</t>
  </si>
  <si>
    <t>直线</t>
    <phoneticPr fontId="3" type="noConversion"/>
  </si>
  <si>
    <t>观察</t>
    <phoneticPr fontId="3" type="noConversion"/>
  </si>
  <si>
    <t>综合</t>
    <phoneticPr fontId="3" type="noConversion"/>
  </si>
  <si>
    <t>收益法</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</si>
  <si>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</si>
  <si>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</si>
  <si>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</si>
  <si>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</si>
  <si>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</si>
  <si>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估价对象容积率</t>
  </si>
  <si>
    <t>朝阳门外大街</t>
  </si>
  <si>
    <t>与级别开发程度不一致</t>
  </si>
  <si>
    <t>楼层修正</t>
  </si>
  <si>
    <t>好</t>
  </si>
  <si>
    <t>较好</t>
  </si>
  <si>
    <t>押一</t>
  </si>
  <si>
    <t>钢混</t>
  </si>
  <si>
    <t>非生产用房</t>
  </si>
  <si>
    <t>现房</t>
  </si>
  <si>
    <t>成本法</t>
  </si>
  <si>
    <t>成本比率</t>
  </si>
  <si>
    <t>总价</t>
  </si>
  <si>
    <t>利息：取LPR加浮动点数</t>
  </si>
  <si>
    <t>未包含在土地购买价格中</t>
  </si>
  <si>
    <t>已包含在土地取得成本中</t>
  </si>
  <si>
    <r>
      <t>2023</t>
    </r>
    <r>
      <rPr>
        <b/>
        <sz val="14"/>
        <rFont val="宋体"/>
        <family val="3"/>
        <charset val="134"/>
      </rPr>
      <t>年商铺月应收租金预测表</t>
    </r>
    <phoneticPr fontId="3" type="noConversion"/>
  </si>
  <si>
    <t>序号</t>
    <phoneticPr fontId="3" type="noConversion"/>
  </si>
  <si>
    <t>商铺号</t>
    <phoneticPr fontId="3" type="noConversion"/>
  </si>
  <si>
    <t>品牌</t>
    <phoneticPr fontId="3" type="noConversion"/>
  </si>
  <si>
    <t>内部面积</t>
    <phoneticPr fontId="3" type="noConversion"/>
  </si>
  <si>
    <t>合同面积1</t>
    <phoneticPr fontId="3" type="noConversion"/>
  </si>
  <si>
    <t>合同条件</t>
    <phoneticPr fontId="3" type="noConversion"/>
  </si>
  <si>
    <r>
      <t>年</t>
    </r>
    <r>
      <rPr>
        <b/>
        <sz val="10"/>
        <rFont val="Arial"/>
        <family val="2"/>
      </rPr>
      <t xml:space="preserve"> </t>
    </r>
    <r>
      <rPr>
        <b/>
        <sz val="10"/>
        <rFont val="宋体"/>
        <family val="3"/>
        <charset val="134"/>
      </rPr>
      <t>租金</t>
    </r>
    <phoneticPr fontId="3" type="noConversion"/>
  </si>
  <si>
    <t>或有租金</t>
    <phoneticPr fontId="3" type="noConversion"/>
  </si>
  <si>
    <r>
      <t>租金</t>
    </r>
    <r>
      <rPr>
        <b/>
        <sz val="10"/>
        <rFont val="Times New Roman"/>
        <family val="1"/>
      </rPr>
      <t>(</t>
    </r>
    <r>
      <rPr>
        <b/>
        <sz val="10"/>
        <rFont val="宋体"/>
        <family val="3"/>
        <charset val="134"/>
      </rPr>
      <t>￥</t>
    </r>
    <r>
      <rPr>
        <b/>
        <sz val="10"/>
        <rFont val="Times New Roman"/>
        <family val="1"/>
      </rPr>
      <t>/</t>
    </r>
    <r>
      <rPr>
        <b/>
        <sz val="10"/>
        <rFont val="宋体"/>
        <family val="3"/>
        <charset val="134"/>
      </rPr>
      <t>月</t>
    </r>
    <r>
      <rPr>
        <b/>
        <sz val="10"/>
        <rFont val="Times New Roman"/>
        <family val="1"/>
      </rPr>
      <t>)</t>
    </r>
    <phoneticPr fontId="3" type="noConversion"/>
  </si>
  <si>
    <t>管理费</t>
    <phoneticPr fontId="3" type="noConversion"/>
  </si>
  <si>
    <t>合同期</t>
    <phoneticPr fontId="3" type="noConversion"/>
  </si>
  <si>
    <r>
      <t>1月</t>
    </r>
    <r>
      <rPr>
        <b/>
        <sz val="8"/>
        <rFont val="宋体"/>
        <family val="3"/>
        <charset val="134"/>
      </rPr>
      <t/>
    </r>
  </si>
  <si>
    <r>
      <t>2月</t>
    </r>
    <r>
      <rPr>
        <b/>
        <sz val="8"/>
        <rFont val="宋体"/>
        <family val="3"/>
        <charset val="134"/>
      </rPr>
      <t/>
    </r>
  </si>
  <si>
    <r>
      <t>3月</t>
    </r>
    <r>
      <rPr>
        <b/>
        <sz val="8"/>
        <rFont val="宋体"/>
        <family val="3"/>
        <charset val="134"/>
      </rPr>
      <t/>
    </r>
  </si>
  <si>
    <r>
      <t>4月</t>
    </r>
    <r>
      <rPr>
        <b/>
        <sz val="8"/>
        <rFont val="宋体"/>
        <family val="3"/>
        <charset val="134"/>
      </rPr>
      <t/>
    </r>
  </si>
  <si>
    <r>
      <t>5月</t>
    </r>
    <r>
      <rPr>
        <b/>
        <sz val="8"/>
        <rFont val="宋体"/>
        <family val="3"/>
        <charset val="134"/>
      </rPr>
      <t/>
    </r>
  </si>
  <si>
    <r>
      <t>6月</t>
    </r>
    <r>
      <rPr>
        <b/>
        <sz val="8"/>
        <rFont val="宋体"/>
        <family val="3"/>
        <charset val="134"/>
      </rPr>
      <t/>
    </r>
  </si>
  <si>
    <r>
      <t>7月</t>
    </r>
    <r>
      <rPr>
        <b/>
        <sz val="8"/>
        <rFont val="宋体"/>
        <family val="3"/>
        <charset val="134"/>
      </rPr>
      <t/>
    </r>
  </si>
  <si>
    <r>
      <t>8</t>
    </r>
    <r>
      <rPr>
        <b/>
        <sz val="10"/>
        <rFont val="Times New Roman"/>
        <family val="1"/>
      </rPr>
      <t>月</t>
    </r>
    <r>
      <rPr>
        <b/>
        <sz val="8"/>
        <rFont val="宋体"/>
        <family val="3"/>
        <charset val="134"/>
      </rPr>
      <t/>
    </r>
  </si>
  <si>
    <r>
      <t>9</t>
    </r>
    <r>
      <rPr>
        <b/>
        <sz val="10"/>
        <rFont val="Times New Roman"/>
        <family val="1"/>
      </rPr>
      <t>月</t>
    </r>
    <r>
      <rPr>
        <b/>
        <sz val="8"/>
        <rFont val="宋体"/>
        <family val="3"/>
        <charset val="134"/>
      </rPr>
      <t/>
    </r>
  </si>
  <si>
    <r>
      <t>10</t>
    </r>
    <r>
      <rPr>
        <b/>
        <sz val="10"/>
        <rFont val="Times New Roman"/>
        <family val="1"/>
      </rPr>
      <t>月</t>
    </r>
    <r>
      <rPr>
        <b/>
        <sz val="8"/>
        <rFont val="宋体"/>
        <family val="3"/>
        <charset val="134"/>
      </rPr>
      <t/>
    </r>
  </si>
  <si>
    <r>
      <t>11</t>
    </r>
    <r>
      <rPr>
        <b/>
        <sz val="10"/>
        <rFont val="Times New Roman"/>
        <family val="1"/>
      </rPr>
      <t>月</t>
    </r>
    <r>
      <rPr>
        <b/>
        <sz val="8"/>
        <rFont val="宋体"/>
        <family val="3"/>
        <charset val="134"/>
      </rPr>
      <t/>
    </r>
  </si>
  <si>
    <r>
      <t>12</t>
    </r>
    <r>
      <rPr>
        <b/>
        <sz val="10"/>
        <rFont val="Times New Roman"/>
        <family val="1"/>
      </rPr>
      <t>月</t>
    </r>
    <r>
      <rPr>
        <b/>
        <sz val="8"/>
        <rFont val="宋体"/>
        <family val="3"/>
        <charset val="134"/>
      </rPr>
      <t/>
    </r>
  </si>
  <si>
    <t>丰联丽格</t>
    <phoneticPr fontId="3" type="noConversion"/>
  </si>
  <si>
    <t>17.3.1-19.7.31</t>
    <phoneticPr fontId="3" type="noConversion"/>
  </si>
  <si>
    <t>19.8.1-21.2.28</t>
    <phoneticPr fontId="3" type="noConversion"/>
  </si>
  <si>
    <t>21.3.1-25.2.28</t>
    <phoneticPr fontId="3" type="noConversion"/>
  </si>
  <si>
    <t>402+403</t>
    <phoneticPr fontId="3" type="noConversion"/>
  </si>
  <si>
    <t>丰联丽格</t>
  </si>
  <si>
    <t>21.9.1-24.8.31</t>
    <phoneticPr fontId="3" type="noConversion"/>
  </si>
  <si>
    <t>24.9.1-27.8.31</t>
    <phoneticPr fontId="3" type="noConversion"/>
  </si>
  <si>
    <t>27.9.1-30.8.31</t>
    <phoneticPr fontId="3" type="noConversion"/>
  </si>
  <si>
    <t>30.9.1-31.8.31</t>
    <phoneticPr fontId="3" type="noConversion"/>
  </si>
  <si>
    <t>405+406+407</t>
    <phoneticPr fontId="3" type="noConversion"/>
  </si>
  <si>
    <t>小计</t>
    <phoneticPr fontId="3" type="noConversion"/>
  </si>
  <si>
    <t>已出租</t>
  </si>
  <si>
    <t>已出租</t>
    <phoneticPr fontId="7" type="noConversion"/>
  </si>
  <si>
    <t>未出租</t>
  </si>
  <si>
    <t>未出租</t>
    <phoneticPr fontId="7" type="noConversion"/>
  </si>
  <si>
    <t>月收入</t>
    <phoneticPr fontId="134" type="noConversion"/>
  </si>
  <si>
    <t>使用面积</t>
    <phoneticPr fontId="134" type="noConversion"/>
  </si>
  <si>
    <t>建筑面积</t>
    <phoneticPr fontId="134" type="noConversion"/>
  </si>
  <si>
    <t>租约期内租金</t>
    <phoneticPr fontId="134" type="noConversion"/>
  </si>
  <si>
    <t>租约期外租金</t>
    <phoneticPr fontId="134" type="noConversion"/>
  </si>
  <si>
    <t>收益法-未出租</t>
  </si>
  <si>
    <t>收益法-未出租</t>
    <phoneticPr fontId="16" type="noConversion"/>
  </si>
  <si>
    <t>收益法（汇总）</t>
  </si>
  <si>
    <t>需扣减承租人权益</t>
  </si>
  <si>
    <t>燃气</t>
  </si>
  <si>
    <t>项目全部</t>
  </si>
  <si>
    <t>估价对象位于朝阳门商圈，周边商业氛围成熟，有悠唐购物中心、银河SOHO等购物中心，人流量大，商业繁华度好</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</si>
</sst>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14"/>
      <name val="Times New Roman"/>
      <family val="1"/>
    </font>
    <font>
      <b/>
      <sz val="14"/>
      <name val="宋体"/>
      <family val="3"/>
      <charset val="134"/>
    </font>
    <font>
      <b/>
      <sz val="10"/>
      <name val="Times New Roman"/>
      <family val="1"/>
    </font>
    <font>
      <b/>
      <sz val="8"/>
      <name val="宋体"/>
      <family val="3"/>
      <charset val="134"/>
    </font>
    <font>
      <sz val="10"/>
      <name val="Times New Roman"/>
      <family val="1"/>
    </font>
    <font>
      <sz val="10"/>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theme="0" tint="-0.3499862666707357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0" fontId="36" fillId="0" borderId="0">
      <alignment vertical="center"/>
    </xf>
    <xf numFmtId="0" fontId="44" fillId="0" borderId="0"/>
  </cellStyleXfs>
  <cellXfs count="38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60" xfId="20" applyFont="1" applyBorder="1" applyAlignment="1">
      <alignment horizontal="centerContinuous" vertical="center"/>
    </xf>
    <xf numFmtId="0" fontId="272" fillId="22" borderId="1" xfId="20" applyFont="1" applyFill="1" applyBorder="1" applyAlignment="1">
      <alignment horizontal="center" vertical="center"/>
    </xf>
    <xf numFmtId="196" fontId="80" fillId="22" borderId="1" xfId="19" applyNumberFormat="1" applyFont="1" applyFill="1" applyBorder="1" applyAlignment="1">
      <alignment horizontal="right" vertical="center"/>
    </xf>
    <xf numFmtId="0" fontId="80" fillId="22" borderId="1" xfId="20"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274" fillId="0" borderId="1" xfId="20" applyFont="1" applyFill="1" applyBorder="1" applyAlignment="1">
      <alignment horizontal="center" vertical="center"/>
    </xf>
    <xf numFmtId="176" fontId="274" fillId="23" borderId="1" xfId="20" applyNumberFormat="1" applyFont="1" applyFill="1" applyBorder="1" applyAlignment="1">
      <alignment horizontal="center" vertical="center"/>
    </xf>
    <xf numFmtId="0" fontId="274" fillId="23" borderId="1" xfId="20" applyFont="1" applyFill="1" applyBorder="1" applyAlignment="1">
      <alignment horizontal="center" vertical="center"/>
    </xf>
    <xf numFmtId="0" fontId="274" fillId="2" borderId="1" xfId="20" applyFont="1" applyFill="1" applyBorder="1" applyAlignment="1">
      <alignment horizontal="center" vertical="center"/>
    </xf>
    <xf numFmtId="0" fontId="19" fillId="2" borderId="1" xfId="21" applyFont="1" applyFill="1" applyBorder="1" applyAlignment="1">
      <alignment horizontal="center" vertical="center" shrinkToFit="1"/>
    </xf>
    <xf numFmtId="0" fontId="274" fillId="2" borderId="1" xfId="21" applyFont="1" applyFill="1" applyBorder="1" applyAlignment="1">
      <alignment horizontal="center" vertical="center" wrapText="1"/>
    </xf>
    <xf numFmtId="176" fontId="274" fillId="2" borderId="1" xfId="20" applyNumberFormat="1" applyFont="1" applyFill="1" applyBorder="1" applyAlignment="1">
      <alignment horizontal="center" vertical="center"/>
    </xf>
    <xf numFmtId="176" fontId="274" fillId="2" borderId="1" xfId="21" applyNumberFormat="1" applyFont="1" applyFill="1" applyBorder="1" applyAlignment="1">
      <alignment horizontal="center" vertical="center" wrapText="1"/>
    </xf>
    <xf numFmtId="0" fontId="274" fillId="2" borderId="1" xfId="20" applyNumberFormat="1" applyFont="1" applyFill="1" applyBorder="1" applyAlignment="1">
      <alignment horizontal="center" vertical="center"/>
    </xf>
    <xf numFmtId="196" fontId="53" fillId="2" borderId="1" xfId="19" applyNumberFormat="1" applyFont="1" applyFill="1" applyBorder="1" applyAlignment="1">
      <alignment horizontal="center" vertical="center"/>
    </xf>
    <xf numFmtId="176" fontId="0" fillId="0" borderId="0" xfId="0" applyNumberFormat="1">
      <alignment vertical="center"/>
    </xf>
    <xf numFmtId="43" fontId="0" fillId="0" borderId="0" xfId="0" applyNumberFormat="1">
      <alignment vertical="center"/>
    </xf>
    <xf numFmtId="0" fontId="95" fillId="0" borderId="0" xfId="0" applyFont="1">
      <alignment vertical="center"/>
    </xf>
    <xf numFmtId="176" fontId="95" fillId="0" borderId="0" xfId="0" applyNumberFormat="1" applyFont="1">
      <alignment vertical="center"/>
    </xf>
    <xf numFmtId="43" fontId="47" fillId="0" borderId="3" xfId="0" applyNumberFormat="1" applyFont="1" applyFill="1" applyBorder="1" applyProtection="1">
      <alignment vertical="center"/>
      <protection locked="0"/>
    </xf>
    <xf numFmtId="179" fontId="51" fillId="7" borderId="23" xfId="0" applyNumberFormat="1" applyFont="1" applyFill="1" applyBorder="1" applyAlignment="1" applyProtection="1">
      <alignment horizontal="center" vertical="center"/>
      <protection locked="0"/>
    </xf>
    <xf numFmtId="181" fontId="51" fillId="7"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54" fillId="22" borderId="1" xfId="19" applyNumberFormat="1" applyFont="1" applyFill="1" applyBorder="1" applyAlignment="1">
      <alignment horizontal="right" vertical="center"/>
    </xf>
    <xf numFmtId="0" fontId="274" fillId="0" borderId="1" xfId="20" applyFont="1" applyFill="1" applyBorder="1" applyAlignment="1">
      <alignment horizontal="center" vertical="center"/>
    </xf>
    <xf numFmtId="0" fontId="274" fillId="0" borderId="13" xfId="20" applyFont="1" applyFill="1" applyBorder="1" applyAlignment="1">
      <alignment horizontal="center" vertical="center"/>
    </xf>
    <xf numFmtId="0" fontId="274" fillId="0" borderId="15" xfId="20" applyFont="1" applyFill="1" applyBorder="1" applyAlignment="1">
      <alignment horizontal="center" vertical="center"/>
    </xf>
    <xf numFmtId="0" fontId="19" fillId="0" borderId="13" xfId="20" applyFont="1" applyFill="1" applyBorder="1" applyAlignment="1">
      <alignment horizontal="center" vertical="center"/>
    </xf>
    <xf numFmtId="0" fontId="19" fillId="0" borderId="15" xfId="20" applyFont="1" applyFill="1" applyBorder="1" applyAlignment="1">
      <alignment horizontal="center" vertical="center"/>
    </xf>
    <xf numFmtId="176" fontId="274" fillId="0" borderId="1" xfId="20" applyNumberFormat="1" applyFont="1" applyFill="1" applyBorder="1" applyAlignment="1">
      <alignment horizontal="center" vertical="center"/>
    </xf>
    <xf numFmtId="196" fontId="53" fillId="0" borderId="1" xfId="19" applyNumberFormat="1" applyFont="1" applyFill="1" applyBorder="1" applyAlignment="1">
      <alignment horizontal="right" vertical="center"/>
    </xf>
    <xf numFmtId="0" fontId="80" fillId="22" borderId="1" xfId="20" applyFont="1" applyFill="1" applyBorder="1" applyAlignment="1">
      <alignment horizontal="center" vertical="center" wrapText="1"/>
    </xf>
    <xf numFmtId="0" fontId="272" fillId="22" borderId="1" xfId="20" applyFont="1" applyFill="1" applyBorder="1" applyAlignment="1">
      <alignment horizontal="center" vertical="center" wrapText="1"/>
    </xf>
    <xf numFmtId="0" fontId="80" fillId="22" borderId="1" xfId="20" applyFont="1" applyFill="1" applyBorder="1" applyAlignment="1">
      <alignment horizontal="center" vertical="center" shrinkToFit="1"/>
    </xf>
    <xf numFmtId="0" fontId="272" fillId="22" borderId="1" xfId="20" applyFont="1" applyFill="1" applyBorder="1" applyAlignment="1">
      <alignment horizontal="center" vertical="center" shrinkToFit="1"/>
    </xf>
    <xf numFmtId="176" fontId="80" fillId="22" borderId="1" xfId="20" applyNumberFormat="1" applyFont="1" applyFill="1" applyBorder="1" applyAlignment="1">
      <alignment horizontal="center" vertical="center"/>
    </xf>
    <xf numFmtId="176" fontId="272" fillId="22" borderId="1" xfId="20" applyNumberFormat="1" applyFont="1" applyFill="1" applyBorder="1" applyAlignment="1">
      <alignment horizontal="center" vertical="center"/>
    </xf>
    <xf numFmtId="0" fontId="80" fillId="22" borderId="1" xfId="20" applyFont="1" applyFill="1" applyBorder="1" applyAlignment="1">
      <alignment horizontal="center" vertical="center"/>
    </xf>
    <xf numFmtId="0" fontId="272" fillId="22" borderId="1" xfId="20" applyFont="1" applyFill="1" applyBorder="1" applyAlignment="1">
      <alignment horizontal="center" vertical="center"/>
    </xf>
    <xf numFmtId="0" fontId="274" fillId="0" borderId="2" xfId="20" applyFont="1" applyFill="1" applyBorder="1" applyAlignment="1">
      <alignment horizontal="center" vertical="center"/>
    </xf>
    <xf numFmtId="43" fontId="274" fillId="0" borderId="13" xfId="19" applyFont="1" applyFill="1" applyBorder="1" applyAlignment="1">
      <alignment horizontal="center" vertical="center"/>
    </xf>
    <xf numFmtId="43" fontId="274" fillId="0" borderId="15" xfId="19" applyFont="1" applyFill="1" applyBorder="1" applyAlignment="1">
      <alignment horizontal="center" vertical="center"/>
    </xf>
    <xf numFmtId="43" fontId="274" fillId="0" borderId="2" xfId="19" applyFont="1" applyFill="1" applyBorder="1" applyAlignment="1">
      <alignment horizontal="center" vertical="center"/>
    </xf>
    <xf numFmtId="196" fontId="53" fillId="0" borderId="13" xfId="19" applyNumberFormat="1" applyFont="1" applyFill="1" applyBorder="1" applyAlignment="1">
      <alignment horizontal="right" vertical="center"/>
    </xf>
    <xf numFmtId="196" fontId="53" fillId="0" borderId="15" xfId="19" applyNumberFormat="1" applyFont="1" applyFill="1" applyBorder="1" applyAlignment="1">
      <alignment horizontal="right" vertical="center"/>
    </xf>
    <xf numFmtId="196" fontId="53" fillId="0" borderId="2" xfId="19" applyNumberFormat="1" applyFont="1" applyFill="1" applyBorder="1" applyAlignment="1">
      <alignment horizontal="right" vertical="center"/>
    </xf>
    <xf numFmtId="196" fontId="53" fillId="23" borderId="13" xfId="19" applyNumberFormat="1" applyFont="1" applyFill="1" applyBorder="1" applyAlignment="1">
      <alignment horizontal="center" vertical="center"/>
    </xf>
    <xf numFmtId="196" fontId="53" fillId="23" borderId="15" xfId="19" applyNumberFormat="1" applyFont="1" applyFill="1" applyBorder="1" applyAlignment="1">
      <alignment horizontal="center" vertical="center"/>
    </xf>
    <xf numFmtId="196" fontId="53" fillId="23" borderId="2" xfId="19" applyNumberFormat="1" applyFont="1" applyFill="1" applyBorder="1" applyAlignment="1">
      <alignment horizontal="center" vertical="center"/>
    </xf>
    <xf numFmtId="0" fontId="274" fillId="23" borderId="1" xfId="20" applyFont="1" applyFill="1" applyBorder="1" applyAlignment="1">
      <alignment horizontal="center" vertical="center"/>
    </xf>
    <xf numFmtId="0" fontId="274" fillId="23" borderId="1" xfId="21" applyFont="1" applyFill="1" applyBorder="1" applyAlignment="1">
      <alignment horizontal="center" vertical="center" shrinkToFit="1"/>
    </xf>
    <xf numFmtId="0" fontId="275" fillId="23" borderId="1" xfId="21" applyFont="1" applyFill="1" applyBorder="1" applyAlignment="1">
      <alignment horizontal="center" vertical="center" wrapText="1"/>
    </xf>
    <xf numFmtId="176" fontId="274" fillId="23" borderId="1" xfId="20" applyNumberFormat="1" applyFont="1" applyFill="1" applyBorder="1" applyAlignment="1">
      <alignment horizontal="center" vertical="center" shrinkToFit="1"/>
    </xf>
    <xf numFmtId="196" fontId="53" fillId="23" borderId="13" xfId="19" applyNumberFormat="1" applyFont="1" applyFill="1" applyBorder="1" applyAlignment="1">
      <alignment horizontal="right" vertical="center"/>
    </xf>
    <xf numFmtId="196" fontId="53" fillId="23" borderId="15" xfId="19" applyNumberFormat="1" applyFont="1" applyFill="1" applyBorder="1" applyAlignment="1">
      <alignment horizontal="right" vertical="center"/>
    </xf>
    <xf numFmtId="196" fontId="53" fillId="23" borderId="2" xfId="19" applyNumberFormat="1" applyFont="1" applyFill="1" applyBorder="1" applyAlignment="1">
      <alignment horizontal="right" vertical="center"/>
    </xf>
    <xf numFmtId="196" fontId="53" fillId="23" borderId="1" xfId="19" applyNumberFormat="1" applyFont="1" applyFill="1" applyBorder="1" applyAlignment="1">
      <alignment horizontal="right" vertical="center"/>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2012年租金收入预测(2011.7.28)" xfId="20"/>
    <cellStyle name="常规_Sheet1" xfId="21"/>
    <cellStyle name="千位分隔" xfId="19" builtinId="3"/>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北京市朝阳区朝阳区门外大街18号房地产抵押价值预评估</v>
      </c>
    </row>
    <row r="3" spans="1:2" s="1203" customFormat="1">
      <c r="A3" s="1201" t="s">
        <v>523</v>
      </c>
      <c r="B3" s="1202" t="str">
        <f>'预评函-封皮'!B40</f>
        <v>中行商务区支行</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受贵公司委托，我公司对北京市朝阳区朝阳区门外大街18号房地产抵押价值进行了预评估。</v>
      </c>
    </row>
    <row r="7" spans="1:2" s="1203" customFormat="1">
      <c r="A7" s="1201" t="s">
        <v>566</v>
      </c>
      <c r="B7" s="1202" t="str">
        <f>'预评函-1'!A7</f>
        <v>估价对象为北京市朝阳区朝阳区门外大街18号房地产，为北京丰联广场商业有限公司所有。根据《国有土地使用证》[]，估价对象（分摊）出让国有建设用地使用权面积为750.35平方米，建筑面积为6547.83平方米。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朝阳区门外大街18号房地产,为北京丰联广场商业有限公司开发建设的综合项目（商业、办公），该项目尚在开发建设中。根据《国有土地使用证》[]，估价对象（分摊）出让国有建设用地使用权面积为750.35平方米，规划建筑面积为6547.83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朝阳区门外大街18号房地产作为抵押担保物，向中行商务区支行办理贷款手续。中行商务区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2023年5月5日（评估专业人员实地查勘之日）</v>
      </c>
    </row>
    <row r="13" spans="1:2" s="1203" customFormat="1">
      <c r="A13" s="1201" t="s">
        <v>529</v>
      </c>
      <c r="B13" s="1202" t="str">
        <f>'预评函-1'!A18</f>
        <v>本次估价的“房地产价值”是指在正常市场情况下，在价值时点2023年5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18019</v>
      </c>
    </row>
    <row r="21" spans="1:2" s="1203" customFormat="1">
      <c r="A21" s="1201" t="s">
        <v>537</v>
      </c>
      <c r="B21" s="1202">
        <f ca="1">'预评函-2'!D7</f>
        <v>27519</v>
      </c>
    </row>
    <row r="22" spans="1:2" s="1203" customFormat="1">
      <c r="A22" s="1201" t="s">
        <v>538</v>
      </c>
      <c r="B22" s="1202" t="str">
        <f ca="1">'预评函-2'!D6</f>
        <v>壹亿捌仟零壹拾玖万元整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18019</v>
      </c>
    </row>
    <row r="31" spans="1:2" s="1203" customFormat="1">
      <c r="A31" s="1201" t="s">
        <v>576</v>
      </c>
      <c r="B31" s="1202">
        <f ca="1">'预评函-2'!D15</f>
        <v>27519</v>
      </c>
    </row>
    <row r="32" spans="1:2" s="1203" customFormat="1">
      <c r="A32" s="1201" t="s">
        <v>543</v>
      </c>
      <c r="B32" s="1202" t="str">
        <f ca="1">'预评函-2'!D14</f>
        <v>壹亿捌仟零壹拾玖万元整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北京市朝阳区朝阳区门外大街18号房地产</v>
      </c>
    </row>
    <row r="42" spans="1:2" s="1203" customFormat="1">
      <c r="A42" s="1201" t="s">
        <v>590</v>
      </c>
      <c r="B42" s="1202" t="str">
        <f>'预评函-3'!B2</f>
        <v>建筑面积</v>
      </c>
    </row>
    <row r="43" spans="1:2" s="1203" customFormat="1">
      <c r="A43" s="1201" t="s">
        <v>591</v>
      </c>
      <c r="B43" s="1202">
        <f>'预评函-3'!B4</f>
        <v>6547.83</v>
      </c>
    </row>
    <row r="44" spans="1:2" s="1203" customFormat="1">
      <c r="A44" s="1201" t="s">
        <v>575</v>
      </c>
      <c r="B44" s="1202" t="str">
        <f>'预评函-3'!C2</f>
        <v>(分摊)土地面积</v>
      </c>
    </row>
    <row r="45" spans="1:2" s="1203" customFormat="1">
      <c r="A45" s="1201" t="s">
        <v>547</v>
      </c>
      <c r="B45" s="1202">
        <f>'预评函-3'!C4</f>
        <v>750.35</v>
      </c>
    </row>
    <row r="46" spans="1:2" s="1203" customFormat="1">
      <c r="A46" s="1201" t="s">
        <v>573</v>
      </c>
      <c r="B46" s="1202" t="str">
        <f>'预评函-3'!D2</f>
        <v>出让国有建设用地使用权价值</v>
      </c>
    </row>
    <row r="47" spans="1:2" s="1203" customFormat="1">
      <c r="A47" s="1201" t="s">
        <v>548</v>
      </c>
      <c r="B47" s="1202">
        <f ca="1">'预评函-3'!D4</f>
        <v>14163</v>
      </c>
    </row>
    <row r="48" spans="1:2" s="1203" customFormat="1">
      <c r="A48" s="1201" t="s">
        <v>549</v>
      </c>
      <c r="B48" s="1202">
        <f ca="1">'预评函-3'!E4</f>
        <v>21630</v>
      </c>
    </row>
    <row r="49" spans="1:2" s="1203" customFormat="1">
      <c r="A49" s="1201" t="s">
        <v>550</v>
      </c>
      <c r="B49" s="1202" t="str">
        <f ca="1">'预评函-3'!D5</f>
        <v>壹亿肆仟壹佰陆拾叁万元整</v>
      </c>
    </row>
    <row r="50" spans="1:2" s="1203" customFormat="1">
      <c r="A50" s="1201" t="s">
        <v>574</v>
      </c>
      <c r="B50" s="1202" t="str">
        <f>'预评函-3'!F2</f>
        <v>在建建筑物价值</v>
      </c>
    </row>
    <row r="51" spans="1:2" s="1203" customFormat="1">
      <c r="A51" s="1201" t="s">
        <v>551</v>
      </c>
      <c r="B51" s="1202">
        <f ca="1">'预评函-3'!F4</f>
        <v>3856</v>
      </c>
    </row>
    <row r="52" spans="1:2" s="1203" customFormat="1">
      <c r="A52" s="1201" t="s">
        <v>552</v>
      </c>
      <c r="B52" s="1202">
        <f ca="1">'预评函-3'!G4</f>
        <v>5889</v>
      </c>
    </row>
    <row r="53" spans="1:2" s="1203" customFormat="1">
      <c r="A53" s="1201" t="s">
        <v>580</v>
      </c>
      <c r="B53" s="1202" t="str">
        <f ca="1">'预评函-3'!F5</f>
        <v>叁仟捌佰伍拾陆万元整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2575</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2576</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3467</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为估价委托人在向中行商务区支行办理贷款手续过程中，确定房地产抵押贷款额度提供参考依据而评估房地产抵押价值。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区门外大街18号房地产作为抵押担保物，向中行商务区支行办理贷款手续。中行商务区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4" t="s">
        <v>385</v>
      </c>
      <c r="C54" s="1551" t="s">
        <v>583</v>
      </c>
    </row>
    <row r="55" spans="1:4">
      <c r="A55" s="3527"/>
      <c r="B55" s="1554" t="s">
        <v>386</v>
      </c>
      <c r="C55" s="1551" t="s">
        <v>584</v>
      </c>
    </row>
    <row r="56" spans="1:4">
      <c r="A56" s="3527"/>
      <c r="B56" s="1554" t="s">
        <v>387</v>
      </c>
      <c r="C56" s="1551" t="s">
        <v>588</v>
      </c>
    </row>
    <row r="57" spans="1:4">
      <c r="A57" s="352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2498</v>
      </c>
      <c r="B1" s="3012"/>
      <c r="C1" s="3012"/>
      <c r="D1" s="3012"/>
      <c r="E1" s="3012"/>
      <c r="F1" s="3013"/>
      <c r="I1" s="3435" t="s">
        <v>2591</v>
      </c>
      <c r="J1" s="3224"/>
      <c r="K1" s="3224"/>
      <c r="L1" s="3224"/>
      <c r="M1" s="3224"/>
      <c r="N1" s="3436"/>
      <c r="O1" s="3436"/>
      <c r="P1" s="3436"/>
      <c r="Q1" s="3436"/>
      <c r="R1" s="3436"/>
    </row>
    <row r="2" spans="1:18">
      <c r="A2" s="3015"/>
      <c r="B2" s="3016"/>
      <c r="C2" s="3016"/>
      <c r="D2" s="3016"/>
      <c r="E2" s="3016"/>
      <c r="F2" s="3017"/>
      <c r="I2" s="3528" t="s">
        <v>2578</v>
      </c>
      <c r="J2" s="3528"/>
      <c r="K2" s="3528"/>
      <c r="L2" s="3528"/>
      <c r="M2" s="3528"/>
      <c r="N2" s="3528"/>
      <c r="O2" s="3528"/>
      <c r="P2" s="3528"/>
      <c r="Q2" s="3528"/>
      <c r="R2" s="3528"/>
    </row>
    <row r="3" spans="1:18">
      <c r="A3" s="3018" t="s">
        <v>2499</v>
      </c>
      <c r="B3" s="3019">
        <f>项目基本情况!D3</f>
        <v>45051</v>
      </c>
      <c r="C3" s="3021"/>
      <c r="D3" s="3021"/>
      <c r="E3" s="3021"/>
      <c r="F3" s="3017"/>
      <c r="I3" s="3437"/>
      <c r="J3" s="3437" t="s">
        <v>2582</v>
      </c>
      <c r="K3" s="3437" t="s">
        <v>2583</v>
      </c>
      <c r="L3" s="3437" t="s">
        <v>2584</v>
      </c>
      <c r="M3" s="3437" t="s">
        <v>2585</v>
      </c>
      <c r="N3" s="3438" t="s">
        <v>2586</v>
      </c>
      <c r="O3" s="3438" t="s">
        <v>2587</v>
      </c>
      <c r="P3" s="3438" t="s">
        <v>2588</v>
      </c>
      <c r="Q3" s="3438" t="s">
        <v>2589</v>
      </c>
      <c r="R3" s="3438" t="s">
        <v>2590</v>
      </c>
    </row>
    <row r="4" spans="1:18">
      <c r="A4" s="3018" t="s">
        <v>2500</v>
      </c>
      <c r="B4" s="3021" t="s">
        <v>2501</v>
      </c>
      <c r="C4" s="3021" t="s">
        <v>2502</v>
      </c>
      <c r="D4" s="3021" t="s">
        <v>2503</v>
      </c>
      <c r="E4" s="3021" t="s">
        <v>2504</v>
      </c>
      <c r="F4" s="3017"/>
      <c r="I4" s="3437" t="s">
        <v>2579</v>
      </c>
      <c r="J4" s="3437">
        <v>80</v>
      </c>
      <c r="K4" s="3437">
        <v>70</v>
      </c>
      <c r="L4" s="3437">
        <v>20</v>
      </c>
      <c r="M4" s="3437">
        <v>30</v>
      </c>
      <c r="N4" s="3021">
        <v>45</v>
      </c>
      <c r="O4" s="3021">
        <v>60</v>
      </c>
      <c r="P4" s="3021">
        <v>50</v>
      </c>
      <c r="Q4" s="3021">
        <v>20</v>
      </c>
      <c r="R4" s="3021">
        <v>375</v>
      </c>
    </row>
    <row r="5" spans="1:18">
      <c r="A5" s="3022">
        <v>40</v>
      </c>
      <c r="B5" s="3019">
        <v>46375</v>
      </c>
      <c r="C5" s="3021">
        <f>ROUNDDOWN(MIN((B5-B3)/365,A5),2)</f>
        <v>3.62</v>
      </c>
      <c r="D5" s="3023">
        <f>IF(ISERROR(ROUND(POWER(1+E5,A5-C5)*(POWER(1+E5,C5)-1)/(POWER(1+E5,A5)-1),3)),0,ROUND(POWER(1+E5,A5-C5)*(POWER(1+E5,C5)-1)/(POWER(1+E5,A5)-1),4))</f>
        <v>0.16719999999999999</v>
      </c>
      <c r="E5" s="3024">
        <v>0.04</v>
      </c>
      <c r="F5" s="3017"/>
      <c r="I5" s="3437" t="s">
        <v>2580</v>
      </c>
      <c r="J5" s="3437">
        <v>70</v>
      </c>
      <c r="K5" s="3437">
        <v>60</v>
      </c>
      <c r="L5" s="3437">
        <v>15</v>
      </c>
      <c r="M5" s="3437">
        <v>25</v>
      </c>
      <c r="N5" s="3021">
        <v>40</v>
      </c>
      <c r="O5" s="3021">
        <v>50</v>
      </c>
      <c r="P5" s="3021">
        <v>40</v>
      </c>
      <c r="Q5" s="3021">
        <v>15</v>
      </c>
      <c r="R5" s="3021">
        <v>315</v>
      </c>
    </row>
    <row r="6" spans="1:18">
      <c r="A6" s="3022">
        <v>50</v>
      </c>
      <c r="B6" s="3019">
        <v>50028</v>
      </c>
      <c r="C6" s="3021">
        <f>ROUNDDOWN(MIN((B6-B3)/365,A6),2)</f>
        <v>13.63</v>
      </c>
      <c r="D6" s="3023">
        <f>IF(ISERROR(ROUND(POWER(1+E6,A6-C6)*(POWER(1+E6,C6)-1)/(POWER(1+E6,A6)-1),3)),0,ROUND(POWER(1+E6,A6-C6)*(POWER(1+E6,C6)-1)/(POWER(1+E6,A6)-1),4))</f>
        <v>0.4819</v>
      </c>
      <c r="E6" s="3024">
        <v>0.04</v>
      </c>
      <c r="F6" s="3017"/>
      <c r="I6" s="3437" t="s">
        <v>2581</v>
      </c>
      <c r="J6" s="3437">
        <v>60</v>
      </c>
      <c r="K6" s="3437">
        <v>50</v>
      </c>
      <c r="L6" s="3437">
        <v>10</v>
      </c>
      <c r="M6" s="3437">
        <v>20</v>
      </c>
      <c r="N6" s="3021">
        <v>35</v>
      </c>
      <c r="O6" s="3021">
        <v>40</v>
      </c>
      <c r="P6" s="3021">
        <v>30</v>
      </c>
      <c r="Q6" s="3021">
        <v>10</v>
      </c>
      <c r="R6" s="3021">
        <v>255</v>
      </c>
    </row>
    <row r="7" spans="1:18">
      <c r="A7" s="3022">
        <v>70</v>
      </c>
      <c r="B7" s="3019">
        <v>57333</v>
      </c>
      <c r="C7" s="3021">
        <f>ROUNDDOWN(MIN((B7-B3)/365,A7),2)</f>
        <v>33.64</v>
      </c>
      <c r="D7" s="3023">
        <f>IF(ISERROR(ROUND(POWER(1+E7,A7-C7)*(POWER(1+E7,C7)-1)/(POWER(1+E7,A7)-1),3)),0,ROUND(POWER(1+E7,A7-C7)*(POWER(1+E7,C7)-1)/(POWER(1+E7,A7)-1),4))</f>
        <v>0.78300000000000003</v>
      </c>
      <c r="E7" s="3024">
        <v>0.04</v>
      </c>
      <c r="F7" s="3017"/>
    </row>
    <row r="8" spans="1:18">
      <c r="A8" s="3015"/>
      <c r="B8" s="3016"/>
      <c r="C8" s="3016"/>
      <c r="D8" s="3016"/>
      <c r="E8" s="3016"/>
      <c r="F8" s="3017"/>
    </row>
    <row r="9" spans="1:18">
      <c r="A9" s="3018" t="s">
        <v>2505</v>
      </c>
      <c r="B9" s="3021"/>
      <c r="C9" s="3021"/>
      <c r="D9" s="3021"/>
      <c r="E9" s="3021"/>
      <c r="F9" s="3025"/>
    </row>
    <row r="10" spans="1:18">
      <c r="A10" s="3018" t="s">
        <v>2506</v>
      </c>
      <c r="B10" s="3021"/>
      <c r="C10" s="3021"/>
      <c r="D10" s="3021" t="s">
        <v>2504</v>
      </c>
      <c r="E10" s="3021"/>
      <c r="F10" s="3025" t="s">
        <v>2503</v>
      </c>
    </row>
    <row r="11" spans="1:18">
      <c r="A11" s="3018" t="s">
        <v>2507</v>
      </c>
      <c r="B11" s="3026">
        <v>70</v>
      </c>
      <c r="C11" s="3021" t="s">
        <v>2508</v>
      </c>
      <c r="D11" s="3027">
        <v>4.4999999999999998E-2</v>
      </c>
      <c r="E11" s="3021" t="s">
        <v>2509</v>
      </c>
      <c r="F11" s="3028">
        <f>ROUND(1-(1/(POWER(1+D11,B11))),4)</f>
        <v>0.95409999999999995</v>
      </c>
    </row>
    <row r="12" spans="1:18">
      <c r="A12" s="3018" t="s">
        <v>2510</v>
      </c>
      <c r="B12" s="3026">
        <v>40</v>
      </c>
      <c r="C12" s="3021" t="s">
        <v>2511</v>
      </c>
      <c r="D12" s="3027">
        <v>4.4999999999999998E-2</v>
      </c>
      <c r="E12" s="3021" t="s">
        <v>2512</v>
      </c>
      <c r="F12" s="3028">
        <f>ROUND(1-(1/(POWER(1+D12,B12))),4)</f>
        <v>0.82809999999999995</v>
      </c>
    </row>
    <row r="13" spans="1:18">
      <c r="A13" s="3018" t="s">
        <v>2513</v>
      </c>
      <c r="B13" s="3021"/>
      <c r="C13" s="3021"/>
      <c r="D13" s="3016"/>
      <c r="E13" s="3016"/>
      <c r="F13" s="3017"/>
    </row>
    <row r="14" spans="1:18">
      <c r="A14" s="3018" t="s">
        <v>2514</v>
      </c>
      <c r="B14" s="3026">
        <v>5000</v>
      </c>
      <c r="C14" s="3020"/>
      <c r="D14" s="3016"/>
      <c r="E14" s="3016"/>
      <c r="F14" s="3017"/>
    </row>
    <row r="15" spans="1:18">
      <c r="A15" s="3018" t="s">
        <v>2515</v>
      </c>
      <c r="B15" s="3021">
        <f>ROUND(B14*F12/F11,2)</f>
        <v>4339.6899999999996</v>
      </c>
      <c r="C15" s="3021">
        <f>ROUND(F12/F11,4)</f>
        <v>0.8679</v>
      </c>
      <c r="D15" s="3016"/>
      <c r="E15" s="3016"/>
      <c r="F15" s="3017"/>
    </row>
    <row r="16" spans="1:18">
      <c r="A16" s="3018" t="s">
        <v>2516</v>
      </c>
      <c r="B16" s="3021"/>
      <c r="C16" s="3021"/>
      <c r="D16" s="3016"/>
      <c r="E16" s="3016"/>
      <c r="F16" s="3017"/>
    </row>
    <row r="17" spans="1:13">
      <c r="A17" s="3018" t="s">
        <v>2515</v>
      </c>
      <c r="B17" s="3027">
        <v>4810</v>
      </c>
      <c r="C17" s="3020"/>
      <c r="D17" s="3016"/>
      <c r="E17" s="3016"/>
      <c r="F17" s="3017"/>
    </row>
    <row r="18" spans="1:13" ht="14.25" thickBot="1">
      <c r="A18" s="3029" t="s">
        <v>2514</v>
      </c>
      <c r="B18" s="3030">
        <f>ROUND(B17*F11/F12,2)</f>
        <v>5541.87</v>
      </c>
      <c r="C18" s="3030">
        <f>ROUND(F11/F12,4)</f>
        <v>1.1521999999999999</v>
      </c>
      <c r="D18" s="3031"/>
      <c r="E18" s="3031"/>
      <c r="F18" s="3032"/>
    </row>
    <row r="19" spans="1:13" ht="14.25" thickBot="1"/>
    <row r="20" spans="1:13" s="3067" customFormat="1" ht="14.25" thickTop="1">
      <c r="A20" s="3064" t="s">
        <v>2517</v>
      </c>
      <c r="B20" s="3065"/>
      <c r="C20" s="3065"/>
      <c r="D20" s="3065"/>
      <c r="E20" s="3065"/>
      <c r="F20" s="3065"/>
      <c r="G20" s="3066"/>
      <c r="I20" s="3068" t="s">
        <v>2562</v>
      </c>
      <c r="J20" s="3068" t="s">
        <v>2567</v>
      </c>
      <c r="K20" s="3068"/>
      <c r="L20" s="3068"/>
      <c r="M20" s="3068"/>
    </row>
    <row r="21" spans="1:13">
      <c r="A21" s="3033"/>
      <c r="B21" s="3034" t="s">
        <v>2518</v>
      </c>
      <c r="C21" s="3034" t="s">
        <v>2519</v>
      </c>
      <c r="D21" s="3034" t="s">
        <v>2520</v>
      </c>
      <c r="E21" s="3034" t="s">
        <v>2521</v>
      </c>
      <c r="F21" s="3034" t="s">
        <v>2522</v>
      </c>
      <c r="G21" s="3035" t="s">
        <v>2523</v>
      </c>
      <c r="I21" s="3056">
        <v>5</v>
      </c>
      <c r="J21" s="3056">
        <v>54.2</v>
      </c>
    </row>
    <row r="22" spans="1:13">
      <c r="A22" s="3033" t="s">
        <v>2524</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2525</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2565</v>
      </c>
      <c r="M23" s="3056" t="s">
        <v>2566</v>
      </c>
    </row>
    <row r="24" spans="1:13">
      <c r="A24" s="3033" t="s">
        <v>2526</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2564</v>
      </c>
      <c r="M24" s="3056">
        <v>10</v>
      </c>
    </row>
    <row r="25" spans="1:13">
      <c r="A25" s="3033" t="s">
        <v>2527</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2568</v>
      </c>
      <c r="M25" s="3056">
        <v>8</v>
      </c>
    </row>
    <row r="26" spans="1:13">
      <c r="A26" s="3038"/>
      <c r="B26" s="3039"/>
      <c r="C26" s="3039"/>
      <c r="D26" s="3039"/>
      <c r="E26" s="3039"/>
      <c r="F26" s="3039"/>
      <c r="G26" s="3040"/>
      <c r="I26" s="3056">
        <v>30</v>
      </c>
      <c r="J26" s="3056">
        <v>90.5</v>
      </c>
      <c r="K26" s="3056">
        <f t="shared" si="2"/>
        <v>4.2000000000000028</v>
      </c>
      <c r="L26" s="3056" t="s">
        <v>2569</v>
      </c>
      <c r="M26" s="3056">
        <v>5</v>
      </c>
    </row>
    <row r="27" spans="1:13">
      <c r="A27" s="3038" t="s">
        <v>2528</v>
      </c>
      <c r="B27" s="3039"/>
      <c r="C27" s="3039"/>
      <c r="D27" s="3039"/>
      <c r="E27" s="3039"/>
      <c r="F27" s="3039"/>
      <c r="G27" s="3040"/>
      <c r="I27" s="3056">
        <v>35</v>
      </c>
      <c r="J27" s="3056">
        <v>93.8</v>
      </c>
      <c r="K27" s="3056">
        <f t="shared" si="2"/>
        <v>3.2999999999999972</v>
      </c>
      <c r="L27" s="3056" t="s">
        <v>2570</v>
      </c>
      <c r="M27" s="3056">
        <v>3</v>
      </c>
    </row>
    <row r="28" spans="1:13">
      <c r="A28" s="3038" t="s">
        <v>2529</v>
      </c>
      <c r="B28" s="3039"/>
      <c r="C28" s="3039"/>
      <c r="D28" s="3039"/>
      <c r="E28" s="3039"/>
      <c r="F28" s="3039"/>
      <c r="G28" s="3040"/>
      <c r="I28" s="3056">
        <v>40</v>
      </c>
      <c r="J28" s="3056">
        <v>96.4</v>
      </c>
      <c r="K28" s="3056">
        <f t="shared" si="2"/>
        <v>2.6000000000000085</v>
      </c>
      <c r="L28" s="3056" t="s">
        <v>2571</v>
      </c>
      <c r="M28" s="3056">
        <v>2</v>
      </c>
    </row>
    <row r="29" spans="1:13">
      <c r="A29" s="3038" t="s">
        <v>2530</v>
      </c>
      <c r="B29" s="3039"/>
      <c r="C29" s="3039"/>
      <c r="D29" s="3039"/>
      <c r="E29" s="3039"/>
      <c r="F29" s="3039"/>
      <c r="G29" s="3040"/>
      <c r="I29" s="3056">
        <v>45</v>
      </c>
      <c r="J29" s="3056">
        <v>98.4</v>
      </c>
      <c r="K29" s="3056">
        <f t="shared" si="2"/>
        <v>2</v>
      </c>
    </row>
    <row r="30" spans="1:13">
      <c r="A30" s="3038" t="s">
        <v>2531</v>
      </c>
      <c r="B30" s="3039"/>
      <c r="C30" s="3039"/>
      <c r="D30" s="3039"/>
      <c r="E30" s="3039"/>
      <c r="F30" s="3039"/>
      <c r="G30" s="3040"/>
      <c r="I30" s="3056">
        <v>50</v>
      </c>
      <c r="J30" s="3056">
        <v>100</v>
      </c>
      <c r="K30" s="3056">
        <f t="shared" si="2"/>
        <v>1.5999999999999943</v>
      </c>
    </row>
    <row r="31" spans="1:13">
      <c r="A31" s="3038" t="s">
        <v>2532</v>
      </c>
      <c r="B31" s="3039"/>
      <c r="C31" s="3039"/>
      <c r="D31" s="3039"/>
      <c r="E31" s="3039"/>
      <c r="F31" s="3039"/>
      <c r="G31" s="3040"/>
      <c r="I31" s="3056" t="s">
        <v>2563</v>
      </c>
    </row>
    <row r="32" spans="1:13">
      <c r="A32" s="3038" t="s">
        <v>2533</v>
      </c>
      <c r="B32" s="3039"/>
      <c r="C32" s="3039"/>
      <c r="D32" s="3039"/>
      <c r="E32" s="3039"/>
      <c r="F32" s="3039"/>
      <c r="G32" s="3040"/>
    </row>
    <row r="33" spans="1:13">
      <c r="A33" s="3038" t="s">
        <v>2534</v>
      </c>
      <c r="B33" s="3039"/>
      <c r="C33" s="3039"/>
      <c r="D33" s="3039"/>
      <c r="E33" s="3039"/>
      <c r="F33" s="3039"/>
      <c r="G33" s="3040"/>
      <c r="I33" s="3056" t="s">
        <v>2562</v>
      </c>
      <c r="J33" s="3056" t="s">
        <v>2572</v>
      </c>
    </row>
    <row r="34" spans="1:13">
      <c r="A34" s="3038" t="s">
        <v>2535</v>
      </c>
      <c r="B34" s="3039"/>
      <c r="C34" s="3039"/>
      <c r="D34" s="3039"/>
      <c r="E34" s="3039"/>
      <c r="F34" s="3039"/>
      <c r="G34" s="3040"/>
      <c r="I34" s="3056">
        <v>5</v>
      </c>
      <c r="J34" s="3056">
        <v>55.1</v>
      </c>
    </row>
    <row r="35" spans="1:13">
      <c r="A35" s="3038" t="s">
        <v>2536</v>
      </c>
      <c r="B35" s="3039"/>
      <c r="C35" s="3039"/>
      <c r="D35" s="3039"/>
      <c r="E35" s="3039"/>
      <c r="F35" s="3039"/>
      <c r="G35" s="3040"/>
      <c r="I35" s="3056">
        <v>10</v>
      </c>
      <c r="J35" s="3056">
        <v>67</v>
      </c>
      <c r="K35" s="3056">
        <f>J35-J34</f>
        <v>11.899999999999999</v>
      </c>
    </row>
    <row r="36" spans="1:13">
      <c r="A36" s="3038" t="s">
        <v>2537</v>
      </c>
      <c r="B36" s="3039"/>
      <c r="C36" s="3039"/>
      <c r="D36" s="3039"/>
      <c r="E36" s="3039"/>
      <c r="F36" s="3039"/>
      <c r="G36" s="3040"/>
      <c r="I36" s="3056">
        <v>15</v>
      </c>
      <c r="J36" s="3056">
        <v>76.3</v>
      </c>
      <c r="K36" s="3056">
        <f t="shared" ref="K36:K41" si="3">J36-J35</f>
        <v>9.2999999999999972</v>
      </c>
      <c r="L36" s="3056" t="s">
        <v>2565</v>
      </c>
      <c r="M36" s="3056" t="s">
        <v>2566</v>
      </c>
    </row>
    <row r="37" spans="1:13">
      <c r="A37" s="3038" t="s">
        <v>2538</v>
      </c>
      <c r="B37" s="3039"/>
      <c r="C37" s="3039"/>
      <c r="D37" s="3039"/>
      <c r="E37" s="3039"/>
      <c r="F37" s="3039"/>
      <c r="G37" s="3040"/>
      <c r="I37" s="3056">
        <v>20</v>
      </c>
      <c r="J37" s="3056">
        <v>83.6</v>
      </c>
      <c r="K37" s="3056">
        <f t="shared" si="3"/>
        <v>7.2999999999999972</v>
      </c>
      <c r="L37" s="3056" t="s">
        <v>2564</v>
      </c>
      <c r="M37" s="3056">
        <v>10</v>
      </c>
    </row>
    <row r="38" spans="1:13">
      <c r="A38" s="3038" t="s">
        <v>2539</v>
      </c>
      <c r="B38" s="3039"/>
      <c r="C38" s="3039"/>
      <c r="D38" s="3039"/>
      <c r="E38" s="3039"/>
      <c r="F38" s="3039"/>
      <c r="G38" s="3040"/>
      <c r="I38" s="3056">
        <v>25</v>
      </c>
      <c r="J38" s="3056">
        <v>89.3</v>
      </c>
      <c r="K38" s="3056">
        <f t="shared" si="3"/>
        <v>5.7000000000000028</v>
      </c>
      <c r="L38" s="3056" t="s">
        <v>2568</v>
      </c>
      <c r="M38" s="3056">
        <v>8</v>
      </c>
    </row>
    <row r="39" spans="1:13">
      <c r="A39" s="3038"/>
      <c r="B39" s="3039"/>
      <c r="C39" s="3039"/>
      <c r="D39" s="3039"/>
      <c r="E39" s="3039"/>
      <c r="F39" s="3039"/>
      <c r="G39" s="3040"/>
      <c r="I39" s="3056">
        <v>30</v>
      </c>
      <c r="J39" s="3056">
        <v>93.8</v>
      </c>
      <c r="K39" s="3056">
        <f t="shared" si="3"/>
        <v>4.5</v>
      </c>
      <c r="L39" s="3056" t="s">
        <v>2569</v>
      </c>
      <c r="M39" s="3056">
        <v>6</v>
      </c>
    </row>
    <row r="40" spans="1:13">
      <c r="A40" s="3041" t="s">
        <v>2540</v>
      </c>
      <c r="B40" s="3042"/>
      <c r="C40" s="3042"/>
      <c r="D40" s="3042"/>
      <c r="E40" s="3042"/>
      <c r="F40" s="3042"/>
      <c r="G40" s="3043"/>
      <c r="I40" s="3056">
        <v>35</v>
      </c>
      <c r="J40" s="3056">
        <v>97.2</v>
      </c>
      <c r="K40" s="3056">
        <f t="shared" si="3"/>
        <v>3.4000000000000057</v>
      </c>
      <c r="L40" s="3056" t="s">
        <v>2570</v>
      </c>
      <c r="M40" s="3056">
        <v>3</v>
      </c>
    </row>
    <row r="41" spans="1:13">
      <c r="A41" s="3044" t="s">
        <v>2541</v>
      </c>
      <c r="B41" s="3045" t="s">
        <v>2542</v>
      </c>
      <c r="C41" s="3046" t="s">
        <v>2543</v>
      </c>
      <c r="D41" s="3046" t="s">
        <v>2544</v>
      </c>
      <c r="E41" s="3047"/>
      <c r="F41" s="3048"/>
      <c r="G41" s="3049"/>
      <c r="I41" s="3056">
        <v>40</v>
      </c>
      <c r="J41" s="3056">
        <v>100</v>
      </c>
      <c r="K41" s="3056">
        <f t="shared" si="3"/>
        <v>2.7999999999999972</v>
      </c>
    </row>
    <row r="42" spans="1:13">
      <c r="A42" s="3044" t="s">
        <v>2545</v>
      </c>
      <c r="B42" s="3045" t="s">
        <v>2546</v>
      </c>
      <c r="C42" s="3046" t="s">
        <v>2547</v>
      </c>
      <c r="D42" s="3050" t="s">
        <v>2548</v>
      </c>
      <c r="E42" s="3042" t="s">
        <v>2549</v>
      </c>
      <c r="F42" s="3042"/>
      <c r="G42" s="3043"/>
    </row>
    <row r="43" spans="1:13">
      <c r="A43" s="3044" t="s">
        <v>2550</v>
      </c>
      <c r="B43" s="3045" t="s">
        <v>2551</v>
      </c>
      <c r="C43" s="3046" t="s">
        <v>2552</v>
      </c>
      <c r="D43" s="3046" t="s">
        <v>2553</v>
      </c>
      <c r="E43" s="3047" t="s">
        <v>2554</v>
      </c>
      <c r="F43" s="3048"/>
      <c r="G43" s="3049"/>
      <c r="I43" s="3056" t="s">
        <v>2562</v>
      </c>
      <c r="J43" s="3056" t="s">
        <v>2573</v>
      </c>
    </row>
    <row r="44" spans="1:13">
      <c r="A44" s="3044" t="s">
        <v>2555</v>
      </c>
      <c r="B44" s="3045" t="s">
        <v>2556</v>
      </c>
      <c r="C44" s="3046" t="s">
        <v>2557</v>
      </c>
      <c r="D44" s="3050">
        <v>0.5</v>
      </c>
      <c r="E44" s="3047" t="s">
        <v>2558</v>
      </c>
      <c r="F44" s="3048"/>
      <c r="G44" s="3049"/>
      <c r="I44" s="3056">
        <v>30</v>
      </c>
      <c r="J44" s="3056">
        <v>81.7</v>
      </c>
    </row>
    <row r="45" spans="1:13" ht="14.25" thickBot="1">
      <c r="A45" s="3051" t="s">
        <v>2559</v>
      </c>
      <c r="B45" s="3052" t="s">
        <v>2546</v>
      </c>
      <c r="C45" s="3053" t="s">
        <v>2546</v>
      </c>
      <c r="D45" s="3053" t="s">
        <v>2560</v>
      </c>
      <c r="E45" s="3054" t="s">
        <v>2561</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E4" sqref="E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7" t="str">
        <f>IF(B10="北京市","北京市",C10)&amp;F10&amp;IF(结果表!G1="在建","出让国有建设用地使用权及在建建筑物",IF(结果表!G1="土地","出让国有建设用地使用权",))&amp;B9&amp;"预评估"</f>
        <v>北京市朝阳区朝阳区门外大街18号房地产抵押价值预评估</v>
      </c>
      <c r="C1" s="3538"/>
      <c r="D1" s="3538"/>
      <c r="E1" s="3538"/>
      <c r="F1" s="3538"/>
      <c r="G1" s="3538"/>
      <c r="H1" s="3538"/>
      <c r="I1" s="3539"/>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北京市朝阳区朝阳区门外大街18号房地产抵押价值</v>
      </c>
      <c r="T1" s="1745"/>
      <c r="U1" s="1745"/>
      <c r="V1" s="1745"/>
      <c r="W1" s="1745"/>
      <c r="X1" s="1745"/>
      <c r="Y1" s="1745"/>
      <c r="Z1" s="1745"/>
      <c r="AA1" s="1745"/>
      <c r="AB1" s="1745"/>
    </row>
    <row r="2" spans="1:30">
      <c r="A2" s="2367" t="s">
        <v>2168</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北京市朝阳区朝阳区门外大街18号房地产</v>
      </c>
      <c r="T2" s="1745"/>
      <c r="U2" s="1745"/>
      <c r="V2" s="1745"/>
      <c r="W2" s="1745"/>
      <c r="X2" s="1745"/>
      <c r="Y2" s="1745"/>
      <c r="Z2" s="1745"/>
      <c r="AA2" s="1745"/>
      <c r="AB2" s="1745"/>
    </row>
    <row r="3" spans="1:30">
      <c r="A3" s="302" t="s">
        <v>2169</v>
      </c>
      <c r="B3" s="2373">
        <v>45051</v>
      </c>
      <c r="C3" s="2374" t="s">
        <v>2170</v>
      </c>
      <c r="D3" s="2373">
        <v>45051</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3372</v>
      </c>
      <c r="C4" s="2376">
        <f ca="1">SUMIF(注册房地产估价师,B4,估价师及机构信息!B3:B24)</f>
        <v>1120070131</v>
      </c>
      <c r="D4" s="2375" t="s">
        <v>3373</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7.25" customHeight="1" thickTop="1">
      <c r="A5" s="2379" t="s">
        <v>2172</v>
      </c>
      <c r="B5" s="3448" t="s">
        <v>3374</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2383" t="str">
        <f>B5</f>
        <v>中行商务区支行</v>
      </c>
      <c r="C6" s="2384"/>
      <c r="D6" s="2385"/>
      <c r="E6" s="2660"/>
      <c r="F6" s="2662"/>
      <c r="G6" s="2662"/>
      <c r="H6" s="2662"/>
      <c r="I6" s="2662"/>
      <c r="J6" s="2437"/>
      <c r="K6" s="2613" t="str">
        <f>IF(COUNTIF(B6,"*上海银行*"),"上海银行","")</f>
        <v/>
      </c>
      <c r="L6" s="2611"/>
      <c r="M6" s="2611"/>
      <c r="N6" s="2437"/>
      <c r="O6" s="2448"/>
      <c r="P6" s="2437"/>
      <c r="Q6" s="2437"/>
      <c r="R6" s="2437"/>
    </row>
    <row r="7" spans="1:30">
      <c r="A7" s="2382" t="s">
        <v>2174</v>
      </c>
      <c r="B7" s="2386"/>
      <c r="C7" s="2384"/>
      <c r="D7" s="2385"/>
      <c r="E7" s="2660"/>
      <c r="F7" s="2662"/>
      <c r="G7" s="2662"/>
      <c r="H7" s="2662"/>
      <c r="I7" s="2662"/>
      <c r="J7" s="2437"/>
      <c r="K7" s="2614"/>
      <c r="L7" s="2611"/>
      <c r="M7" s="2611"/>
      <c r="N7" s="2437"/>
      <c r="O7" s="2448"/>
      <c r="P7" s="2437"/>
      <c r="Q7" s="2437"/>
      <c r="R7" s="2437"/>
    </row>
    <row r="8" spans="1:30">
      <c r="A8" s="2387" t="s">
        <v>2175</v>
      </c>
      <c r="B8" s="2388" t="s">
        <v>3375</v>
      </c>
      <c r="C8" s="2389"/>
      <c r="D8" s="3540" t="s">
        <v>2176</v>
      </c>
      <c r="E8" s="2390"/>
      <c r="F8" s="2391"/>
      <c r="G8" s="2661"/>
      <c r="H8" s="2661"/>
      <c r="I8" s="2661"/>
      <c r="J8" s="2437"/>
      <c r="K8" s="2612"/>
      <c r="L8" s="2611"/>
      <c r="M8" s="2611"/>
      <c r="N8" s="2437"/>
      <c r="O8" s="2448"/>
      <c r="P8" s="2437"/>
      <c r="Q8" s="2437"/>
      <c r="R8" s="2437"/>
    </row>
    <row r="9" spans="1:30" ht="13.5" thickBot="1">
      <c r="A9" s="2392" t="s">
        <v>2177</v>
      </c>
      <c r="B9" s="2393" t="s">
        <v>3376</v>
      </c>
      <c r="C9" s="2394"/>
      <c r="D9" s="3541"/>
      <c r="E9" s="2393"/>
      <c r="F9" s="2395"/>
      <c r="G9" s="2663"/>
      <c r="H9" s="2663"/>
      <c r="I9" s="2663"/>
      <c r="J9" s="2437"/>
      <c r="K9" s="2614"/>
      <c r="L9" s="2611"/>
      <c r="M9" s="2611"/>
      <c r="N9" s="2437"/>
      <c r="O9" s="2448"/>
      <c r="P9" s="2437"/>
      <c r="Q9" s="2437"/>
      <c r="R9" s="2437"/>
    </row>
    <row r="10" spans="1:30" ht="13.5" thickTop="1">
      <c r="A10" s="2396" t="s">
        <v>2178</v>
      </c>
      <c r="B10" s="2397" t="s">
        <v>3377</v>
      </c>
      <c r="C10" s="2398"/>
      <c r="D10" s="2381"/>
      <c r="E10" s="2399" t="s">
        <v>2179</v>
      </c>
      <c r="F10" s="2664" t="s">
        <v>3379</v>
      </c>
      <c r="G10" s="2665"/>
      <c r="H10" s="2666"/>
      <c r="I10" s="2667"/>
      <c r="J10" s="2437"/>
      <c r="K10" s="2614"/>
      <c r="L10" s="2611"/>
      <c r="M10" s="2611"/>
      <c r="N10" s="2437"/>
      <c r="O10" s="2448"/>
      <c r="P10" s="2437"/>
      <c r="Q10" s="2437"/>
      <c r="R10" s="2437"/>
    </row>
    <row r="11" spans="1:30" ht="19.5" customHeight="1">
      <c r="A11" s="2400" t="s">
        <v>2180</v>
      </c>
      <c r="B11" s="2401" t="s">
        <v>3378</v>
      </c>
      <c r="C11" s="3449" t="s">
        <v>3380</v>
      </c>
      <c r="D11" s="2402"/>
      <c r="E11" s="2370"/>
      <c r="F11" s="2370"/>
      <c r="G11" s="2370"/>
      <c r="H11" s="2370"/>
      <c r="I11" s="2370"/>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2574</v>
      </c>
      <c r="J12" s="3060"/>
      <c r="K12" s="2611"/>
      <c r="L12" s="2611"/>
      <c r="M12" s="2437"/>
      <c r="N12" s="2448"/>
      <c r="O12" s="2437"/>
      <c r="P12" s="2437"/>
      <c r="Q12" s="2437"/>
      <c r="AD12" s="1745"/>
    </row>
    <row r="13" spans="1:30">
      <c r="A13" s="3421" t="s">
        <v>3332</v>
      </c>
      <c r="B13" s="2405" t="s">
        <v>2189</v>
      </c>
      <c r="C13" s="856"/>
      <c r="D13" s="856">
        <v>48977</v>
      </c>
      <c r="E13" s="856">
        <v>52629</v>
      </c>
      <c r="F13" s="856"/>
      <c r="G13" s="856"/>
      <c r="H13" s="856"/>
      <c r="I13" s="856">
        <v>48091</v>
      </c>
      <c r="J13" s="3060"/>
      <c r="K13" s="2611"/>
      <c r="L13" s="2611"/>
      <c r="M13" s="2437"/>
      <c r="N13" s="2448"/>
      <c r="O13" s="2437"/>
      <c r="P13" s="2437"/>
      <c r="Q13" s="2437"/>
      <c r="AD13" s="1745"/>
    </row>
    <row r="14" spans="1:30">
      <c r="A14" s="1081"/>
      <c r="B14" s="2405" t="s">
        <v>2190</v>
      </c>
      <c r="C14" s="2406"/>
      <c r="D14" s="2406">
        <v>40</v>
      </c>
      <c r="E14" s="2406">
        <v>50</v>
      </c>
      <c r="F14" s="2406"/>
      <c r="G14" s="2406"/>
      <c r="H14" s="2406"/>
      <c r="I14" s="2406"/>
      <c r="J14" s="3061"/>
      <c r="K14" s="2611"/>
      <c r="L14" s="2611"/>
      <c r="M14" s="2437"/>
      <c r="N14" s="2448"/>
      <c r="O14" s="2437"/>
      <c r="P14" s="2437"/>
      <c r="Q14" s="2437"/>
      <c r="AD14" s="1745"/>
    </row>
    <row r="15" spans="1:30">
      <c r="A15" s="320"/>
      <c r="B15" s="2407" t="s">
        <v>2191</v>
      </c>
      <c r="C15" s="2408" t="str">
        <f>IF(A13="出让",IF(C13="","",ROUNDDOWN(MIN((C13-$D$3)/365,C14),2)),C14)</f>
        <v/>
      </c>
      <c r="D15" s="2408">
        <f>IF(A13="出让",IF(D13="","",ROUNDDOWN(MIN((D13-$D$3)/365,D14),2)),D14)</f>
        <v>10.75</v>
      </c>
      <c r="E15" s="2408">
        <f>IF(A13="出让",IF(E13="","",ROUNDDOWN(MIN((E13-$D$3)/365,E14),2)),E14)</f>
        <v>20.76</v>
      </c>
      <c r="F15" s="2408" t="str">
        <f>IF(A13="出让",IF(F13="","",ROUNDDOWN(MIN((F13-$D$3)/365,F14),2)),F14)</f>
        <v/>
      </c>
      <c r="G15" s="2408" t="str">
        <f>IF(A13="出让",IF(G13="","",ROUNDDOWN(MIN((G13-$D$3)/365,G14),2)),G14)</f>
        <v/>
      </c>
      <c r="H15" s="2408" t="str">
        <f>IF(A13="出让",IF(H13="","",ROUNDDOWN(MIN((H13-$D$3)/365,H14),2)),H14)</f>
        <v/>
      </c>
      <c r="I15" s="2408">
        <f>IF(A13="出让",IF(I13="","",ROUNDDOWN(MIN((I13-$D$3)/365,I14),2)),I14)</f>
        <v>8.32</v>
      </c>
      <c r="J15" s="3062"/>
      <c r="K15" s="2449"/>
      <c r="L15" s="2449"/>
      <c r="M15" s="2507"/>
      <c r="N15" s="2449"/>
      <c r="O15" s="2507"/>
      <c r="P15" s="2437"/>
      <c r="Q15" s="2437"/>
      <c r="AD15" s="1745"/>
    </row>
    <row r="16" spans="1:30">
      <c r="A16" s="2399" t="s">
        <v>2192</v>
      </c>
      <c r="B16" s="3547"/>
      <c r="C16" s="3548"/>
      <c r="D16" s="3549"/>
      <c r="E16" s="2411" t="s">
        <v>2193</v>
      </c>
      <c r="F16" s="3550"/>
      <c r="G16" s="3551"/>
      <c r="H16" s="3551"/>
      <c r="I16" s="3552"/>
      <c r="J16" s="2437"/>
      <c r="K16" s="2615"/>
      <c r="L16" s="2449"/>
      <c r="M16" s="2449"/>
      <c r="N16" s="2507"/>
      <c r="O16" s="2449"/>
      <c r="P16" s="2507"/>
      <c r="Q16" s="2437"/>
      <c r="R16" s="2437"/>
    </row>
    <row r="17" spans="1:28">
      <c r="A17" s="313" t="s">
        <v>2194</v>
      </c>
      <c r="B17" s="302" t="s">
        <v>2195</v>
      </c>
      <c r="C17" s="8">
        <f>'数据-汇总表'!E3</f>
        <v>6547.83</v>
      </c>
      <c r="D17" s="2322" t="s">
        <v>2196</v>
      </c>
      <c r="E17" s="3553" t="s">
        <v>2197</v>
      </c>
      <c r="F17" s="3554"/>
      <c r="G17" s="3554"/>
      <c r="H17" s="3554"/>
      <c r="I17" s="3555"/>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750.35</v>
      </c>
      <c r="D18" s="1092" t="s">
        <v>2200</v>
      </c>
      <c r="E18" s="3556" t="s">
        <v>2201</v>
      </c>
      <c r="F18" s="3557"/>
      <c r="G18" s="3557"/>
      <c r="H18" s="3557"/>
      <c r="I18" s="3558"/>
      <c r="J18" s="2437"/>
      <c r="K18" s="2616"/>
      <c r="L18" s="2449"/>
      <c r="M18" s="2449"/>
      <c r="N18" s="2507"/>
      <c r="O18" s="2449"/>
      <c r="P18" s="2507"/>
      <c r="Q18" s="2437"/>
      <c r="R18" s="2437"/>
      <c r="S18" s="2437"/>
      <c r="T18" s="2437"/>
      <c r="U18" s="2437"/>
      <c r="V18" s="2437"/>
    </row>
    <row r="19" spans="1:28" ht="37.5" thickTop="1" thickBot="1">
      <c r="A19" s="327" t="s">
        <v>1055</v>
      </c>
      <c r="B19" s="307" t="s">
        <v>2202</v>
      </c>
      <c r="C19" s="1563" t="s">
        <v>3381</v>
      </c>
      <c r="D19" s="1564" t="s">
        <v>2203</v>
      </c>
      <c r="E19" s="1565" t="s">
        <v>43</v>
      </c>
      <c r="F19" s="1566" t="str">
        <f>IF(AND(C19="是",E19="否"),"是否提供他项权证或相关说明","")</f>
        <v/>
      </c>
      <c r="G19" s="1567" t="s">
        <v>43</v>
      </c>
      <c r="H19" s="2662"/>
      <c r="I19" s="2662"/>
      <c r="J19" s="2437"/>
      <c r="K19" s="2614"/>
      <c r="L19" s="2611"/>
      <c r="M19" s="2611"/>
      <c r="N19" s="2507"/>
      <c r="O19" s="2449"/>
      <c r="P19" s="2507"/>
      <c r="Q19" s="2437"/>
      <c r="R19" s="2437"/>
      <c r="S19" s="2437"/>
      <c r="T19" s="2437"/>
      <c r="U19" s="2437"/>
      <c r="V19" s="2437"/>
    </row>
    <row r="20" spans="1:28">
      <c r="A20" s="2630" t="s">
        <v>2204</v>
      </c>
      <c r="B20" s="3543" t="s">
        <v>2205</v>
      </c>
      <c r="C20" s="3544"/>
      <c r="D20" s="3545" t="s">
        <v>2206</v>
      </c>
      <c r="E20" s="3546"/>
      <c r="F20" s="2645" t="s">
        <v>1056</v>
      </c>
      <c r="G20" s="2662"/>
      <c r="H20" s="2662"/>
      <c r="I20" s="2662"/>
      <c r="J20" s="2437"/>
      <c r="K20" s="3542" t="s">
        <v>2207</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43</v>
      </c>
      <c r="F21" s="2646"/>
      <c r="G21" s="2662"/>
      <c r="H21" s="2662"/>
      <c r="I21" s="2662"/>
      <c r="J21" s="2437"/>
      <c r="K21" s="35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3383</v>
      </c>
      <c r="D22" s="2661"/>
      <c r="E22" s="2661"/>
      <c r="F22" s="2661"/>
      <c r="G22" s="2662"/>
      <c r="H22" s="2662"/>
      <c r="I22" s="2662"/>
      <c r="J22" s="2437"/>
      <c r="K22" s="35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0" t="s">
        <v>2213</v>
      </c>
      <c r="B27" s="320" t="s">
        <v>2214</v>
      </c>
      <c r="C27" s="2414" t="s">
        <v>3384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0"/>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0"/>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1"/>
      <c r="B30" s="302" t="s">
        <v>2217</v>
      </c>
      <c r="C30" s="3532"/>
      <c r="D30" s="3533"/>
      <c r="E30" s="2662"/>
      <c r="F30" s="2662"/>
      <c r="G30" s="2662"/>
      <c r="H30" s="2662"/>
      <c r="I30" s="2662"/>
      <c r="J30" s="2437"/>
      <c r="K30" s="2614"/>
      <c r="L30" s="2611"/>
      <c r="M30" s="2611"/>
      <c r="N30" s="2437"/>
      <c r="O30" s="2448"/>
      <c r="P30" s="2437"/>
      <c r="Q30" s="2437"/>
      <c r="R30" s="2437"/>
      <c r="S30" s="2437"/>
      <c r="T30" s="2437"/>
      <c r="U30" s="2437"/>
      <c r="V30" s="2437"/>
    </row>
    <row r="31" spans="1:28">
      <c r="A31" s="3534"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35"/>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35"/>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t="s">
        <v>3385</v>
      </c>
      <c r="C34" s="2026" t="s">
        <v>3386</v>
      </c>
      <c r="D34" s="2026" t="s">
        <v>3387</v>
      </c>
      <c r="E34" s="2026" t="s">
        <v>3388</v>
      </c>
      <c r="F34" s="2026" t="s">
        <v>3389</v>
      </c>
      <c r="G34" s="2026" t="s">
        <v>3390</v>
      </c>
      <c r="H34" s="2026"/>
      <c r="I34" s="2662"/>
      <c r="J34" s="2437"/>
      <c r="K34" s="2425">
        <f>COUNTIF(B34:H34,"——")</f>
        <v>0</v>
      </c>
      <c r="L34" s="323" t="s">
        <v>2220</v>
      </c>
      <c r="M34" s="323" t="s">
        <v>2221</v>
      </c>
      <c r="N34" s="323" t="s">
        <v>2222</v>
      </c>
      <c r="O34" s="323" t="s">
        <v>2223</v>
      </c>
      <c r="P34" s="323" t="s">
        <v>2224</v>
      </c>
      <c r="Q34" s="323" t="s">
        <v>2225</v>
      </c>
      <c r="R34" s="323" t="s">
        <v>2226</v>
      </c>
      <c r="S34" s="3529" t="s">
        <v>2227</v>
      </c>
      <c r="T34" s="2426" t="str">
        <f>NUMBERSTRING(7-K34,1)&amp;"通"</f>
        <v>七通</v>
      </c>
      <c r="U34" s="2437"/>
      <c r="V34" s="2437"/>
    </row>
    <row r="35" spans="1:30">
      <c r="A35" s="2427"/>
      <c r="B35" s="3536" t="s">
        <v>2228</v>
      </c>
      <c r="C35" s="3536"/>
      <c r="D35" s="3536"/>
      <c r="E35" s="3536"/>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9"/>
      <c r="T35" s="329" t="str">
        <f>IF(T34="一通",L35,IF(T34="二通",M35,IF(T34="三通",N35,IF(T34="四通",O35,IF(T34="五通",P35,IF(T34="六通",Q35,R35))))))</f>
        <v>通路、通电、通讯、通上水、通下水、平整、</v>
      </c>
      <c r="U35" s="2437"/>
      <c r="V35" s="2437"/>
    </row>
    <row r="36" spans="1:30">
      <c r="A36" s="2428"/>
      <c r="B36" s="664" t="s">
        <v>2184</v>
      </c>
      <c r="C36" s="664" t="s">
        <v>2185</v>
      </c>
      <c r="D36" s="664" t="s">
        <v>2183</v>
      </c>
      <c r="E36" s="664" t="s">
        <v>2188</v>
      </c>
      <c r="F36" s="3063"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t="s">
        <v>144</v>
      </c>
      <c r="C37" s="2429" t="s">
        <v>144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145</v>
      </c>
      <c r="C38" s="2430" t="s">
        <v>145</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ROUND(I13/B13*B14,2)</f>
        <v>750.35</v>
      </c>
      <c r="B3" s="11">
        <f>IF(C3="否",G5-AT5,G5)</f>
        <v>6547.83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6547.83</v>
      </c>
      <c r="H5" s="13">
        <f t="shared" ref="H5:AT5" si="0">SUM(H13:H656)</f>
        <v>6547.83</v>
      </c>
      <c r="I5" s="13">
        <f t="shared" si="0"/>
        <v>6547.83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6547.83</v>
      </c>
      <c r="BA5" s="15">
        <f t="shared" si="1"/>
        <v>6547.83</v>
      </c>
      <c r="BB5" s="15">
        <f t="shared" si="1"/>
        <v>6547.83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750.35</v>
      </c>
      <c r="F6" s="13" t="s">
        <v>0</v>
      </c>
      <c r="G6" s="13" t="s">
        <v>1</v>
      </c>
      <c r="H6" s="17">
        <f>SUMIF(I$12:AB$12,"总值",I6:AB6)</f>
        <v>750.35</v>
      </c>
      <c r="I6" s="13">
        <f t="shared" ref="I6:AB6" si="2">ROUND($A$3*I5/$B$3,2)</f>
        <v>750.35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750.35</v>
      </c>
      <c r="AZ6" s="13" t="s">
        <v>2</v>
      </c>
      <c r="BA6" s="13">
        <f>ROUND($AY$6*BA5/$AZ$5,2)</f>
        <v>750.35</v>
      </c>
      <c r="BB6" s="13">
        <f>ROUND($AY$6*BB5/$AZ$5,2)</f>
        <v>750.35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3393</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31" t="s">
        <v>3391</v>
      </c>
      <c r="B13" s="31">
        <v>93222.79</v>
      </c>
      <c r="C13" s="1051"/>
      <c r="D13" s="1625" t="s">
        <v>3382</v>
      </c>
      <c r="E13" s="13">
        <f>IF($C$3="是",ROUND($A$3*G13/$B$3,2),ROUND($A$3*(G13-AT13)/$B$3,2))</f>
        <v>750.35</v>
      </c>
      <c r="F13" s="29"/>
      <c r="G13" s="30">
        <f>H13+AC13+AT13</f>
        <v>6547.83</v>
      </c>
      <c r="H13" s="17">
        <f>SUMIF(I$12:AB$12,"总值",I13:AB13)</f>
        <v>6547.83</v>
      </c>
      <c r="I13" s="1626">
        <v>6547.83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总建筑面积</v>
      </c>
      <c r="AW13" s="8">
        <f t="shared" si="6"/>
        <v>93222.79</v>
      </c>
      <c r="AX13" s="8">
        <f t="shared" si="6"/>
        <v>0</v>
      </c>
      <c r="AY13" s="1349">
        <f>ROUND($AY$6*AZ13/$AZ$5,2)</f>
        <v>750.35</v>
      </c>
      <c r="AZ13" s="13">
        <f>BA13+BL13</f>
        <v>6547.83</v>
      </c>
      <c r="BA13" s="13">
        <f>SUM(BB13:BK13)</f>
        <v>6547.83</v>
      </c>
      <c r="BB13" s="13">
        <f>IF($D13="是",I13-J13,0)</f>
        <v>6547.83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c r="A14" s="31" t="s">
        <v>3392</v>
      </c>
      <c r="B14" s="31">
        <v>10682.89</v>
      </c>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t="str">
        <f t="shared" si="6"/>
        <v>总土地面积</v>
      </c>
      <c r="AW14" s="8">
        <f t="shared" si="6"/>
        <v>10682.89</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2" sqref="G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8" t="s">
        <v>1130</v>
      </c>
      <c r="B2" s="3568"/>
      <c r="C2" s="3568"/>
      <c r="D2" s="796" t="s">
        <v>1106</v>
      </c>
      <c r="E2" s="1639" t="s">
        <v>1107</v>
      </c>
      <c r="F2" s="2657"/>
      <c r="G2" s="2648"/>
      <c r="H2" s="2649"/>
      <c r="I2" s="2325" t="s">
        <v>1131</v>
      </c>
      <c r="J2" s="2657"/>
      <c r="K2" s="2657"/>
      <c r="L2" s="2657"/>
      <c r="M2" s="2657"/>
      <c r="N2" s="2659"/>
      <c r="O2" s="2657"/>
      <c r="P2" s="2657"/>
    </row>
    <row r="3" spans="1:16" ht="15.75" thickBot="1">
      <c r="A3" s="3569" t="s">
        <v>1104</v>
      </c>
      <c r="B3" s="3569"/>
      <c r="C3" s="3569"/>
      <c r="D3" s="43">
        <f>'数据-基础表'!AY6</f>
        <v>750.35</v>
      </c>
      <c r="E3" s="43">
        <f>'数据-基础表'!AZ5</f>
        <v>6547.83</v>
      </c>
      <c r="F3" s="2657"/>
      <c r="G3" s="1145"/>
      <c r="H3" s="1026" t="s">
        <v>1105</v>
      </c>
      <c r="I3" s="855">
        <f>ROUND('数据-基础表'!B3/'数据-基础表'!A3,2)</f>
        <v>8.73</v>
      </c>
      <c r="J3" s="2657"/>
      <c r="K3" s="2657"/>
      <c r="L3" s="2657"/>
      <c r="M3" s="2657"/>
      <c r="N3" s="2659"/>
      <c r="O3" s="2657"/>
      <c r="P3" s="2657"/>
    </row>
    <row r="4" spans="1:16" ht="15">
      <c r="A4" s="3570"/>
      <c r="B4" s="3571"/>
      <c r="C4" s="3572"/>
      <c r="D4" s="1641" t="s">
        <v>1106</v>
      </c>
      <c r="E4" s="1642" t="s">
        <v>1107</v>
      </c>
      <c r="F4" s="2657"/>
      <c r="G4" s="2650" t="s">
        <v>1132</v>
      </c>
      <c r="H4" s="1026" t="s">
        <v>1112</v>
      </c>
      <c r="I4" s="855">
        <f>ROUND(SUMIF('数据-基础表'!I9:AS9,"地上",'数据-基础表'!I5:AS5)/'数据-基础表'!A3,2)</f>
        <v>8.73</v>
      </c>
      <c r="J4" s="2657"/>
      <c r="K4" s="2657"/>
      <c r="L4" s="2657"/>
      <c r="M4" s="2657"/>
      <c r="N4" s="2659"/>
      <c r="O4" s="2657"/>
      <c r="P4" s="2657"/>
    </row>
    <row r="5" spans="1:16">
      <c r="A5" s="44" t="s">
        <v>1108</v>
      </c>
      <c r="B5" s="3573" t="s">
        <v>1109</v>
      </c>
      <c r="C5" s="3573"/>
      <c r="D5" s="45">
        <f>ROUND($D$3*E5/$E$3,2)</f>
        <v>0</v>
      </c>
      <c r="E5" s="46">
        <f>SUMIF('数据-基础表'!$11:$11,"住宅",'数据-基础表'!$5:$5)</f>
        <v>0</v>
      </c>
      <c r="F5" s="2657"/>
      <c r="G5" s="1145"/>
      <c r="H5" s="1026" t="s">
        <v>1105</v>
      </c>
      <c r="I5" s="855">
        <f>ROUND(E31/D31,2)</f>
        <v>8.73</v>
      </c>
      <c r="J5" s="2657"/>
      <c r="K5" s="2657"/>
      <c r="L5" s="2657"/>
      <c r="M5" s="2657"/>
      <c r="N5" s="2657"/>
      <c r="O5" s="2657"/>
      <c r="P5" s="2657"/>
    </row>
    <row r="6" spans="1:16" ht="15" thickBot="1">
      <c r="A6" s="1644"/>
      <c r="B6" s="3573" t="s">
        <v>1110</v>
      </c>
      <c r="C6" s="3573"/>
      <c r="D6" s="45">
        <f>ROUND($D$3*E6/$E$3,2)</f>
        <v>750.35</v>
      </c>
      <c r="E6" s="46">
        <f>E3-E5</f>
        <v>6547.83</v>
      </c>
      <c r="F6" s="2657"/>
      <c r="G6" s="2651" t="s">
        <v>1111</v>
      </c>
      <c r="H6" s="1146" t="s">
        <v>1112</v>
      </c>
      <c r="I6" s="2652">
        <f>ROUND(F31/D31,2)</f>
        <v>8.73</v>
      </c>
      <c r="J6" s="2657"/>
      <c r="K6" s="2657"/>
      <c r="L6" s="2657"/>
      <c r="M6" s="2657"/>
      <c r="N6" s="2657"/>
      <c r="O6" s="2657"/>
      <c r="P6" s="2657"/>
    </row>
    <row r="7" spans="1:16" ht="15.75" thickBot="1">
      <c r="A7" s="3565"/>
      <c r="B7" s="3566"/>
      <c r="C7" s="3567"/>
      <c r="D7" s="1641" t="s">
        <v>1106</v>
      </c>
      <c r="E7" s="1645"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750.35</v>
      </c>
      <c r="E8" s="48">
        <f>SUMIF('数据-基础表'!BB10:BK10,"地上",'数据-基础表'!BB5:BK5)</f>
        <v>6547.83</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750.35</v>
      </c>
      <c r="E16" s="50">
        <f>SUM(E8:E15)</f>
        <v>6547.83</v>
      </c>
      <c r="F16" s="2657"/>
      <c r="G16" s="2658"/>
      <c r="H16" s="1648" t="s">
        <v>1134</v>
      </c>
      <c r="I16" s="1649"/>
      <c r="J16" s="1139"/>
      <c r="K16" s="3562" t="s">
        <v>1134</v>
      </c>
      <c r="L16" s="3563"/>
      <c r="M16" s="3563"/>
      <c r="N16" s="3563"/>
      <c r="O16" s="3563"/>
      <c r="P16" s="3564"/>
    </row>
    <row r="17" spans="1:19" ht="15">
      <c r="A17" s="1650" t="s">
        <v>1135</v>
      </c>
      <c r="B17" s="1651" t="s">
        <v>1136</v>
      </c>
      <c r="C17" s="1652" t="s">
        <v>1137</v>
      </c>
      <c r="D17" s="1653" t="s">
        <v>1125</v>
      </c>
      <c r="E17" s="1654" t="s">
        <v>1126</v>
      </c>
      <c r="F17" s="1655"/>
      <c r="G17" s="1656"/>
      <c r="H17" s="1657" t="s">
        <v>1138</v>
      </c>
      <c r="I17" s="1658" t="s">
        <v>1123</v>
      </c>
      <c r="J17" s="1139"/>
      <c r="K17" s="3559" t="s">
        <v>1139</v>
      </c>
      <c r="L17" s="3560"/>
      <c r="M17" s="3561"/>
      <c r="N17" s="3559" t="s">
        <v>1140</v>
      </c>
      <c r="O17" s="3560"/>
      <c r="P17" s="3561"/>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3458</v>
      </c>
      <c r="D19" s="45">
        <f>ROUND($D$3*E19/$E$3,2)</f>
        <v>459.36</v>
      </c>
      <c r="E19" s="53">
        <f t="shared" ref="E19:E26" si="1">SUM(F19:G19)</f>
        <v>4008.57</v>
      </c>
      <c r="F19" s="3484">
        <f>Sheet1!F22</f>
        <v>4008.57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459.36</v>
      </c>
      <c r="S19" s="1027">
        <f t="shared" si="5"/>
        <v>4008.57</v>
      </c>
    </row>
    <row r="20" spans="1:19">
      <c r="A20" s="1670"/>
      <c r="B20" s="47" t="s">
        <v>1152</v>
      </c>
      <c r="C20" s="3415" t="s">
        <v>3460</v>
      </c>
      <c r="D20" s="45">
        <f t="shared" ref="D20:D26" si="6">ROUND($D$3*E20/$E$3,2)</f>
        <v>290.99</v>
      </c>
      <c r="E20" s="53">
        <f t="shared" si="1"/>
        <v>2539.2599999999998</v>
      </c>
      <c r="F20" s="3484">
        <f>Sheet1!F23</f>
        <v>2539.2599999999998</v>
      </c>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290.99</v>
      </c>
      <c r="S20" s="1027">
        <f t="shared" si="5"/>
        <v>2539.2599999999998</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750.35</v>
      </c>
      <c r="E27" s="1141">
        <f>IF(SUM(E19:E26)='数据-基础表'!BA5,SUM(E19:E26),IF(F27="地上面积有误","面积有误","地下面积有误"))</f>
        <v>6547.83</v>
      </c>
      <c r="F27" s="1140">
        <f>IF(SUM(F19:F26)=E8,SUM(F19:F26),"地上面积有误")</f>
        <v>6547.83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750.35</v>
      </c>
      <c r="S27" s="1026">
        <f>IF(SUM(S19:S26)=$E$3,SUM(S19:S26),SUM(S19:S26)&amp;"误差"&amp;ROUND(SUM(S19:S26)-E3,2))</f>
        <v>6547.83</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750.35</v>
      </c>
      <c r="E31" s="676">
        <f>E27+E30</f>
        <v>6547.83</v>
      </c>
      <c r="F31" s="677">
        <f>F27+F30</f>
        <v>6547.83</v>
      </c>
      <c r="G31" s="678">
        <f>G27+G30</f>
        <v>0</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27" sqref="U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45051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3395</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已出租</v>
      </c>
      <c r="B6" s="1713" t="str">
        <f>IF(A6=0,"","经营性")</f>
        <v>经营性</v>
      </c>
      <c r="C6" s="1714" t="s">
        <v>673</v>
      </c>
      <c r="D6" s="858">
        <f>SUMIF(项目基本情况!C$12:I$12,C6,项目基本情况!C$14:I$14)</f>
        <v>40</v>
      </c>
      <c r="E6" s="857">
        <f>IF(B6="","",SUMIF(项目基本情况!C$12:I$12,C6,项目基本情况!C$13:I$13))</f>
        <v>48977</v>
      </c>
      <c r="F6" s="64">
        <f>SUMIF(项目基本情况!C$12:I$12,C6,项目基本情况!C$15:I$15)</f>
        <v>10.75</v>
      </c>
      <c r="G6" s="65">
        <f>IF(ISERROR(ROUND(POWER(1+H6,D6-F6)*(POWER(1+H6,F6)-1)/(POWER(1+H6,D6)-1),3)),0,ROUND(POWER(1+H6,D6-F6)*(POWER(1+H6,F6)-1)/(POWER(1+H6,D6)-1),3))</f>
        <v>0.47599999999999998</v>
      </c>
      <c r="H6" s="732">
        <v>0.05</v>
      </c>
      <c r="I6" s="732">
        <v>5.5E-2</v>
      </c>
      <c r="J6" s="66">
        <v>7.0000000000000007E-2</v>
      </c>
      <c r="K6" s="1030">
        <f>SUMIF('数据-汇总表'!C$19:C$33,A6,'数据-汇总表'!E$19:E$33)</f>
        <v>4008.57</v>
      </c>
      <c r="L6" s="733">
        <v>5500</v>
      </c>
      <c r="M6" s="67">
        <f t="shared" ref="M6:M14" si="0">ROUND(K6*L6/10000,0)</f>
        <v>2205</v>
      </c>
      <c r="N6" s="731">
        <f>N20</f>
        <v>0.85</v>
      </c>
      <c r="O6" s="67" t="str">
        <f>IF($N$5="成新度","——",ROUND(M6*N6,0))</f>
        <v>——</v>
      </c>
      <c r="P6" s="68" t="str">
        <f>IF($N$5="成新度","——",M6-O6)</f>
        <v>——</v>
      </c>
      <c r="Q6" s="734">
        <v>0.2</v>
      </c>
      <c r="R6" s="69">
        <f ca="1">SUMIF('数据-汇总表'!C$19:C$33,A6,'数据-汇总表'!R$19:R$27)</f>
        <v>459.36</v>
      </c>
      <c r="S6" s="51">
        <f>IF('数据-汇总表'!$I$17="按面积比例",SUMIF('数据-汇总表'!C$19:C$33,A6,'数据-汇总表'!K$19:K$33),SUMIF('数据-汇总表'!C$19:C$33,A6,'数据-汇总表'!N$19:N$33))</f>
        <v>0</v>
      </c>
      <c r="T6" s="1172">
        <f>ROUND($L$14*S6/10000,0)</f>
        <v>0</v>
      </c>
      <c r="U6" s="3485">
        <f>ROUND(Sheet1!O33,2)</f>
        <v>3.15</v>
      </c>
      <c r="V6" s="3486">
        <v>0</v>
      </c>
      <c r="W6" s="70">
        <v>0</v>
      </c>
      <c r="X6" s="1040"/>
      <c r="Y6" s="71">
        <f>N6</f>
        <v>0.85</v>
      </c>
      <c r="Z6" s="72">
        <f>ROUND(U7*(1+3%)^'数据-取费表'!AF6,2)</f>
        <v>8.31</v>
      </c>
      <c r="AA6" s="66">
        <v>0.03</v>
      </c>
      <c r="AB6" s="66">
        <v>0.08</v>
      </c>
      <c r="AC6" s="1040"/>
      <c r="AD6" s="73">
        <v>0.75</v>
      </c>
      <c r="AE6" s="1041">
        <f ca="1">IF(AN6="",0,SUMIF(INDIRECT("'"&amp;AN6&amp;"'"&amp;"!E:E"),$AE$5,INDIRECT("'"&amp;AN6&amp;"'"&amp;"!F:F")))</f>
        <v>10.75</v>
      </c>
      <c r="AF6" s="1348">
        <v>8.32</v>
      </c>
      <c r="AG6" s="138">
        <f ca="1">IF(AF6="",0,AE6-AF6)</f>
        <v>2.4299999999999997</v>
      </c>
      <c r="AH6" s="74"/>
      <c r="AI6" s="76">
        <v>365</v>
      </c>
      <c r="AJ6" s="77"/>
      <c r="AK6" s="78">
        <v>5.0000000000000001E-3</v>
      </c>
      <c r="AL6" s="79">
        <v>1E-3</v>
      </c>
      <c r="AM6" s="80">
        <v>5.0000000000000001E-3</v>
      </c>
      <c r="AN6" s="1715" t="s">
        <v>3399</v>
      </c>
      <c r="AO6" s="52">
        <f ca="1">SUMIF(INDIRECT("'"&amp;AN6&amp;"'"&amp;"!A:A"),"总价",INDIRECT("'"&amp;AN6&amp;"'"&amp;"!B:B"))</f>
        <v>4310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未出租</v>
      </c>
      <c r="B7" s="1713" t="str">
        <f t="shared" ref="B7:B13" si="1">IF(A7=0,"","经营性")</f>
        <v>经营性</v>
      </c>
      <c r="C7" s="1714" t="s">
        <v>673</v>
      </c>
      <c r="D7" s="858">
        <f>SUMIF(项目基本情况!C$12:I$12,C7,项目基本情况!C$14:I$14)</f>
        <v>40</v>
      </c>
      <c r="E7" s="857">
        <f>IF(B7="","",SUMIF(项目基本情况!C$12:I$12,C7,项目基本情况!C$13:I$13))</f>
        <v>48977</v>
      </c>
      <c r="F7" s="64">
        <f>SUMIF(项目基本情况!C$12:I$12,C7,项目基本情况!C$15:I$15)</f>
        <v>10.75</v>
      </c>
      <c r="G7" s="65">
        <f t="shared" ref="G7:G11" si="2">IF(ISERROR(ROUND(POWER(1+H7,D7-F7)*(POWER(1+H7,F7)-1)/(POWER(1+H7,D7)-1),3)),0,ROUND(POWER(1+H7,D7-F7)*(POWER(1+H7,F7)-1)/(POWER(1+H7,D7)-1),3))</f>
        <v>0.47599999999999998</v>
      </c>
      <c r="H7" s="732">
        <v>0.05</v>
      </c>
      <c r="I7" s="732">
        <v>5.5E-2</v>
      </c>
      <c r="J7" s="66">
        <v>7.0000000000000007E-2</v>
      </c>
      <c r="K7" s="1030">
        <f>SUMIF('数据-汇总表'!C$19:C$33,A7,'数据-汇总表'!E$19:E$33)</f>
        <v>2539.2599999999998</v>
      </c>
      <c r="L7" s="733">
        <v>5500</v>
      </c>
      <c r="M7" s="67">
        <f t="shared" si="0"/>
        <v>1397</v>
      </c>
      <c r="N7" s="731">
        <f>N6</f>
        <v>0.85</v>
      </c>
      <c r="O7" s="67" t="str">
        <f t="shared" ref="O7:O14" si="3">IF($N$5="成新度","——",ROUND(M7*N7,0))</f>
        <v>——</v>
      </c>
      <c r="P7" s="68" t="str">
        <f t="shared" ref="P7:P14" si="4">IF($N$5="成新度","——",M7-O7)</f>
        <v>——</v>
      </c>
      <c r="Q7" s="734">
        <v>0.2</v>
      </c>
      <c r="R7" s="69">
        <f ca="1">SUMIF('数据-汇总表'!C$19:C$33,A7,'数据-汇总表'!R$19:R$27)</f>
        <v>290.99</v>
      </c>
      <c r="S7" s="51">
        <f>IF('数据-汇总表'!$I$17="按面积比例",SUMIF('数据-汇总表'!C$19:C$33,A7,'数据-汇总表'!K$19:K$33),SUMIF('数据-汇总表'!C$19:C$33,A7,'数据-汇总表'!N$19:N$33))</f>
        <v>0</v>
      </c>
      <c r="T7" s="1172">
        <f t="shared" ref="T7:T13" si="5">ROUND($L$14*S7/10000,0)</f>
        <v>0</v>
      </c>
      <c r="U7" s="3426">
        <v>6.5</v>
      </c>
      <c r="V7" s="70">
        <v>0.03</v>
      </c>
      <c r="W7" s="70">
        <v>0.08</v>
      </c>
      <c r="X7" s="1040"/>
      <c r="Y7" s="71">
        <f>N7</f>
        <v>0.85</v>
      </c>
      <c r="Z7" s="72"/>
      <c r="AA7" s="66"/>
      <c r="AB7" s="66"/>
      <c r="AC7" s="1040"/>
      <c r="AD7" s="73"/>
      <c r="AE7" s="1041">
        <f t="shared" ref="AE7:AE13" ca="1" si="6">IF(AN7="",0,SUMIF(INDIRECT("'"&amp;AN7&amp;"'"&amp;"!E:E"),$AE$5,INDIRECT("'"&amp;AN7&amp;"'"&amp;"!F:F")))</f>
        <v>10.75</v>
      </c>
      <c r="AF7" s="1348"/>
      <c r="AG7" s="138">
        <f t="shared" ref="AG7:AG13" si="7">IF(AF7="",0,AE7-AF7)</f>
        <v>0</v>
      </c>
      <c r="AH7" s="74"/>
      <c r="AI7" s="76">
        <v>365</v>
      </c>
      <c r="AJ7" s="77"/>
      <c r="AK7" s="78">
        <f>AK6</f>
        <v>5.0000000000000001E-3</v>
      </c>
      <c r="AL7" s="79">
        <v>1E-3</v>
      </c>
      <c r="AM7" s="80">
        <f>AM6</f>
        <v>5.0000000000000001E-3</v>
      </c>
      <c r="AN7" s="1715" t="s">
        <v>3466</v>
      </c>
      <c r="AO7" s="52">
        <f t="shared" ref="AO7:AO13" ca="1" si="8">SUMIF(INDIRECT("'"&amp;AN7&amp;"'"&amp;"!A:A"),"总价",INDIRECT("'"&amp;AN7&amp;"'"&amp;"!B:B"))</f>
        <v>4459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0.47599999999999998</v>
      </c>
      <c r="H16" s="90">
        <f>ROUND(SUMPRODUCT(H6:H13,K6:K13)/SUMPRODUCT((H6:H13&gt;0)*(K6:K13)),3)</f>
        <v>0.05</v>
      </c>
      <c r="I16" s="91"/>
      <c r="J16" s="91"/>
      <c r="K16" s="92">
        <f>SUM(K6:K15)</f>
        <v>6547.83</v>
      </c>
      <c r="L16" s="93">
        <f>ROUND(M16*10000/SUM(K6:K14),0)</f>
        <v>5501</v>
      </c>
      <c r="M16" s="93">
        <f>SUM(M6:M14)</f>
        <v>3602</v>
      </c>
      <c r="N16" s="94">
        <f>ROUND(SUMPRODUCT(M6:M14,N6:N14)/M16,3)</f>
        <v>0.85</v>
      </c>
      <c r="O16" s="93">
        <f>SUM(O6:O14)</f>
        <v>0</v>
      </c>
      <c r="P16" s="93">
        <f>SUM(P6:P14)</f>
        <v>0</v>
      </c>
      <c r="Q16" s="95">
        <f>ROUND(SUMPRODUCT(Q6:Q13,K6:K13)/SUMPRODUCT((Q6:Q13&gt;0)*(K6:K13)),2)</f>
        <v>0.2</v>
      </c>
      <c r="R16" s="1034">
        <f ca="1">SUM(R6:R13)</f>
        <v>750.35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c r="C19" s="2797" t="s">
        <v>2300</v>
      </c>
      <c r="D19" s="2674"/>
      <c r="E19" s="2671"/>
      <c r="F19" s="2671"/>
      <c r="G19" s="2671"/>
      <c r="H19" s="2671"/>
      <c r="I19" s="2671"/>
      <c r="J19" s="2671"/>
      <c r="K19" s="2670"/>
      <c r="L19" s="2670"/>
      <c r="M19" s="3450" t="s">
        <v>3396</v>
      </c>
      <c r="N19" s="3451">
        <f>ROUND(1-(2023-1996)/60,2)</f>
        <v>0.55000000000000004</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3</v>
      </c>
      <c r="C20" s="2798" t="s">
        <v>2298</v>
      </c>
      <c r="D20" s="2674"/>
      <c r="E20" s="2671"/>
      <c r="F20" s="2671"/>
      <c r="G20" s="2671"/>
      <c r="H20" s="2671"/>
      <c r="I20" s="2671"/>
      <c r="J20" s="2671"/>
      <c r="K20" s="2670"/>
      <c r="L20" s="2670"/>
      <c r="M20" s="3450" t="s">
        <v>3397</v>
      </c>
      <c r="N20" s="3451">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3</v>
      </c>
      <c r="C21" s="2671"/>
      <c r="D21" s="2674"/>
      <c r="E21" s="2671"/>
      <c r="F21" s="2671"/>
      <c r="G21" s="2671"/>
      <c r="H21" s="2671"/>
      <c r="I21" s="2671"/>
      <c r="J21" s="2671"/>
      <c r="K21" s="2670"/>
      <c r="L21" s="2670"/>
      <c r="M21" s="3450" t="s">
        <v>3398</v>
      </c>
      <c r="N21" s="3451">
        <f>ROUND((N19+N20)/2,2)</f>
        <v>0.7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v>160</v>
      </c>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ROUND(200*K16/10000,0)</f>
        <v>131</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0.05</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0.03</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5">
        <v>0.03</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3418</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7.0000000000000007E-2</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30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144</v>
      </c>
      <c r="C53" s="2659" t="s">
        <v>1245</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v>30</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74" t="s">
        <v>2281</v>
      </c>
      <c r="B1" s="3575"/>
      <c r="C1" s="3575"/>
      <c r="D1" s="3575"/>
      <c r="E1" s="3575"/>
      <c r="F1" s="3575"/>
      <c r="G1" s="357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9"/>
      <c r="I2" s="799"/>
      <c r="J2" s="799"/>
      <c r="K2" s="799"/>
      <c r="L2" s="799"/>
      <c r="M2" s="799"/>
      <c r="N2" s="799"/>
      <c r="O2" s="799"/>
      <c r="P2" s="799"/>
      <c r="Q2" s="799"/>
      <c r="R2" s="799"/>
    </row>
    <row r="3" spans="1:29" ht="25.5">
      <c r="A3" s="2439" t="s">
        <v>2279</v>
      </c>
      <c r="B3" s="2461" t="s">
        <v>2251</v>
      </c>
      <c r="C3" s="2462"/>
      <c r="D3" s="2463"/>
      <c r="E3" s="2440" t="s">
        <v>2279</v>
      </c>
      <c r="F3" s="2464" t="s">
        <v>2252</v>
      </c>
      <c r="G3" s="2465" t="s">
        <v>2280</v>
      </c>
      <c r="H3" s="799"/>
      <c r="I3" s="799"/>
      <c r="J3" s="799"/>
      <c r="K3" s="799"/>
      <c r="L3" s="799"/>
      <c r="M3" s="799"/>
      <c r="N3" s="799"/>
      <c r="O3" s="799"/>
      <c r="P3" s="799"/>
      <c r="Q3" s="799"/>
      <c r="R3" s="799"/>
    </row>
    <row r="4" spans="1:29" ht="48">
      <c r="A4" s="2440"/>
      <c r="B4" s="323" t="s">
        <v>2253</v>
      </c>
      <c r="C4" s="3452" t="s">
        <v>3472</v>
      </c>
      <c r="D4" s="2463"/>
      <c r="E4" s="2467"/>
      <c r="F4" s="1373" t="s">
        <v>2254</v>
      </c>
      <c r="G4" s="2468" t="s">
        <v>2255</v>
      </c>
      <c r="H4" s="799"/>
      <c r="I4" s="799"/>
      <c r="J4" s="799"/>
      <c r="K4" s="799"/>
      <c r="L4" s="799"/>
      <c r="M4" s="799"/>
      <c r="N4" s="799"/>
      <c r="O4" s="799"/>
      <c r="P4" s="799"/>
      <c r="Q4" s="799"/>
      <c r="R4" s="799"/>
    </row>
    <row r="5" spans="1:29" ht="24">
      <c r="A5" s="2440"/>
      <c r="B5" s="323" t="s">
        <v>2256</v>
      </c>
      <c r="C5" s="2466"/>
      <c r="D5" s="2463"/>
      <c r="E5" s="2467"/>
      <c r="F5" s="323" t="s">
        <v>2257</v>
      </c>
      <c r="G5" s="2468" t="s">
        <v>2258</v>
      </c>
      <c r="H5" s="799"/>
      <c r="I5" s="799"/>
      <c r="J5" s="799"/>
      <c r="K5" s="799"/>
      <c r="L5" s="799"/>
      <c r="M5" s="799"/>
      <c r="N5" s="799"/>
      <c r="O5" s="799"/>
      <c r="P5" s="799"/>
      <c r="Q5" s="799"/>
      <c r="R5" s="799"/>
    </row>
    <row r="6" spans="1:29" ht="51">
      <c r="A6" s="2440"/>
      <c r="B6" s="323" t="s">
        <v>2259</v>
      </c>
      <c r="C6" s="2468" t="s">
        <v>3400</v>
      </c>
      <c r="D6" s="2463"/>
      <c r="E6" s="2467"/>
      <c r="F6" s="323" t="s">
        <v>2260</v>
      </c>
      <c r="G6" s="2468" t="s">
        <v>2261</v>
      </c>
      <c r="H6" s="799"/>
      <c r="I6" s="799"/>
      <c r="J6" s="799"/>
      <c r="K6" s="799"/>
      <c r="L6" s="799"/>
      <c r="M6" s="799"/>
      <c r="N6" s="799"/>
      <c r="O6" s="799"/>
      <c r="P6" s="799"/>
      <c r="Q6" s="799"/>
      <c r="R6" s="799"/>
    </row>
    <row r="7" spans="1:29" ht="39" thickBot="1">
      <c r="A7" s="2440"/>
      <c r="B7" s="323" t="s">
        <v>2257</v>
      </c>
      <c r="C7" s="2468" t="s">
        <v>3401</v>
      </c>
      <c r="D7" s="2469"/>
      <c r="E7" s="2470"/>
      <c r="F7" s="2471" t="s">
        <v>2262</v>
      </c>
      <c r="G7" s="2472" t="s">
        <v>2263</v>
      </c>
      <c r="H7" s="799"/>
      <c r="I7" s="799"/>
      <c r="J7" s="799"/>
      <c r="K7" s="799"/>
      <c r="L7" s="799"/>
      <c r="M7" s="799"/>
      <c r="N7" s="799"/>
      <c r="O7" s="799"/>
      <c r="P7" s="799"/>
      <c r="Q7" s="799"/>
      <c r="R7" s="799"/>
    </row>
    <row r="8" spans="1:29" ht="25.5">
      <c r="A8" s="2440"/>
      <c r="B8" s="323" t="s">
        <v>2260</v>
      </c>
      <c r="C8" s="2468" t="s">
        <v>3402</v>
      </c>
      <c r="D8" s="2469"/>
      <c r="E8" s="2469"/>
      <c r="F8" s="2473"/>
      <c r="G8" s="2473"/>
      <c r="H8" s="799"/>
      <c r="I8" s="799"/>
      <c r="J8" s="799"/>
      <c r="K8" s="799"/>
      <c r="L8" s="799"/>
      <c r="M8" s="799"/>
      <c r="N8" s="799"/>
      <c r="O8" s="799"/>
      <c r="P8" s="799"/>
      <c r="Q8" s="799"/>
      <c r="R8" s="799"/>
    </row>
    <row r="9" spans="1:29" ht="51">
      <c r="A9" s="2440"/>
      <c r="B9" s="323" t="s">
        <v>2264</v>
      </c>
      <c r="C9" s="2466" t="s">
        <v>3403</v>
      </c>
      <c r="D9" s="2463"/>
      <c r="E9" s="2469"/>
      <c r="F9" s="2473"/>
      <c r="G9" s="2473"/>
      <c r="H9" s="799"/>
      <c r="I9" s="799"/>
      <c r="J9" s="799"/>
      <c r="K9" s="799"/>
      <c r="L9" s="799"/>
      <c r="M9" s="799"/>
      <c r="N9" s="799"/>
      <c r="O9" s="799"/>
      <c r="P9" s="799"/>
      <c r="Q9" s="799"/>
      <c r="R9" s="799"/>
    </row>
    <row r="10" spans="1:29" s="2479" customFormat="1" ht="15" thickBot="1">
      <c r="A10" s="2441"/>
      <c r="B10" s="2474" t="s">
        <v>2265</v>
      </c>
      <c r="C10" s="2475" t="s">
        <v>3404</v>
      </c>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51">
      <c r="A16" s="2444"/>
      <c r="B16" s="2498" t="s">
        <v>2253</v>
      </c>
      <c r="C16" s="2499" t="str">
        <f>C4</f>
        <v>估价对象位于朝阳门商圈，周边商业氛围成熟，有悠唐购物中心、银河SOHO等购物中心，人流量大，商业繁华度好</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51">
      <c r="A18" s="2444"/>
      <c r="B18" s="2500" t="s">
        <v>2259</v>
      </c>
      <c r="C18" s="2501" t="str">
        <f>C6</f>
        <v>周边有75、110、420路及地铁2号、6号线，周边道路密集，停车便捷程度，综合评价交通便捷度好</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ht="51">
      <c r="A20" s="2444"/>
      <c r="B20" s="2500" t="s">
        <v>2273</v>
      </c>
      <c r="C20" s="2499" t="str">
        <f>C9</f>
        <v>区域内有东城职业大学、日坛公园、富国海底世界等自然及人文环境，综合评价自然及人文环境状况较好。</v>
      </c>
      <c r="D20" s="2469"/>
      <c r="E20" s="2445"/>
      <c r="F20" s="323" t="s">
        <v>2260</v>
      </c>
      <c r="G20" s="2501" t="str">
        <f>G6</f>
        <v>估价对象所在区域基础设施水平</v>
      </c>
    </row>
    <row r="21" spans="1:18" ht="38.25">
      <c r="A21" s="2444"/>
      <c r="B21" s="323" t="s">
        <v>2257</v>
      </c>
      <c r="C21" s="2501" t="str">
        <f>C7</f>
        <v>估价对象所在区域银行、购物场所、学校等公共配套设施齐备，综合评价公共配套设施水平好。</v>
      </c>
      <c r="D21" s="2463"/>
      <c r="E21" s="2445"/>
      <c r="F21" s="2500" t="s">
        <v>2274</v>
      </c>
      <c r="G21" s="2503"/>
    </row>
    <row r="22" spans="1:18" ht="13.5" customHeight="1">
      <c r="A22" s="2444"/>
      <c r="B22" s="323" t="s">
        <v>2260</v>
      </c>
      <c r="C22" s="2501" t="str">
        <f>C8</f>
        <v>估价对象所在区域基础设施水平“七通一平</v>
      </c>
      <c r="D22" s="2463"/>
      <c r="E22" s="2445"/>
      <c r="F22" s="2500" t="s">
        <v>2265</v>
      </c>
      <c r="G22" s="2502"/>
    </row>
    <row r="23" spans="1:18" s="799" customFormat="1" ht="15" thickBot="1">
      <c r="A23" s="2444"/>
      <c r="B23" s="2500" t="s">
        <v>2274</v>
      </c>
      <c r="C23" s="2503"/>
      <c r="D23" s="1741"/>
      <c r="E23" s="2446"/>
      <c r="F23" s="2504" t="s">
        <v>2275</v>
      </c>
      <c r="G23" s="2505"/>
      <c r="H23" s="2489"/>
      <c r="I23" s="2490"/>
      <c r="J23" s="2489"/>
      <c r="K23" s="2489"/>
      <c r="L23" s="2490"/>
      <c r="M23" s="2489"/>
      <c r="N23" s="2489"/>
      <c r="O23" s="2490"/>
      <c r="P23" s="2489"/>
      <c r="Q23" s="2489"/>
      <c r="R23" s="2491"/>
    </row>
    <row r="24" spans="1:18" s="799" customFormat="1" ht="15" thickBot="1">
      <c r="A24" s="2447"/>
      <c r="B24" s="2504" t="s">
        <v>2276</v>
      </c>
      <c r="C24" s="2506" t="str">
        <f>C10</f>
        <v>城市主干道——朝阳门外大街</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4" sqref="M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6547.83</v>
      </c>
      <c r="C1" s="2684"/>
      <c r="D1" s="2684"/>
      <c r="E1" s="2684"/>
      <c r="F1" s="2684"/>
      <c r="G1" s="2685"/>
      <c r="H1" s="2686"/>
      <c r="I1" s="2686"/>
      <c r="J1" s="2686"/>
      <c r="K1" s="2686"/>
    </row>
    <row r="2" spans="1:11" ht="16.5">
      <c r="A2" s="2510" t="s">
        <v>653</v>
      </c>
      <c r="B2" s="2510">
        <f>SUM(C14:C23)</f>
        <v>750.35</v>
      </c>
      <c r="C2" s="2684"/>
      <c r="D2" s="2684"/>
      <c r="E2" s="2684"/>
      <c r="F2" s="2684"/>
      <c r="G2" s="2685"/>
      <c r="H2" s="2686"/>
      <c r="I2" s="2686"/>
      <c r="J2" s="2686"/>
      <c r="K2" s="2686"/>
    </row>
    <row r="3" spans="1:11" ht="16.5">
      <c r="A3" s="2510" t="s">
        <v>662</v>
      </c>
      <c r="B3" s="2512">
        <f>项目基本情况!D3</f>
        <v>45051</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18019</v>
      </c>
      <c r="C5" s="2510">
        <f ca="1">IF(B5=D14,结果表!H102,ROUND(B5*10000/$B$1,0))</f>
        <v>27519</v>
      </c>
      <c r="D5" s="2510">
        <f ca="1">ROUND(B5*10000/$B$2,0)</f>
        <v>240141</v>
      </c>
      <c r="E5" s="2684"/>
      <c r="F5" s="2685"/>
      <c r="G5" s="2685"/>
      <c r="H5" s="2686"/>
      <c r="I5" s="2686"/>
      <c r="J5" s="2686"/>
      <c r="K5" s="2686"/>
    </row>
    <row r="6" spans="1:11" ht="16.5">
      <c r="A6" s="2510" t="s">
        <v>656</v>
      </c>
      <c r="B6" s="2510">
        <f ca="1">SUM(G14:G23)</f>
        <v>18019</v>
      </c>
      <c r="C6" s="2510">
        <f ca="1">IF(B6=G14,结果表!H108,ROUND(B6*10000/$B$1,0))</f>
        <v>27519</v>
      </c>
      <c r="D6" s="2510">
        <f ca="1">ROUND(B6*10000/$B$2,0)</f>
        <v>240141</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3355</v>
      </c>
      <c r="D10" s="2510" t="s">
        <v>3356</v>
      </c>
      <c r="E10" s="3439"/>
      <c r="F10" s="3443" t="s">
        <v>3357</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6547.83</v>
      </c>
      <c r="C14" s="2516">
        <f>结果表!C118</f>
        <v>750.35</v>
      </c>
      <c r="D14" s="2516">
        <f ca="1">结果表!H118</f>
        <v>18019</v>
      </c>
      <c r="E14" s="2516">
        <f ca="1">ROUND(D14*10000/B14,0)</f>
        <v>27519</v>
      </c>
      <c r="F14" s="2516">
        <f ca="1">ROUND(D14*10000/C14,0)</f>
        <v>240141</v>
      </c>
      <c r="G14" s="2516">
        <f ca="1">D14</f>
        <v>18019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K121" sqref="K12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3414</v>
      </c>
      <c r="H1" s="1750" t="str">
        <f>IF(G1="现房","——","估价对象范围")</f>
        <v>——</v>
      </c>
      <c r="I1" s="1751" t="s">
        <v>3471</v>
      </c>
    </row>
    <row r="2" spans="1:12" ht="21.75" customHeight="1" thickBot="1">
      <c r="A2" s="3610" t="str">
        <f>项目基本情况!S2</f>
        <v>北京市朝阳区朝阳区门外大街18号房地产</v>
      </c>
      <c r="B2" s="3611"/>
      <c r="C2" s="3611"/>
      <c r="D2" s="3611"/>
      <c r="E2" s="3611"/>
      <c r="F2" s="3611"/>
      <c r="G2" s="3611"/>
      <c r="H2" s="3611"/>
      <c r="I2" s="3612"/>
    </row>
    <row r="3" spans="1:12" ht="12.75">
      <c r="A3" s="3614" t="s">
        <v>1263</v>
      </c>
      <c r="B3" s="3615"/>
      <c r="C3" s="3615"/>
      <c r="D3" s="3615"/>
      <c r="E3" s="3615"/>
      <c r="F3" s="3615"/>
      <c r="G3" s="3615"/>
      <c r="H3" s="3615"/>
      <c r="I3" s="3615"/>
    </row>
    <row r="4" spans="1:12" ht="14.25">
      <c r="A4" s="1754" t="s">
        <v>1264</v>
      </c>
      <c r="B4" s="1755" t="s">
        <v>1265</v>
      </c>
      <c r="C4" s="1756" t="s">
        <v>3415</v>
      </c>
      <c r="D4" s="1756" t="s">
        <v>3468</v>
      </c>
      <c r="E4" s="3616" t="s">
        <v>1266</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0" t="s">
        <v>1267</v>
      </c>
      <c r="B5" s="3577">
        <v>25</v>
      </c>
      <c r="C5" s="3593"/>
      <c r="D5" s="3613"/>
      <c r="E5" s="131" t="s">
        <v>1268</v>
      </c>
      <c r="F5" s="1757"/>
      <c r="G5" s="1757"/>
      <c r="H5" s="1757"/>
      <c r="I5" s="1373"/>
    </row>
    <row r="6" spans="1:12" ht="12.75">
      <c r="A6" s="3590"/>
      <c r="B6" s="3577"/>
      <c r="C6" s="3594"/>
      <c r="D6" s="3613"/>
      <c r="E6" s="131" t="s">
        <v>1269</v>
      </c>
      <c r="F6" s="1757"/>
      <c r="G6" s="1757"/>
      <c r="H6" s="1757"/>
      <c r="I6" s="1373"/>
    </row>
    <row r="7" spans="1:12" ht="12.75">
      <c r="A7" s="3590"/>
      <c r="B7" s="3577"/>
      <c r="C7" s="3595"/>
      <c r="D7" s="3613"/>
      <c r="E7" s="131" t="s">
        <v>1270</v>
      </c>
      <c r="F7" s="1757"/>
      <c r="G7" s="1757"/>
      <c r="H7" s="1757"/>
      <c r="I7" s="1373"/>
    </row>
    <row r="8" spans="1:12" ht="12.75">
      <c r="A8" s="3590" t="s">
        <v>1271</v>
      </c>
      <c r="B8" s="3577">
        <v>15</v>
      </c>
      <c r="C8" s="3593"/>
      <c r="D8" s="3613"/>
      <c r="E8" s="131" t="s">
        <v>1272</v>
      </c>
      <c r="F8" s="1757"/>
      <c r="G8" s="1757"/>
      <c r="H8" s="1757"/>
      <c r="I8" s="1373"/>
    </row>
    <row r="9" spans="1:12" ht="12.75">
      <c r="A9" s="3590"/>
      <c r="B9" s="3577"/>
      <c r="C9" s="3595"/>
      <c r="D9" s="3613"/>
      <c r="E9" s="131" t="s">
        <v>1273</v>
      </c>
      <c r="F9" s="1757"/>
      <c r="G9" s="1757"/>
      <c r="H9" s="1757"/>
      <c r="I9" s="1373"/>
    </row>
    <row r="10" spans="1:12" ht="12.75">
      <c r="A10" s="3590" t="s">
        <v>1274</v>
      </c>
      <c r="B10" s="3577">
        <v>15</v>
      </c>
      <c r="C10" s="3593"/>
      <c r="D10" s="3613"/>
      <c r="E10" s="131" t="s">
        <v>1275</v>
      </c>
      <c r="F10" s="1757"/>
      <c r="G10" s="1757"/>
      <c r="H10" s="1757"/>
      <c r="I10" s="1373"/>
    </row>
    <row r="11" spans="1:12" ht="12.75">
      <c r="A11" s="3590"/>
      <c r="B11" s="3577"/>
      <c r="C11" s="3595"/>
      <c r="D11" s="3613"/>
      <c r="E11" s="131" t="s">
        <v>1276</v>
      </c>
      <c r="F11" s="1757"/>
      <c r="G11" s="1757"/>
      <c r="H11" s="1757"/>
      <c r="I11" s="1373"/>
    </row>
    <row r="12" spans="1:12" ht="12.75">
      <c r="A12" s="3590" t="s">
        <v>1277</v>
      </c>
      <c r="B12" s="3577">
        <v>15</v>
      </c>
      <c r="C12" s="3593"/>
      <c r="D12" s="3613"/>
      <c r="E12" s="131" t="s">
        <v>1278</v>
      </c>
      <c r="F12" s="1757"/>
      <c r="G12" s="1757"/>
      <c r="H12" s="1757"/>
      <c r="I12" s="1373"/>
    </row>
    <row r="13" spans="1:12" ht="12.75">
      <c r="A13" s="3590"/>
      <c r="B13" s="3577"/>
      <c r="C13" s="3595"/>
      <c r="D13" s="3613"/>
      <c r="E13" s="131" t="s">
        <v>1279</v>
      </c>
      <c r="F13" s="1757"/>
      <c r="G13" s="1757"/>
      <c r="H13" s="1757"/>
      <c r="I13" s="1373"/>
    </row>
    <row r="14" spans="1:12" ht="12.75">
      <c r="A14" s="3590" t="s">
        <v>1280</v>
      </c>
      <c r="B14" s="3577">
        <v>30</v>
      </c>
      <c r="C14" s="3593">
        <v>8</v>
      </c>
      <c r="D14" s="3613">
        <v>2</v>
      </c>
      <c r="E14" s="131" t="s">
        <v>1281</v>
      </c>
      <c r="F14" s="1757"/>
      <c r="G14" s="1757"/>
      <c r="H14" s="1757"/>
      <c r="I14" s="1373"/>
    </row>
    <row r="15" spans="1:12" ht="12.75">
      <c r="A15" s="3590"/>
      <c r="B15" s="3577"/>
      <c r="C15" s="3594"/>
      <c r="D15" s="3613"/>
      <c r="E15" s="131" t="s">
        <v>1282</v>
      </c>
      <c r="F15" s="1757"/>
      <c r="G15" s="1757"/>
      <c r="H15" s="1757"/>
      <c r="I15" s="1373"/>
    </row>
    <row r="16" spans="1:12" ht="12.75">
      <c r="A16" s="3590"/>
      <c r="B16" s="3577"/>
      <c r="C16" s="3595"/>
      <c r="D16" s="3613"/>
      <c r="E16" s="131" t="s">
        <v>1283</v>
      </c>
      <c r="F16" s="1757"/>
      <c r="G16" s="1757"/>
      <c r="H16" s="1757"/>
      <c r="I16" s="1373"/>
    </row>
    <row r="17" spans="1:36" ht="15">
      <c r="A17" s="1758" t="s">
        <v>1284</v>
      </c>
      <c r="B17" s="56"/>
      <c r="C17" s="132">
        <f>SUM(C5:C16)</f>
        <v>8</v>
      </c>
      <c r="D17" s="132">
        <f>SUM(D5:D16)</f>
        <v>2</v>
      </c>
      <c r="E17" s="129"/>
      <c r="F17" s="129"/>
      <c r="G17" s="129"/>
      <c r="H17" s="129"/>
      <c r="I17" s="129"/>
      <c r="K17" s="302"/>
      <c r="L17" s="302" t="s">
        <v>1285</v>
      </c>
      <c r="M17" s="302" t="s">
        <v>1286</v>
      </c>
    </row>
    <row r="18" spans="1:36" ht="31.9" customHeight="1" thickBot="1">
      <c r="A18" s="1759" t="s">
        <v>1287</v>
      </c>
      <c r="B18" s="1760"/>
      <c r="C18" s="133">
        <f>ROUND(C17/SUM(C17:D17),2)</f>
        <v>0.8</v>
      </c>
      <c r="D18" s="133">
        <f>1-C18</f>
        <v>0.19999999999999996</v>
      </c>
      <c r="E18" s="3600" t="s">
        <v>2130</v>
      </c>
      <c r="F18" s="3601"/>
      <c r="G18" s="3601"/>
      <c r="H18" s="3601"/>
      <c r="I18" s="3601"/>
      <c r="K18" s="302" t="s">
        <v>1288</v>
      </c>
      <c r="L18" s="302">
        <f>IF(C1="",'数据-汇总表'!E3,SUMIF(项目类型,C1,'数据-汇总表'!E17:E26)+SUMIF(项目类型,C1,'数据-汇总表'!I17:I26))</f>
        <v>6547.83</v>
      </c>
      <c r="M18" s="302">
        <f>IF(C1="",'数据-汇总表'!E3,SUMIF(项目类型,C1,'数据-汇总表'!E17:E26))</f>
        <v>6547.83</v>
      </c>
    </row>
    <row r="19" spans="1:36" ht="15">
      <c r="A19" s="1761" t="s">
        <v>1289</v>
      </c>
      <c r="B19" s="1762" t="s">
        <v>1290</v>
      </c>
      <c r="C19" s="134">
        <f ca="1">SUMIF(INDIRECT("'"&amp;C4&amp;"'"&amp;"!A:A"),结果表!B19,INDIRECT("'"&amp;C4&amp;"'"&amp;"!B:B"))</f>
        <v>20331</v>
      </c>
      <c r="D19" s="135">
        <f ca="1">SUMIF(INDIRECT("'"&amp;D4&amp;"'"&amp;"!A:A"),结果表!B19,INDIRECT("'"&amp;D4&amp;"'"&amp;"!B:B"))</f>
        <v>8769</v>
      </c>
      <c r="E19" s="1761" t="s">
        <v>1291</v>
      </c>
      <c r="F19" s="1762" t="s">
        <v>1290</v>
      </c>
      <c r="G19" s="136">
        <f ca="1">ROUND(C19*$C$18+D19*$D$18,0)</f>
        <v>18019</v>
      </c>
      <c r="H19" s="1763" t="s">
        <v>1292</v>
      </c>
      <c r="I19" s="129"/>
      <c r="K19" s="302" t="s">
        <v>1293</v>
      </c>
      <c r="L19" s="302">
        <f>IF(C1="",'数据-汇总表'!D3,SUMIF(项目类型,C1,'数据-汇总表'!D17:D26)+SUMIF(项目类型,C1,'数据-汇总表'!H17:H27))</f>
        <v>750.35</v>
      </c>
      <c r="M19" s="302">
        <f>IF(C1="",'数据-汇总表'!D3,SUMIF(项目类型,C1,'数据-汇总表'!D17:D26))</f>
        <v>750.35</v>
      </c>
    </row>
    <row r="20" spans="1:36" ht="15">
      <c r="A20" s="1764"/>
      <c r="B20" s="1026" t="s">
        <v>1294</v>
      </c>
      <c r="C20" s="137">
        <f ca="1">SUMIF(INDIRECT("'"&amp;C4&amp;"'"&amp;"!A:A"),结果表!B20,INDIRECT("'"&amp;C4&amp;"'"&amp;"!B:B"))</f>
        <v>31050</v>
      </c>
      <c r="D20" s="138">
        <f ca="1">SUMIF(INDIRECT("'"&amp;D4&amp;"'"&amp;"!A:A"),结果表!B20,INDIRECT("'"&amp;D4&amp;"'"&amp;"!B:B"))</f>
        <v>13392</v>
      </c>
      <c r="E20" s="1764"/>
      <c r="F20" s="1026" t="s">
        <v>1294</v>
      </c>
      <c r="G20" s="139">
        <f ca="1">ROUND(C20*$C$18+D20*$D$18,0)</f>
        <v>27518</v>
      </c>
      <c r="H20" s="808" t="s">
        <v>1295</v>
      </c>
      <c r="I20" s="129"/>
    </row>
    <row r="21" spans="1:36" ht="15" customHeight="1" thickBot="1">
      <c r="A21" s="828"/>
      <c r="B21" s="1765" t="s">
        <v>1296</v>
      </c>
      <c r="C21" s="719">
        <f ca="1">ROUND(C19*10000/L19,0)</f>
        <v>270954</v>
      </c>
      <c r="D21" s="720">
        <f ca="1">ROUND(D19*10000/L19,0)</f>
        <v>116865</v>
      </c>
      <c r="E21" s="828"/>
      <c r="F21" s="1765" t="s">
        <v>1296</v>
      </c>
      <c r="G21" s="140">
        <f ca="1">ROUND(G19*10000/L19,0)</f>
        <v>240141</v>
      </c>
      <c r="H21" s="1766" t="s">
        <v>1295</v>
      </c>
      <c r="I21" s="129"/>
    </row>
    <row r="22" spans="1:36" ht="15" thickBot="1">
      <c r="A22" s="1688" t="s">
        <v>1297</v>
      </c>
      <c r="B22" s="1767"/>
      <c r="C22" s="1768"/>
      <c r="D22" s="721">
        <f ca="1">IF(C19&lt;D19,D19/C19-1,C19/D19-1)</f>
        <v>1.3185083817995209</v>
      </c>
      <c r="E22" s="129"/>
      <c r="F22" s="129"/>
      <c r="G22" s="129"/>
      <c r="H22" s="129"/>
      <c r="I22" s="129"/>
    </row>
    <row r="23" spans="1:36" ht="13.5" thickBot="1">
      <c r="A23" s="1747"/>
      <c r="B23" s="1747"/>
      <c r="C23" s="1747"/>
      <c r="D23" s="1747"/>
      <c r="E23" s="129"/>
      <c r="F23" s="129"/>
      <c r="G23" s="129"/>
      <c r="H23" s="129"/>
      <c r="I23" s="129"/>
    </row>
    <row r="24" spans="1:36" ht="14.25">
      <c r="A24" s="3584" t="s">
        <v>1298</v>
      </c>
      <c r="B24" s="1762" t="s">
        <v>1290</v>
      </c>
      <c r="C24" s="136">
        <f>IF(B30=0,0,D30)</f>
        <v>0</v>
      </c>
      <c r="D24" s="1769"/>
      <c r="E24" s="129"/>
      <c r="F24" s="129"/>
      <c r="G24" s="129"/>
      <c r="H24" s="129"/>
      <c r="I24" s="129"/>
    </row>
    <row r="25" spans="1:36" ht="14.25">
      <c r="A25" s="3585"/>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18019</v>
      </c>
      <c r="D32" s="1775" t="s">
        <v>3417</v>
      </c>
      <c r="E32" s="129"/>
      <c r="F32" s="129"/>
      <c r="G32" s="129"/>
      <c r="H32" s="129"/>
      <c r="I32" s="129"/>
    </row>
    <row r="33" spans="1:15" ht="15">
      <c r="A33" s="786" t="s">
        <v>1305</v>
      </c>
      <c r="B33" s="1776"/>
      <c r="C33" s="1777" t="s">
        <v>3416</v>
      </c>
      <c r="D33" s="1778" t="s">
        <v>3415</v>
      </c>
      <c r="E33" s="1779" t="s">
        <v>1306</v>
      </c>
      <c r="F33" s="1780" t="str">
        <f>IF(D32="楼面单价","取值（单价）","取值（总价）")</f>
        <v>取值（总价）</v>
      </c>
      <c r="G33" s="129"/>
      <c r="H33" s="129"/>
      <c r="I33" s="129"/>
    </row>
    <row r="34" spans="1:15" ht="15">
      <c r="A34" s="1781"/>
      <c r="B34" s="1782" t="s">
        <v>1307</v>
      </c>
      <c r="C34" s="148">
        <f ca="1">IF(C33="自定义",F34,C32-C35)</f>
        <v>14163</v>
      </c>
      <c r="D34" s="861">
        <f ca="1">IF(C33="自定义",ROUND(C34/C32,3),IF(C33="收益比率",SUMIF(INDIRECT("'"&amp;D33&amp;"'"&amp;"!b:b"),"土地收益比率",INDIRECT("'"&amp;D33&amp;"'"&amp;"!c:c")),SUMIF(INDIRECT("'"&amp;D33&amp;"'"&amp;"!b:b"),"土地成本比率",INDIRECT("'"&amp;D33&amp;"'"&amp;"!c:c"))))</f>
        <v>0.78600000000000003</v>
      </c>
      <c r="E34" s="1783" t="s">
        <v>1308</v>
      </c>
      <c r="F34" s="1330"/>
      <c r="G34" s="129"/>
      <c r="H34" s="129"/>
      <c r="I34" s="129"/>
    </row>
    <row r="35" spans="1:15" ht="15.75" thickBot="1">
      <c r="A35" s="1784"/>
      <c r="B35" s="1785" t="s">
        <v>1309</v>
      </c>
      <c r="C35" s="1170">
        <f ca="1">IF(C33="自定义",F35,ROUND(C32*D35,0))</f>
        <v>3856</v>
      </c>
      <c r="D35" s="1171">
        <f ca="1">IF(C33="自定义",ROUND(C35/C32,3),IF(C33="收益比率",SUMIF(INDIRECT("'"&amp;D33&amp;"'"&amp;"!b:b"),"建筑物收益比率",INDIRECT("'"&amp;D33&amp;"'"&amp;"!c:c")),SUMIF(INDIRECT("'"&amp;D33&amp;"'"&amp;"!b:b"),"建筑物成本比率",INDIRECT("'"&amp;D33&amp;"'"&amp;"!c:c"))))</f>
        <v>0.214</v>
      </c>
      <c r="E35" s="1786" t="s">
        <v>1310</v>
      </c>
      <c r="F35" s="154"/>
      <c r="G35" s="129"/>
      <c r="H35" s="129"/>
      <c r="I35" s="129"/>
    </row>
    <row r="36" spans="1:15" ht="15.75" thickBot="1">
      <c r="A36" s="3604" t="s">
        <v>1311</v>
      </c>
      <c r="B36" s="1787" t="s">
        <v>1312</v>
      </c>
      <c r="C36" s="145"/>
      <c r="D36" s="1788"/>
      <c r="E36" s="1789"/>
      <c r="F36" s="1790"/>
      <c r="G36" s="129"/>
      <c r="H36" s="129"/>
      <c r="I36" s="129"/>
    </row>
    <row r="37" spans="1:15" ht="15.75" thickBot="1">
      <c r="A37" s="3605"/>
      <c r="B37" s="1674" t="s">
        <v>1313</v>
      </c>
      <c r="C37" s="147"/>
      <c r="D37" s="1139"/>
      <c r="E37" s="1139"/>
      <c r="F37" s="1790"/>
      <c r="G37" s="129"/>
      <c r="H37" s="129"/>
      <c r="I37" s="129"/>
    </row>
    <row r="38" spans="1:15" ht="15.75" thickBot="1">
      <c r="A38" s="3606"/>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81" t="s">
        <v>1325</v>
      </c>
      <c r="B45" s="3582"/>
      <c r="C45" s="3583"/>
      <c r="D45" s="155">
        <f ca="1">ROUND(H101*F45,0)</f>
        <v>18019</v>
      </c>
      <c r="E45" s="156" t="s">
        <v>1326</v>
      </c>
      <c r="F45" s="157">
        <v>1</v>
      </c>
      <c r="G45" s="158" t="s">
        <v>1327</v>
      </c>
      <c r="H45" s="129"/>
      <c r="I45" s="129"/>
      <c r="J45" s="3659" t="s">
        <v>1328</v>
      </c>
      <c r="K45" s="3659"/>
      <c r="L45" s="3659"/>
      <c r="M45" s="3659"/>
      <c r="N45" s="3659"/>
      <c r="O45" s="3659"/>
    </row>
    <row r="46" spans="1:15" ht="14.25" customHeight="1">
      <c r="A46" s="3578" t="s">
        <v>1329</v>
      </c>
      <c r="B46" s="3579"/>
      <c r="C46" s="3579"/>
      <c r="D46" s="3579"/>
      <c r="E46" s="3579"/>
      <c r="F46" s="3579"/>
      <c r="G46" s="3580"/>
      <c r="H46" s="1806"/>
      <c r="I46" s="159"/>
      <c r="J46" s="2521">
        <v>1</v>
      </c>
      <c r="K46" s="3640" t="s">
        <v>1330</v>
      </c>
      <c r="L46" s="3640"/>
      <c r="M46" s="3660"/>
      <c r="N46" s="3660"/>
      <c r="O46" s="3660"/>
    </row>
    <row r="47" spans="1:15" ht="12" customHeight="1">
      <c r="A47" s="160" t="s">
        <v>1331</v>
      </c>
      <c r="B47" s="161"/>
      <c r="C47" s="162"/>
      <c r="D47" s="1087" t="s">
        <v>1332</v>
      </c>
      <c r="E47" s="302" t="s">
        <v>1333</v>
      </c>
      <c r="F47" s="163" t="s">
        <v>1334</v>
      </c>
      <c r="G47" s="2544" t="s">
        <v>1335</v>
      </c>
      <c r="H47" s="2545"/>
      <c r="I47" s="159"/>
      <c r="J47" s="2521">
        <v>2</v>
      </c>
      <c r="K47" s="3640" t="s">
        <v>1336</v>
      </c>
      <c r="L47" s="3640"/>
      <c r="M47" s="3661">
        <f>'数据-取费表'!B2</f>
        <v>45051</v>
      </c>
      <c r="N47" s="3661"/>
      <c r="O47" s="3661"/>
    </row>
    <row r="48" spans="1:15" ht="25.5">
      <c r="A48" s="3609" t="s">
        <v>1337</v>
      </c>
      <c r="B48" s="3592"/>
      <c r="C48" s="3592"/>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1338</v>
      </c>
      <c r="H48" s="2548"/>
      <c r="I48" s="1806"/>
      <c r="J48" s="2521">
        <v>3</v>
      </c>
      <c r="K48" s="3640" t="s">
        <v>1339</v>
      </c>
      <c r="L48" s="3640"/>
      <c r="M48" s="3662">
        <f ca="1">H101</f>
        <v>18019</v>
      </c>
      <c r="N48" s="3662"/>
      <c r="O48" s="3662"/>
    </row>
    <row r="49" spans="1:35" ht="25.5" customHeight="1">
      <c r="A49" s="2333" t="s">
        <v>1340</v>
      </c>
      <c r="B49" s="3576" t="s">
        <v>1341</v>
      </c>
      <c r="C49" s="3576"/>
      <c r="D49" s="1590">
        <v>0</v>
      </c>
      <c r="E49" s="324" t="s">
        <v>1342</v>
      </c>
      <c r="F49" s="2422" t="s">
        <v>28</v>
      </c>
      <c r="G49" s="3646"/>
      <c r="H49" s="2310" t="s">
        <v>2133</v>
      </c>
      <c r="I49" s="2311"/>
      <c r="J49" s="2521">
        <v>4</v>
      </c>
      <c r="K49" s="3640" t="str">
        <f>IF(项目基本情况!E8="房地产抵押价值","房地产抵押价值","抵押担保权已注销时的房地产抵押价值")</f>
        <v>抵押担保权已注销时的房地产抵押价值</v>
      </c>
      <c r="L49" s="3640"/>
      <c r="M49" s="3662" t="str">
        <f>IF(项目基本情况!E8="房地产抵押价值",H107,H109)</f>
        <v>——</v>
      </c>
      <c r="N49" s="3662"/>
      <c r="O49" s="3662"/>
    </row>
    <row r="50" spans="1:35" ht="25.5" customHeight="1">
      <c r="A50" s="2549"/>
      <c r="B50" s="3576" t="s">
        <v>1343</v>
      </c>
      <c r="C50" s="3576"/>
      <c r="D50" s="2550"/>
      <c r="E50" s="332"/>
      <c r="F50" s="2422"/>
      <c r="G50" s="3647"/>
      <c r="H50" s="2312" t="s">
        <v>2134</v>
      </c>
      <c r="I50" s="2311"/>
      <c r="J50" s="3659" t="s">
        <v>1344</v>
      </c>
      <c r="K50" s="3659"/>
      <c r="L50" s="3659"/>
      <c r="M50" s="3659"/>
      <c r="N50" s="3659"/>
      <c r="O50" s="3659"/>
    </row>
    <row r="51" spans="1:35" ht="20.45" customHeight="1">
      <c r="A51" s="2551"/>
      <c r="B51" s="3576" t="s">
        <v>1345</v>
      </c>
      <c r="C51" s="3576"/>
      <c r="D51" s="1087"/>
      <c r="E51" s="327"/>
      <c r="F51" s="2422"/>
      <c r="G51" s="3648"/>
      <c r="H51" s="2312" t="s">
        <v>2135</v>
      </c>
      <c r="I51" s="2311"/>
      <c r="J51" s="2522" t="s">
        <v>1346</v>
      </c>
      <c r="K51" s="3640" t="s">
        <v>1347</v>
      </c>
      <c r="L51" s="3640"/>
      <c r="M51" s="2522" t="s">
        <v>1348</v>
      </c>
      <c r="N51" s="2522" t="s">
        <v>1349</v>
      </c>
      <c r="O51" s="2522" t="s">
        <v>1350</v>
      </c>
    </row>
    <row r="52" spans="1:35" ht="24" customHeight="1">
      <c r="A52" s="2335" t="s">
        <v>1351</v>
      </c>
      <c r="B52" s="3576" t="s">
        <v>1352</v>
      </c>
      <c r="C52" s="3576"/>
      <c r="D52" s="1087">
        <f ca="1">ROUND(D45*'数据-取费表'!B41/(1+'数据-取费表'!C42),0)</f>
        <v>961</v>
      </c>
      <c r="E52" s="2334" t="s">
        <v>1353</v>
      </c>
      <c r="F52" s="2552">
        <f>'数据-取费表'!B41</f>
        <v>5.6000000000000001E-2</v>
      </c>
      <c r="G52" s="2553"/>
      <c r="H52" s="2542"/>
      <c r="I52" s="1807"/>
      <c r="J52" s="2521">
        <v>1</v>
      </c>
      <c r="K52" s="3641" t="s">
        <v>1354</v>
      </c>
      <c r="L52" s="3641"/>
      <c r="M52" s="2523" t="b">
        <f>D48</f>
        <v>0</v>
      </c>
      <c r="N52" s="2521" t="str">
        <f>E48</f>
        <v>销售额×税（费）率</v>
      </c>
      <c r="O52" s="2524">
        <f>F48</f>
        <v>5.6000000000000001E-2</v>
      </c>
    </row>
    <row r="53" spans="1:35" ht="12" customHeight="1">
      <c r="A53" s="2335" t="s">
        <v>1355</v>
      </c>
      <c r="B53" s="3602" t="s">
        <v>2286</v>
      </c>
      <c r="C53" s="3603"/>
      <c r="D53" s="1087">
        <f ca="1">ROUND(D45*'数据-取费表'!B41/(1+'数据-取费表'!C42),0)</f>
        <v>961</v>
      </c>
      <c r="E53" s="2334" t="s">
        <v>1353</v>
      </c>
      <c r="F53" s="2552">
        <f>'数据-取费表'!B41</f>
        <v>5.6000000000000001E-2</v>
      </c>
      <c r="G53" s="2553"/>
      <c r="H53" s="2542"/>
      <c r="I53" s="1807"/>
      <c r="J53" s="2521">
        <v>2</v>
      </c>
      <c r="K53" s="3641" t="s">
        <v>1356</v>
      </c>
      <c r="L53" s="3641"/>
      <c r="M53" s="2523">
        <f t="shared" ref="M53:O54" ca="1" si="0">D55</f>
        <v>9</v>
      </c>
      <c r="N53" s="2521" t="str">
        <f t="shared" si="0"/>
        <v>销售额×税（费）率</v>
      </c>
      <c r="O53" s="2524" t="str">
        <f t="shared" si="0"/>
        <v>免征</v>
      </c>
    </row>
    <row r="54" spans="1:35" ht="12" customHeight="1">
      <c r="A54" s="2335" t="s">
        <v>1357</v>
      </c>
      <c r="B54" s="3602" t="s">
        <v>2287</v>
      </c>
      <c r="C54" s="3603"/>
      <c r="D54" s="1087">
        <f ca="1">C68</f>
        <v>961</v>
      </c>
      <c r="E54" s="327" t="s">
        <v>1358</v>
      </c>
      <c r="F54" s="2552">
        <f>'数据-取费表'!B41</f>
        <v>5.6000000000000001E-2</v>
      </c>
      <c r="G54" s="2553"/>
      <c r="H54" s="2554"/>
      <c r="I54" s="1807"/>
      <c r="J54" s="2521">
        <v>3</v>
      </c>
      <c r="K54" s="3641" t="s">
        <v>1359</v>
      </c>
      <c r="L54" s="3641"/>
      <c r="M54" s="2523">
        <f t="shared" ca="1" si="0"/>
        <v>10199</v>
      </c>
      <c r="N54" s="2521" t="str">
        <f t="shared" si="0"/>
        <v>增值额×税（费）率</v>
      </c>
      <c r="O54" s="2525" t="str">
        <f t="shared" si="0"/>
        <v>免征</v>
      </c>
    </row>
    <row r="55" spans="1:35" ht="24" customHeight="1">
      <c r="A55" s="3591" t="s">
        <v>1360</v>
      </c>
      <c r="B55" s="3592"/>
      <c r="C55" s="3592"/>
      <c r="D55" s="2324">
        <f ca="1">IF(H55="个人住宅",0,ROUND(D45*I55,0))</f>
        <v>9</v>
      </c>
      <c r="E55" s="2334" t="s">
        <v>1361</v>
      </c>
      <c r="F55" s="2552" t="str">
        <f>IF(H55="正常",I55,"免征")</f>
        <v>免征</v>
      </c>
      <c r="G55" s="2553"/>
      <c r="H55" s="2548"/>
      <c r="I55" s="165">
        <f>'数据-取费表'!B49</f>
        <v>5.0000000000000001E-4</v>
      </c>
      <c r="J55" s="2521">
        <f>IF(H59="非个人房产","",4)</f>
        <v>4</v>
      </c>
      <c r="K55" s="3641" t="str">
        <f>IF(H59="非个人房产","——","个人所得税")</f>
        <v>个人所得税</v>
      </c>
      <c r="L55" s="3641"/>
      <c r="M55" s="2526">
        <f ca="1">D59</f>
        <v>172</v>
      </c>
      <c r="N55" s="2040" t="str">
        <f>E59</f>
        <v>差额计税</v>
      </c>
      <c r="O55" s="2527">
        <f>F59</f>
        <v>0.01</v>
      </c>
    </row>
    <row r="56" spans="1:35" ht="24.75">
      <c r="A56" s="3591" t="s">
        <v>1362</v>
      </c>
      <c r="B56" s="3592"/>
      <c r="C56" s="3592"/>
      <c r="D56" s="2324">
        <f ca="1">IF(H56="个人住宅",D57,D58)</f>
        <v>10199</v>
      </c>
      <c r="E56" s="2334" t="s">
        <v>1363</v>
      </c>
      <c r="F56" s="2552" t="str">
        <f>IF(H56="正常",F58,"免征")</f>
        <v>免征</v>
      </c>
      <c r="G56" s="2555" t="s">
        <v>1364</v>
      </c>
      <c r="H56" s="2556"/>
      <c r="I56" s="1808"/>
      <c r="J56" s="2521" t="str">
        <f>IF(项目基本情况!K6="上海银行",IF(J55="",4,J55+1),"")</f>
        <v/>
      </c>
      <c r="K56" s="3664" t="str">
        <f>IF(项目基本情况!K6="上海银行","其他处置费用","")</f>
        <v/>
      </c>
      <c r="L56" s="3665"/>
      <c r="M56" s="2523" t="str">
        <f>IF(项目基本情况!K6="上海银行",M69,"")</f>
        <v/>
      </c>
      <c r="N56" s="3664" t="str">
        <f>IF(项目基本情况!K6="上海银行","包含处置中涉及的律师、诉讼、拍卖、评估等费用","")</f>
        <v/>
      </c>
      <c r="O56" s="3667"/>
    </row>
    <row r="57" spans="1:35" ht="12.75">
      <c r="A57" s="2335" t="s">
        <v>1340</v>
      </c>
      <c r="B57" s="3602" t="s">
        <v>1365</v>
      </c>
      <c r="C57" s="3603"/>
      <c r="D57" s="1590">
        <v>0</v>
      </c>
      <c r="E57" s="324" t="s">
        <v>1342</v>
      </c>
      <c r="F57" s="302"/>
      <c r="G57" s="2553"/>
      <c r="H57" s="2557"/>
      <c r="I57" s="1808"/>
      <c r="J57" s="3641">
        <f>IF(AND(J55="",J56=""),4,IF(项目基本情况!K6="上海银行",结果表!J56+1,结果表!J55+1))</f>
        <v>5</v>
      </c>
      <c r="K57" s="3641" t="s">
        <v>1366</v>
      </c>
      <c r="L57" s="2528" t="s">
        <v>1367</v>
      </c>
      <c r="M57" s="2529"/>
      <c r="N57" s="2530">
        <f ca="1">SUMIF(M52:M56,"&lt;9e307")</f>
        <v>10380</v>
      </c>
      <c r="O57" s="2531"/>
      <c r="P57" s="2688" t="e">
        <f ca="1">N57/M49</f>
        <v>#VALUE!</v>
      </c>
    </row>
    <row r="58" spans="1:35" ht="24.75">
      <c r="A58" s="2335" t="s">
        <v>1351</v>
      </c>
      <c r="B58" s="3602" t="s">
        <v>1368</v>
      </c>
      <c r="C58" s="3576"/>
      <c r="D58" s="2324">
        <f ca="1">IF(H58="转让取得",C81,C97)</f>
        <v>10199</v>
      </c>
      <c r="E58" s="2334" t="s">
        <v>1363</v>
      </c>
      <c r="F58" s="302" t="s">
        <v>28</v>
      </c>
      <c r="G58" s="2553"/>
      <c r="H58" s="2556"/>
      <c r="I58" s="1808"/>
      <c r="J58" s="3641"/>
      <c r="K58" s="3641"/>
      <c r="L58" s="2528" t="s">
        <v>1369</v>
      </c>
      <c r="M58" s="2532"/>
      <c r="N58" s="2533" t="str">
        <f ca="1">NUMBERSTRING(INT(N57*10000),2)&amp;"元整"</f>
        <v>壹亿零叁佰捌拾万元整</v>
      </c>
      <c r="O58" s="2534"/>
    </row>
    <row r="59" spans="1:35" ht="24.75" thickBot="1">
      <c r="A59" s="3644" t="s">
        <v>1370</v>
      </c>
      <c r="B59" s="3645"/>
      <c r="C59" s="3645"/>
      <c r="D59" s="2558">
        <f ca="1">IF(H59="非个人房产","——",IF(H59="个人住宅（满五唯一有凭证）",0,IF(H59="个人其他（无凭证）",ROUND(D45*F59,0),ROUND(C67*F59,0))))</f>
        <v>172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42">
        <f>J57+1</f>
        <v>6</v>
      </c>
      <c r="K59" s="3641" t="s">
        <v>1371</v>
      </c>
      <c r="L59" s="2521" t="s">
        <v>1367</v>
      </c>
      <c r="M59" s="2535"/>
      <c r="N59" s="2536" t="e">
        <f ca="1">M49-N57</f>
        <v>#VALUE!</v>
      </c>
      <c r="O59" s="2537"/>
    </row>
    <row r="60" spans="1:35" ht="12" customHeight="1">
      <c r="A60" s="1809"/>
      <c r="B60" s="1747"/>
      <c r="C60" s="1747"/>
      <c r="D60" s="1747"/>
      <c r="E60" s="1578"/>
      <c r="F60" s="1808"/>
      <c r="G60" s="1808"/>
      <c r="H60" s="1810"/>
      <c r="I60" s="129"/>
      <c r="J60" s="3643"/>
      <c r="K60" s="3641"/>
      <c r="L60" s="2528" t="s">
        <v>1369</v>
      </c>
      <c r="M60" s="2532"/>
      <c r="N60" s="2533" t="e">
        <f ca="1">NUMBERSTRING(INT(N59*10000),2)&amp;"元整"</f>
        <v>#VALUE!</v>
      </c>
      <c r="O60" s="2534"/>
    </row>
    <row r="61" spans="1:35" ht="13.5" thickBot="1">
      <c r="A61" s="3589" t="s">
        <v>1372</v>
      </c>
      <c r="B61" s="3589"/>
      <c r="C61" s="3589"/>
      <c r="D61" s="3589"/>
      <c r="E61" s="3589"/>
      <c r="F61" s="1808"/>
      <c r="G61" s="1808"/>
      <c r="H61" s="1810"/>
      <c r="I61" s="129"/>
      <c r="J61" s="2521">
        <f>J59+1</f>
        <v>7</v>
      </c>
      <c r="K61" s="3641" t="s">
        <v>1373</v>
      </c>
      <c r="L61" s="3641"/>
      <c r="M61" s="2538"/>
      <c r="N61" s="2539" t="e">
        <f ca="1">ROUND(N59*10000/'数据-汇总表'!E3,0)</f>
        <v>#VALUE!</v>
      </c>
      <c r="O61" s="2540"/>
    </row>
    <row r="62" spans="1:35" ht="12.75">
      <c r="A62" s="3607" t="s">
        <v>1374</v>
      </c>
      <c r="B62" s="3608"/>
      <c r="C62" s="2021"/>
      <c r="D62" s="2021" t="s">
        <v>1375</v>
      </c>
      <c r="E62" s="166" t="s">
        <v>1376</v>
      </c>
      <c r="F62" s="1808"/>
      <c r="G62" s="1808"/>
      <c r="H62" s="1810"/>
      <c r="I62" s="129"/>
    </row>
    <row r="63" spans="1:35" ht="12.75">
      <c r="A63" s="173" t="s">
        <v>330</v>
      </c>
      <c r="B63" s="167" t="s">
        <v>1377</v>
      </c>
      <c r="C63" s="2562">
        <f ca="1">ROUND((C64+C65)/(1+'数据-取费表'!C42),0)</f>
        <v>17161</v>
      </c>
      <c r="D63" s="167"/>
      <c r="E63" s="168"/>
      <c r="F63" s="1808"/>
      <c r="G63" s="1808"/>
      <c r="H63" s="1810"/>
      <c r="I63" s="129"/>
      <c r="J63" s="3666" t="s">
        <v>1378</v>
      </c>
      <c r="K63" s="1332" t="s">
        <v>1379</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1380</v>
      </c>
      <c r="C64" s="2563">
        <f ca="1">D45</f>
        <v>18019</v>
      </c>
      <c r="D64" s="170" t="s">
        <v>26</v>
      </c>
      <c r="E64" s="172"/>
      <c r="F64" s="1808"/>
      <c r="G64" s="1808"/>
      <c r="H64" s="1810"/>
      <c r="I64" s="129"/>
      <c r="J64" s="3666"/>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2"/>
      <c r="AI64" s="1753"/>
    </row>
    <row r="65" spans="1:35" ht="14.25" customHeight="1">
      <c r="A65" s="169" t="s">
        <v>326</v>
      </c>
      <c r="B65" s="170" t="s">
        <v>1383</v>
      </c>
      <c r="C65" s="2564"/>
      <c r="D65" s="170"/>
      <c r="E65" s="172"/>
      <c r="F65" s="1808"/>
      <c r="G65" s="1808"/>
      <c r="H65" s="1810"/>
      <c r="I65" s="129"/>
      <c r="J65" s="3666"/>
      <c r="K65" s="1332" t="s">
        <v>1384</v>
      </c>
      <c r="L65" s="1332" t="e">
        <f>IF(M49&gt;1000,M49*0.1%,IF(AND(M49&gt;500,M49&lt;=1000),M49*0.5%,IF(AND(M49&gt;50,M49&lt;=500),M49*1%,IF(AND(M49&gt;1,M49&lt;=50),M49*1.5%))))</f>
        <v>#VALUE!</v>
      </c>
      <c r="M65" s="302" t="e">
        <f t="shared" si="1"/>
        <v>#VALUE!</v>
      </c>
      <c r="N65" s="2542" t="s">
        <v>1382</v>
      </c>
      <c r="Z65" s="1752"/>
      <c r="AI65" s="1753"/>
    </row>
    <row r="66" spans="1:35" ht="14.25" customHeight="1">
      <c r="A66" s="173" t="s">
        <v>327</v>
      </c>
      <c r="B66" s="174" t="s">
        <v>1385</v>
      </c>
      <c r="C66" s="2565"/>
      <c r="D66" s="174" t="s">
        <v>26</v>
      </c>
      <c r="E66" s="1338" t="s">
        <v>671</v>
      </c>
      <c r="F66" s="1808"/>
      <c r="G66" s="1808"/>
      <c r="H66" s="1810"/>
      <c r="I66" s="129"/>
      <c r="J66" s="3666"/>
      <c r="K66" s="1332" t="s">
        <v>1386</v>
      </c>
      <c r="L66" s="1332" t="e">
        <f>M49*0.5%</f>
        <v>#VALUE!</v>
      </c>
      <c r="M66" s="302" t="e">
        <f>IF(L66&gt;0.5,0.5,ROUND(L66,0))</f>
        <v>#VALUE!</v>
      </c>
      <c r="N66" s="2542" t="s">
        <v>1387</v>
      </c>
      <c r="Z66" s="1752"/>
      <c r="AI66" s="1753"/>
    </row>
    <row r="67" spans="1:35" ht="14.25" customHeight="1">
      <c r="A67" s="173" t="s">
        <v>328</v>
      </c>
      <c r="B67" s="174" t="s">
        <v>1388</v>
      </c>
      <c r="C67" s="2566">
        <f ca="1">C63-C66</f>
        <v>17161</v>
      </c>
      <c r="D67" s="170" t="s">
        <v>26</v>
      </c>
      <c r="E67" s="172"/>
      <c r="F67" s="1808"/>
      <c r="G67" s="1808"/>
      <c r="H67" s="1810"/>
      <c r="I67" s="129"/>
      <c r="J67" s="3666"/>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1390</v>
      </c>
      <c r="C68" s="2567">
        <f ca="1">IF(C67&lt;=0,0,ROUND(C67*D68,0))</f>
        <v>961</v>
      </c>
      <c r="D68" s="2568">
        <f>'数据-取费表'!B41</f>
        <v>5.6000000000000001E-2</v>
      </c>
      <c r="E68" s="178"/>
      <c r="F68" s="1808"/>
      <c r="G68" s="1808"/>
      <c r="H68" s="1810"/>
      <c r="I68" s="129"/>
      <c r="J68" s="3666"/>
      <c r="K68" s="1332" t="s">
        <v>1391</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66"/>
      <c r="K69" s="1332" t="s">
        <v>1392</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8" t="s">
        <v>1393</v>
      </c>
      <c r="B70" s="3629"/>
      <c r="C70" s="3629"/>
      <c r="D70" s="3629"/>
      <c r="E70" s="3629"/>
      <c r="F70" s="3629"/>
      <c r="G70" s="3629"/>
      <c r="H70" s="3629"/>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7" t="s">
        <v>1374</v>
      </c>
      <c r="B71" s="3608"/>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17161</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103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02" t="s">
        <v>1401</v>
      </c>
      <c r="F76" s="3576"/>
      <c r="G76" s="3576"/>
      <c r="H76" s="36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103</v>
      </c>
      <c r="D78" s="2575">
        <f>'数据-取费表'!B43</f>
        <v>6.000000000000001E-3</v>
      </c>
      <c r="E78" s="3586" t="s">
        <v>1405</v>
      </c>
      <c r="F78" s="3587"/>
      <c r="G78" s="3587"/>
      <c r="H78" s="35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17058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165.61165048543688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10199</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8" t="s">
        <v>1409</v>
      </c>
      <c r="B83" s="3629"/>
      <c r="C83" s="3629"/>
      <c r="D83" s="3629"/>
      <c r="E83" s="3629"/>
      <c r="F83" s="3629"/>
      <c r="G83" s="3629"/>
      <c r="H83" s="36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7" t="s">
        <v>1374</v>
      </c>
      <c r="B84" s="3608"/>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17161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103</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2327"/>
      <c r="G88" s="194" t="s">
        <v>1413</v>
      </c>
      <c r="H88" s="1824"/>
      <c r="I88" s="1821"/>
      <c r="J88" s="2519"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668" t="s">
        <v>2128</v>
      </c>
      <c r="H90" s="3669"/>
      <c r="I90" s="1821"/>
      <c r="J90" s="2519"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586" t="s">
        <v>1418</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586" t="s">
        <v>1421</v>
      </c>
      <c r="F92" s="3587"/>
      <c r="G92" s="3587"/>
      <c r="H92" s="3596"/>
      <c r="I92" s="1821"/>
      <c r="J92" s="2520"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103</v>
      </c>
      <c r="D93" s="2575">
        <f>'数据-取费表'!B43</f>
        <v>6.000000000000001E-3</v>
      </c>
      <c r="E93" s="3586" t="s">
        <v>1405</v>
      </c>
      <c r="F93" s="3587"/>
      <c r="G93" s="3587"/>
      <c r="H93" s="35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597" t="s">
        <v>1425</v>
      </c>
      <c r="F94" s="3598"/>
      <c r="G94" s="3598"/>
      <c r="H94" s="359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17058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165.61165048543688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10199</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0" t="s">
        <v>1427</v>
      </c>
      <c r="B100" s="3571"/>
      <c r="C100" s="3571"/>
      <c r="D100" s="3588"/>
      <c r="E100" s="3571" t="s">
        <v>1428</v>
      </c>
      <c r="F100" s="3571"/>
      <c r="G100" s="3571"/>
      <c r="H100" s="3588"/>
      <c r="I100" s="129"/>
    </row>
    <row r="101" spans="1:35" ht="18.75" customHeight="1">
      <c r="A101" s="3649" t="s">
        <v>1429</v>
      </c>
      <c r="B101" s="3650"/>
      <c r="C101" s="2583" t="str">
        <f>C4</f>
        <v>成本法</v>
      </c>
      <c r="D101" s="2584" t="str">
        <f>D4</f>
        <v>收益法（汇总）</v>
      </c>
      <c r="E101" s="3663" t="s">
        <v>1430</v>
      </c>
      <c r="F101" s="3620"/>
      <c r="G101" s="1827" t="s">
        <v>1431</v>
      </c>
      <c r="H101" s="2593">
        <f ca="1">H118</f>
        <v>18019</v>
      </c>
      <c r="I101" s="129"/>
    </row>
    <row r="102" spans="1:35" ht="18.75" customHeight="1">
      <c r="A102" s="3622" t="s">
        <v>1432</v>
      </c>
      <c r="B102" s="2582" t="s">
        <v>1431</v>
      </c>
      <c r="C102" s="2583">
        <f ca="1">IF(D32="楼面单价",ROUND(C19,0),C19)</f>
        <v>20331</v>
      </c>
      <c r="D102" s="2584">
        <f ca="1">IF(D32="楼面单价",ROUND(D19,0),D19)</f>
        <v>8769</v>
      </c>
      <c r="E102" s="3663"/>
      <c r="F102" s="3620"/>
      <c r="G102" s="1827" t="s">
        <v>1433</v>
      </c>
      <c r="H102" s="2553">
        <f ca="1">I118</f>
        <v>27519</v>
      </c>
      <c r="I102" s="129"/>
    </row>
    <row r="103" spans="1:35" ht="42.75" customHeight="1">
      <c r="A103" s="3622"/>
      <c r="B103" s="2582" t="s">
        <v>1433</v>
      </c>
      <c r="C103" s="2585">
        <f ca="1">C20</f>
        <v>31050</v>
      </c>
      <c r="D103" s="2586">
        <f ca="1">D20</f>
        <v>13392</v>
      </c>
      <c r="E103" s="3657" t="s">
        <v>1434</v>
      </c>
      <c r="F103" s="3658"/>
      <c r="G103" s="1828" t="s">
        <v>1435</v>
      </c>
      <c r="H103" s="2593">
        <f>IF(D36="正常操作",H104+H105+H106,H105+H106)</f>
        <v>0</v>
      </c>
      <c r="I103" s="129"/>
    </row>
    <row r="104" spans="1:35" ht="18.75" customHeight="1">
      <c r="A104" s="3622" t="s">
        <v>1436</v>
      </c>
      <c r="B104" s="2587" t="s">
        <v>1431</v>
      </c>
      <c r="C104" s="2588">
        <f ca="1">H118</f>
        <v>18019</v>
      </c>
      <c r="D104" s="2589"/>
      <c r="E104" s="1674" t="s">
        <v>1437</v>
      </c>
      <c r="F104" s="1666"/>
      <c r="G104" s="1828" t="s">
        <v>1435</v>
      </c>
      <c r="H104" s="2594">
        <f>IF(D36="同一抵押权人同一抵押物续贷",C36&amp;"（续贷，未扣减，详见特别提示）",C36)</f>
        <v>0</v>
      </c>
      <c r="I104" s="129"/>
    </row>
    <row r="105" spans="1:35" ht="18.75" customHeight="1" thickBot="1">
      <c r="A105" s="3623"/>
      <c r="B105" s="2590" t="s">
        <v>1433</v>
      </c>
      <c r="C105" s="2591">
        <f ca="1">I118</f>
        <v>27519</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19" t="str">
        <f>IF(项目基本情况!E8="已注销","——","3.房地产抵押价值")</f>
        <v>3.房地产抵押价值</v>
      </c>
      <c r="F107" s="3620"/>
      <c r="G107" s="1827" t="s">
        <v>1431</v>
      </c>
      <c r="H107" s="2593">
        <f ca="1">IF(E107="——","——",H101-H103)</f>
        <v>18019</v>
      </c>
      <c r="I107" s="129"/>
    </row>
    <row r="108" spans="1:35" ht="18.75" customHeight="1">
      <c r="A108" s="129"/>
      <c r="B108" s="129"/>
      <c r="C108" s="129"/>
      <c r="D108" s="129"/>
      <c r="E108" s="3619"/>
      <c r="F108" s="3620"/>
      <c r="G108" s="1827" t="s">
        <v>1433</v>
      </c>
      <c r="H108" s="2553">
        <f ca="1">IF(H107=H101,H102,ROUND(H107*10000/'数据-汇总表'!E3,0))</f>
        <v>27519</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620"/>
      <c r="G109" s="1827" t="s">
        <v>1431</v>
      </c>
      <c r="H109" s="2596" t="str">
        <f>IF(E109="——","——",H101-H105-H106)</f>
        <v>——</v>
      </c>
      <c r="I109" s="129"/>
    </row>
    <row r="110" spans="1:35" ht="18.75" customHeight="1">
      <c r="A110" s="129"/>
      <c r="B110" s="129"/>
      <c r="C110" s="129"/>
      <c r="D110" s="129"/>
      <c r="E110" s="3619"/>
      <c r="F110" s="3620"/>
      <c r="G110" s="1827" t="s">
        <v>1433</v>
      </c>
      <c r="H110" s="2553" t="str">
        <f>IF(H109="——","——",ROUND(H109*10000/'数据-汇总表'!E3,0))</f>
        <v>——</v>
      </c>
      <c r="I110" s="129"/>
    </row>
    <row r="111" spans="1:35" ht="18.75" customHeight="1">
      <c r="A111" s="129"/>
      <c r="B111" s="129"/>
      <c r="C111" s="129"/>
      <c r="D111" s="129"/>
      <c r="E111" s="3651" t="str">
        <f>IF(项目基本情况!E9="抵押净值",IF(OR(项目基本情况!E8="已注销",项目基本情况!E8="房地产抵押价值"),"4.抵押净值","5.抵押净值"),"——")</f>
        <v>——</v>
      </c>
      <c r="F111" s="3621"/>
      <c r="G111" s="1827" t="s">
        <v>1431</v>
      </c>
      <c r="H111" s="2593" t="str">
        <f>IF(E111="——","——",N59)</f>
        <v>——</v>
      </c>
      <c r="I111" s="129"/>
    </row>
    <row r="112" spans="1:35" ht="18.75" customHeight="1" thickBot="1">
      <c r="A112" s="129"/>
      <c r="B112" s="129"/>
      <c r="C112" s="129"/>
      <c r="D112" s="129"/>
      <c r="E112" s="3652"/>
      <c r="F112" s="3653"/>
      <c r="G112" s="1830" t="s">
        <v>1433</v>
      </c>
      <c r="H112" s="2597" t="str">
        <f>IF(E111="——","——",N61)</f>
        <v>——</v>
      </c>
      <c r="I112" s="129"/>
    </row>
    <row r="113" spans="1:27" ht="18.75" customHeight="1">
      <c r="A113" s="129"/>
      <c r="B113" s="129"/>
      <c r="C113" s="129"/>
      <c r="D113" s="129"/>
      <c r="E113" s="3624" t="s">
        <v>1439</v>
      </c>
      <c r="F113" s="3624"/>
      <c r="G113" s="3624"/>
      <c r="H113" s="3624"/>
      <c r="I113" s="129"/>
    </row>
    <row r="114" spans="1:27" ht="3.75" customHeight="1">
      <c r="A114" s="1747"/>
      <c r="B114" s="1747"/>
      <c r="C114" s="1747"/>
      <c r="D114" s="1747"/>
      <c r="E114" s="1809"/>
      <c r="F114" s="1809"/>
      <c r="G114" s="1809"/>
      <c r="H114" s="1809"/>
      <c r="I114" s="1747"/>
    </row>
    <row r="115" spans="1:27" ht="18.75" customHeight="1">
      <c r="A115" s="3634" t="s">
        <v>1441</v>
      </c>
      <c r="B115" s="3635"/>
      <c r="C115" s="3635"/>
      <c r="D115" s="3635"/>
      <c r="E115" s="3635"/>
      <c r="F115" s="3635"/>
      <c r="G115" s="3635"/>
      <c r="H115" s="3635"/>
      <c r="I115" s="3636"/>
    </row>
    <row r="116" spans="1:27" ht="27" customHeight="1">
      <c r="A116" s="3590" t="s">
        <v>1442</v>
      </c>
      <c r="B116" s="3625" t="s">
        <v>1443</v>
      </c>
      <c r="C116" s="3625" t="s">
        <v>1444</v>
      </c>
      <c r="D116" s="3638" t="s">
        <v>1445</v>
      </c>
      <c r="E116" s="3639"/>
      <c r="F116" s="3633" t="s">
        <v>1446</v>
      </c>
      <c r="G116" s="3633"/>
      <c r="H116" s="3590" t="s">
        <v>1447</v>
      </c>
      <c r="I116" s="3590"/>
    </row>
    <row r="117" spans="1:27" ht="18.75" customHeight="1">
      <c r="A117" s="3590"/>
      <c r="B117" s="3626"/>
      <c r="C117" s="3626"/>
      <c r="D117" s="2329" t="s">
        <v>1448</v>
      </c>
      <c r="E117" s="2329" t="s">
        <v>1449</v>
      </c>
      <c r="F117" s="2329" t="s">
        <v>1448</v>
      </c>
      <c r="G117" s="2329" t="s">
        <v>1450</v>
      </c>
      <c r="H117" s="2329" t="s">
        <v>1448</v>
      </c>
      <c r="I117" s="2329" t="s">
        <v>1450</v>
      </c>
    </row>
    <row r="118" spans="1:27" ht="24.75" customHeight="1">
      <c r="A118" s="2598" t="str">
        <f>项目基本情况!S2</f>
        <v>北京市朝阳区朝阳区门外大街18号房地产</v>
      </c>
      <c r="B118" s="2329">
        <f>M18</f>
        <v>6547.83</v>
      </c>
      <c r="C118" s="2329">
        <f>M19</f>
        <v>750.35</v>
      </c>
      <c r="D118" s="2329">
        <f ca="1">ROUND(IF(D32="总价",C34,E118*B118/10000),0)</f>
        <v>14163</v>
      </c>
      <c r="E118" s="2329">
        <f ca="1">ROUND(IF(C33="自定义",IF(D32="楼面单价",C34,D118*10000/B118),I118-G118),0)</f>
        <v>21630</v>
      </c>
      <c r="F118" s="2329">
        <f ca="1">ROUND(IF(D32="总价",C35,G118*B118/10000),0)</f>
        <v>3856</v>
      </c>
      <c r="G118" s="2329">
        <f ca="1">ROUND(IF(D32="楼面单价",C35,F118*10000/B118),0)</f>
        <v>5889</v>
      </c>
      <c r="H118" s="2329">
        <f ca="1">ROUND(IF(D32="总价",C32,I118*B118/10000),0)</f>
        <v>18019</v>
      </c>
      <c r="I118" s="2329">
        <f ca="1">ROUND(IF(D32="楼面单价",C32,H118*10000/B118),0)</f>
        <v>27519</v>
      </c>
    </row>
    <row r="119" spans="1:27" ht="18.75" customHeight="1">
      <c r="A119" s="3590" t="s">
        <v>1451</v>
      </c>
      <c r="B119" s="3590"/>
      <c r="C119" s="3590"/>
      <c r="D119" s="3630" t="str">
        <f ca="1">NUMBERSTRING(INT(D118*10000),2)&amp;"元整"</f>
        <v>壹亿肆仟壹佰陆拾叁万元整</v>
      </c>
      <c r="E119" s="3632"/>
      <c r="F119" s="3630" t="str">
        <f ca="1">NUMBERSTRING(INT(F118*10000),2)&amp;"元整"</f>
        <v>叁仟捌佰伍拾陆万元整</v>
      </c>
      <c r="G119" s="3632"/>
      <c r="H119" s="3630" t="str">
        <f ca="1">NUMBERSTRING(INT(H118*10000),2)&amp;"元整"</f>
        <v>壹亿捌仟零壹拾玖万元整</v>
      </c>
      <c r="I119" s="3632"/>
    </row>
    <row r="120" spans="1:27" ht="18.75" customHeight="1">
      <c r="A120" s="3654" t="str">
        <f>IF(项目基本情况!B9="房地产市场价值","",MID(E103,3,LEN(E103)-2))</f>
        <v>估价师知悉的法定优先受偿款</v>
      </c>
      <c r="B120" s="3655"/>
      <c r="C120" s="3656"/>
      <c r="D120" s="3654">
        <f>H103</f>
        <v>0</v>
      </c>
      <c r="E120" s="3655"/>
      <c r="F120" s="3655"/>
      <c r="G120" s="3655"/>
      <c r="H120" s="3655"/>
      <c r="I120" s="36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0" t="s">
        <v>1451</v>
      </c>
      <c r="B121" s="3631"/>
      <c r="C121" s="3632"/>
      <c r="D121" s="3630" t="str">
        <f>IF(D120=0,"零元整",NUMBERSTRING(INT(D120*10000),2)&amp;"元整")</f>
        <v>零元整</v>
      </c>
      <c r="E121" s="3631"/>
      <c r="F121" s="3631"/>
      <c r="G121" s="3631"/>
      <c r="H121" s="3631"/>
      <c r="I121" s="3632"/>
      <c r="AA121" s="725"/>
    </row>
    <row r="122" spans="1:27" ht="18.75" customHeight="1">
      <c r="A122" s="3621" t="str">
        <f>IF(项目基本情况!B9="房地产市场价值","",MID(E107,3,LEN(E107)-2))</f>
        <v>房地产抵押价值</v>
      </c>
      <c r="B122" s="3621"/>
      <c r="C122" s="3621"/>
      <c r="D122" s="3654">
        <f ca="1">H107</f>
        <v>18019</v>
      </c>
      <c r="E122" s="3655"/>
      <c r="F122" s="3655"/>
      <c r="G122" s="3655"/>
      <c r="H122" s="3655"/>
      <c r="I122" s="3656"/>
      <c r="AA122" s="725"/>
    </row>
    <row r="123" spans="1:27" ht="18.75" customHeight="1">
      <c r="A123" s="3590" t="s">
        <v>1451</v>
      </c>
      <c r="B123" s="3590"/>
      <c r="C123" s="3590"/>
      <c r="D123" s="3630" t="str">
        <f ca="1">NUMBERSTRING(INT(D122*10000),2)&amp;"元整"</f>
        <v>壹亿捌仟零壹拾玖万元整</v>
      </c>
      <c r="E123" s="3631"/>
      <c r="F123" s="3631"/>
      <c r="G123" s="3631"/>
      <c r="H123" s="3631"/>
      <c r="I123" s="3632"/>
      <c r="AA123" s="725"/>
    </row>
    <row r="124" spans="1:27" ht="18.75" customHeight="1">
      <c r="A124" s="3621" t="str">
        <f>IF(项目基本情况!B9="房地产市场价值","",MID(E109,3,LEN(E109)-2))</f>
        <v/>
      </c>
      <c r="B124" s="3621"/>
      <c r="C124" s="3621"/>
      <c r="D124" s="3654" t="str">
        <f>H109</f>
        <v>——</v>
      </c>
      <c r="E124" s="3655"/>
      <c r="F124" s="3655"/>
      <c r="G124" s="3655"/>
      <c r="H124" s="3655"/>
      <c r="I124" s="3656"/>
      <c r="AA124" s="725"/>
    </row>
    <row r="125" spans="1:27" ht="18.75" customHeight="1">
      <c r="A125" s="3590" t="s">
        <v>1451</v>
      </c>
      <c r="B125" s="3590"/>
      <c r="C125" s="3590"/>
      <c r="D125" s="3630" t="e">
        <f>NUMBERSTRING(INT(D124*10000),2)&amp;"元整"</f>
        <v>#VALUE!</v>
      </c>
      <c r="E125" s="3631"/>
      <c r="F125" s="3631"/>
      <c r="G125" s="3631"/>
      <c r="H125" s="3631"/>
      <c r="I125" s="3632"/>
      <c r="AA125" s="725"/>
    </row>
    <row r="126" spans="1:27" ht="18.75" customHeight="1">
      <c r="A126" s="3621" t="str">
        <f>IF(项目基本情况!B9="房地产市场价值","",MID(E111,3,LEN(E111)-2))</f>
        <v/>
      </c>
      <c r="B126" s="3621"/>
      <c r="C126" s="3621"/>
      <c r="D126" s="3654" t="str">
        <f>H111</f>
        <v>——</v>
      </c>
      <c r="E126" s="3655"/>
      <c r="F126" s="3655"/>
      <c r="G126" s="3655"/>
      <c r="H126" s="3655"/>
      <c r="I126" s="3656"/>
      <c r="AA126" s="725"/>
    </row>
    <row r="127" spans="1:27" ht="18.75" customHeight="1">
      <c r="A127" s="3590" t="s">
        <v>1451</v>
      </c>
      <c r="B127" s="3590"/>
      <c r="C127" s="3590"/>
      <c r="D127" s="3630" t="e">
        <f>NUMBERSTRING(INT(D126*10000),2)&amp;"元整"</f>
        <v>#VALUE!</v>
      </c>
      <c r="E127" s="3631"/>
      <c r="F127" s="3631"/>
      <c r="G127" s="3631"/>
      <c r="H127" s="3631"/>
      <c r="I127" s="3632"/>
      <c r="AA127" s="725"/>
    </row>
    <row r="128" spans="1:27" ht="21.75" customHeight="1">
      <c r="A128" s="3637" t="s">
        <v>1452</v>
      </c>
      <c r="B128" s="3637"/>
      <c r="C128" s="3637"/>
      <c r="D128" s="3637"/>
      <c r="E128" s="3637"/>
      <c r="F128" s="3637"/>
      <c r="G128" s="3637"/>
      <c r="H128" s="3637"/>
      <c r="I128" s="3637"/>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115" zoomScaleNormal="80" zoomScaleSheetLayoutView="115" workbookViewId="0">
      <selection activeCell="A8" sqref="A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6547.83</v>
      </c>
      <c r="E1" s="1995"/>
      <c r="F1" s="1995"/>
      <c r="G1" s="1995"/>
      <c r="H1" s="1995"/>
      <c r="I1" s="1995"/>
      <c r="J1" s="1995"/>
      <c r="K1" s="1119"/>
      <c r="L1" s="1996" t="s">
        <v>1927</v>
      </c>
      <c r="M1" s="863">
        <f>SUMPRODUCT((区片价!B5:B9=I2)*(区片价!C3:G3=E2)*(区片价!C5:G9))</f>
        <v>32630</v>
      </c>
      <c r="N1" s="866">
        <f>SUMPRODUCT((因素修正幅度!B5:B9=I2)*(因素修正幅度!C3:G3=E2)*(因素修正幅度!C5:G9))</f>
        <v>8.1000000000000003E-2</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20" t="s">
        <v>673</v>
      </c>
      <c r="F2" s="2000" t="s">
        <v>1936</v>
      </c>
      <c r="G2" s="2001" t="str">
        <f>IF(E2="商业",项目基本情况!B37,IF(E2="办公",项目基本情况!C37,IF(E2="住宅",项目基本情况!D37,IF(E2="工业",项目基本情况!E37,项目基本情况!F37))))</f>
        <v>一级</v>
      </c>
      <c r="H2" s="2000" t="s">
        <v>1937</v>
      </c>
      <c r="I2" s="2001" t="str">
        <f>IF(E2="商业",项目基本情况!B38,IF(E2="办公",项目基本情况!C38,IF(E2="住宅",项目基本情况!D38,IF(E2="工业",项目基本情况!E38,项目基本情况!F38))))</f>
        <v>Ⅰ—04</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1.5206</v>
      </c>
      <c r="T2" s="3359">
        <f t="shared" ref="T2:T16" si="0">ROUND($C$5*$C$22*$C$23*$C$24*S2*$C$28,0)</f>
        <v>27810</v>
      </c>
      <c r="U2" s="1213"/>
      <c r="V2" s="3359">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0</v>
      </c>
      <c r="C3" s="1999" t="s">
        <v>1940</v>
      </c>
      <c r="D3" s="2000" t="s">
        <v>1941</v>
      </c>
      <c r="E3" s="3418" t="s">
        <v>2437</v>
      </c>
      <c r="F3" s="2004" t="s">
        <v>3405</v>
      </c>
      <c r="G3" s="752">
        <f>IF(F3="宗地容积率",'数据-汇总表'!I4,IF(F3="估价对象容积率",'数据-汇总表'!I6,'数据-汇总表'!I7))</f>
        <v>8.73</v>
      </c>
      <c r="H3" s="170" t="s">
        <v>1942</v>
      </c>
      <c r="I3" s="775">
        <v>4</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22078</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677"/>
      <c r="B4" s="3678"/>
      <c r="C4" s="3678"/>
      <c r="D4" s="3679"/>
      <c r="E4" s="3679"/>
      <c r="F4" s="3679"/>
      <c r="G4" s="3679"/>
      <c r="H4" s="3679"/>
      <c r="I4" s="3679"/>
      <c r="J4" s="3680"/>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19077</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33429</v>
      </c>
      <c r="D5" s="1339">
        <f>ROUND(C6*C17+C20,0)</f>
        <v>32613</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17263</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32630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16453</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3237</v>
      </c>
      <c r="B7" s="2021" t="s">
        <v>1951</v>
      </c>
      <c r="C7" s="755">
        <f>IF(C8="不临65条商业街",1,ROUND(1+(1.6*E8+1.2*E9+0.8*E10+0.4*E11)*C9,4))</f>
        <v>1.0249999999999999</v>
      </c>
      <c r="D7" s="2022" t="s">
        <v>1952</v>
      </c>
      <c r="E7" s="776">
        <v>60</v>
      </c>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一级</v>
      </c>
      <c r="Y7" s="1214" t="s">
        <v>1955</v>
      </c>
      <c r="Z7" s="1215">
        <f>G3</f>
        <v>8.73</v>
      </c>
      <c r="AA7" s="1216"/>
      <c r="AB7" s="1216"/>
      <c r="AC7" s="1217"/>
      <c r="AD7" s="1218"/>
      <c r="AE7" s="1218"/>
      <c r="AF7" s="1218"/>
      <c r="AG7" s="1218"/>
      <c r="AH7" s="1218"/>
      <c r="AI7" s="1218"/>
      <c r="AJ7" s="1219"/>
    </row>
    <row r="8" spans="1:36" ht="15">
      <c r="A8" s="3297"/>
      <c r="B8" s="170" t="s">
        <v>1956</v>
      </c>
      <c r="C8" s="2026" t="s">
        <v>3406</v>
      </c>
      <c r="D8" s="756" t="s">
        <v>112</v>
      </c>
      <c r="E8" s="757">
        <f>ROUND(C11/E7,4)</f>
        <v>6.25E-2</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674" t="s">
        <v>1959</v>
      </c>
      <c r="X8" s="367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0.1</v>
      </c>
      <c r="D9" s="171" t="s">
        <v>113</v>
      </c>
      <c r="E9" s="171">
        <f>ROUND(C11/E7,4)</f>
        <v>6.25E-2</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676"/>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15</v>
      </c>
      <c r="D10" s="171" t="s">
        <v>114</v>
      </c>
      <c r="E10" s="171">
        <f>ROUND(C11/E7,4)</f>
        <v>6.25E-2</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67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3.75</v>
      </c>
      <c r="D11" s="759" t="s">
        <v>115</v>
      </c>
      <c r="E11" s="759">
        <f>ROUND(C11/E7,4)</f>
        <v>6.25E-2</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3238</v>
      </c>
      <c r="B12" s="3303" t="s">
        <v>3239</v>
      </c>
      <c r="C12" s="3304"/>
      <c r="D12" s="3305" t="s">
        <v>3240</v>
      </c>
      <c r="E12" s="3306" t="s">
        <v>3241</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3242</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3243</v>
      </c>
      <c r="G14" s="3310" t="s">
        <v>3243</v>
      </c>
      <c r="H14" s="3310" t="s">
        <v>3243</v>
      </c>
      <c r="I14" s="3310" t="s">
        <v>3243</v>
      </c>
      <c r="J14" s="3310" t="s">
        <v>3243</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3244</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3245</v>
      </c>
      <c r="B17" s="3319" t="s">
        <v>3246</v>
      </c>
      <c r="C17" s="3329">
        <f>ROUND(IF(OR(E2="工业",E2="公共服务"),1,IF(AND(E18=0,E19=0),1,IF(AND(E18=J24,E19=G19),0.8,IF(E19=0,1+E17*(-0.2),1+E17*G17*(-0.2))))),4)</f>
        <v>1</v>
      </c>
      <c r="D17" s="3320" t="s">
        <v>3247</v>
      </c>
      <c r="E17" s="3329">
        <f>ROUND(G18/I18,2)</f>
        <v>0</v>
      </c>
      <c r="F17" s="3320" t="s">
        <v>3250</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3248</v>
      </c>
      <c r="E18" s="3327"/>
      <c r="F18" s="3322" t="s">
        <v>3251</v>
      </c>
      <c r="G18" s="3326">
        <f>ROUND(1-(1/(POWER(1+G24,E18))),4)</f>
        <v>0</v>
      </c>
      <c r="H18" s="3322" t="s">
        <v>3253</v>
      </c>
      <c r="I18" s="3326">
        <f>ROUND(1-(1/(POWER(1+G24,J24))),4)</f>
        <v>0.88249999999999995</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3249</v>
      </c>
      <c r="E19" s="3336"/>
      <c r="F19" s="3337" t="s">
        <v>3252</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681" t="s">
        <v>3254</v>
      </c>
      <c r="B20" s="167" t="s">
        <v>1993</v>
      </c>
      <c r="C20" s="3323">
        <f>ROUND(IF(F21="与级别开发程度一致",0,(G21-E21)/C21),0)</f>
        <v>-17</v>
      </c>
      <c r="D20" s="3339" t="s">
        <v>1997</v>
      </c>
      <c r="E20" s="3340"/>
      <c r="F20" s="3687" t="s">
        <v>1994</v>
      </c>
      <c r="G20" s="3688"/>
      <c r="H20" s="3324" t="s">
        <v>3385</v>
      </c>
      <c r="I20" s="3324" t="s">
        <v>3386</v>
      </c>
      <c r="J20" s="3325" t="s">
        <v>3387</v>
      </c>
      <c r="K20" s="2047" t="s">
        <v>3388</v>
      </c>
      <c r="L20" s="2047" t="s">
        <v>3389</v>
      </c>
      <c r="M20" s="2047" t="s">
        <v>3470</v>
      </c>
      <c r="N20" s="2047" t="s">
        <v>3390</v>
      </c>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682"/>
      <c r="B21" s="2164" t="s">
        <v>1996</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3407</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50</v>
      </c>
      <c r="N21" s="2165">
        <f>SUMPRODUCT((七通一平=N20)*(修正!B1:M1=G2)*(修正!B8:M16))</f>
        <v>20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4" t="s">
        <v>2001</v>
      </c>
      <c r="E23" s="761">
        <v>44197</v>
      </c>
      <c r="F23" s="2054" t="s">
        <v>2002</v>
      </c>
      <c r="G23" s="762">
        <f>'数据-取费表'!B2</f>
        <v>45051</v>
      </c>
      <c r="H23" s="3341" t="s">
        <v>3256</v>
      </c>
      <c r="I23" s="3342" t="str">
        <f>IF(H23="季度增幅（自定义）",SUMIF(N25:N28,E2,O25:O28),"")</f>
        <v/>
      </c>
      <c r="J23" s="3444" t="s">
        <v>3255</v>
      </c>
      <c r="K23" s="1125"/>
      <c r="L23" s="2055" t="s">
        <v>2003</v>
      </c>
      <c r="M23" s="1328">
        <f>ROUND(SUMIF(地价!B2:G2,E2,地价!B16:G16),0)</f>
        <v>350</v>
      </c>
      <c r="N23" s="2056" t="s">
        <v>2004</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0.49590000000000001</v>
      </c>
      <c r="D24" s="2060" t="s">
        <v>2006</v>
      </c>
      <c r="E24" s="1335">
        <f>存贷款利率!E22/100</f>
        <v>4.3499999999999997E-2</v>
      </c>
      <c r="F24" s="2060" t="s">
        <v>1998</v>
      </c>
      <c r="G24" s="768">
        <f>SUMIF(M30:Q30,E2,M33:Q33)</f>
        <v>5.5E-2</v>
      </c>
      <c r="H24" s="2060" t="s">
        <v>2007</v>
      </c>
      <c r="I24" s="769">
        <f>SUMIF('数据-取费表'!C6:C15,E2,'数据-取费表'!F6:F15)/COUNTIF('数据-取费表'!C6:C15,E2)</f>
        <v>10.75</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3408</v>
      </c>
      <c r="C25" s="771">
        <f>IF(B25="容积率修正",IF(G3&lt;10,D26,J26),C27)</f>
        <v>0.94389999999999996</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3257</v>
      </c>
      <c r="D26" s="1352">
        <f>IF(E26=G26,F26,IF(G3&lt;10,ROUND(F26+(H26-F26)*(G3-E26)/(G26-E26),4),"——"))</f>
        <v>0.90139999999999998</v>
      </c>
      <c r="E26" s="752">
        <f>ROUNDDOWN(G3,1)</f>
        <v>8.6999999999999993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0.90180000000000005</v>
      </c>
      <c r="G26" s="752">
        <f>ROUNDUP(G3,1)</f>
        <v>8.7999999999999989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0.90059999999999996</v>
      </c>
      <c r="I26" s="3343" t="s">
        <v>3258</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0.94389999999999996</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1.0684</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9" t="s">
        <v>1935</v>
      </c>
      <c r="M30" s="3350" t="s">
        <v>1989</v>
      </c>
      <c r="N30" s="3350" t="s">
        <v>1990</v>
      </c>
      <c r="O30" s="3350" t="s">
        <v>1991</v>
      </c>
      <c r="P30" s="3350" t="s">
        <v>1992</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17263</v>
      </c>
      <c r="D33" s="2098">
        <f>'数据-汇总表'!E3</f>
        <v>6547.83</v>
      </c>
      <c r="E33" s="773">
        <f>ROUND(C33*D33/10000,0)</f>
        <v>11304</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3265</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5"/>
      <c r="B37" s="2113" t="s">
        <v>2035</v>
      </c>
      <c r="C37" s="175">
        <f>ROUND(D5*C22*C23*C24*C28*F37,0)</f>
        <v>12490</v>
      </c>
      <c r="D37" s="2098"/>
      <c r="E37" s="171">
        <f>ROUND(C37*D37/10000,0)</f>
        <v>0</v>
      </c>
      <c r="F37" s="171">
        <f>SUMIF(修正!A57:A68,G2,修正!B57:B68)</f>
        <v>0.7</v>
      </c>
      <c r="G37" s="171">
        <f>ROUND(IF(E2="工业",C37*$M$42,C37*$M$41),0)</f>
        <v>3123</v>
      </c>
      <c r="H37" s="171">
        <f>D37</f>
        <v>0</v>
      </c>
      <c r="I37" s="171">
        <f>ROUND(G37*H37/10000,0)</f>
        <v>0</v>
      </c>
      <c r="J37" s="3010"/>
      <c r="K37" s="3357" t="s">
        <v>3266</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6"/>
      <c r="B38" s="2041" t="s">
        <v>2036</v>
      </c>
      <c r="C38" s="175">
        <f>ROUND(D5*C22*C23*C24*C28*F38,0)</f>
        <v>7137</v>
      </c>
      <c r="D38" s="2098"/>
      <c r="E38" s="171">
        <f t="shared" ref="E38:E42" si="4">ROUND(C38*D38/10000,0)</f>
        <v>0</v>
      </c>
      <c r="F38" s="171">
        <f>SUMIF(修正!A57:A68,G2,修正!C57:C68)</f>
        <v>0.4</v>
      </c>
      <c r="G38" s="171">
        <f>ROUND(IF(E2="工业",C38*$M$42,C38*$M$41),0)</f>
        <v>1784</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686"/>
      <c r="B39" s="2041" t="s">
        <v>3259</v>
      </c>
      <c r="C39" s="175">
        <f>ROUND(D5*C22*C23*C24*C28*F39,0)</f>
        <v>5353</v>
      </c>
      <c r="D39" s="2098"/>
      <c r="E39" s="171">
        <f t="shared" si="4"/>
        <v>0</v>
      </c>
      <c r="F39" s="171">
        <f>SUMIF(修正!A57:A68,G2,修正!D57:D68)</f>
        <v>0.3</v>
      </c>
      <c r="G39" s="171">
        <f>ROUND(IF(E2="工业",C39*$M$42,C39*$M$41),0)</f>
        <v>1338</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5353</v>
      </c>
      <c r="D40" s="2098"/>
      <c r="E40" s="171">
        <f t="shared" si="4"/>
        <v>0</v>
      </c>
      <c r="F40" s="175">
        <f>SUMIF(修正!A57:A68,G2,修正!E57:E68)</f>
        <v>0.3</v>
      </c>
      <c r="G40" s="171">
        <f>ROUND(IF(E2="工业",C40*$M$42,C40*$M$41),0)</f>
        <v>1338</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1.0684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51">
      <c r="A50" s="2130" t="s">
        <v>2051</v>
      </c>
      <c r="B50" s="2133" t="str">
        <f>估价对象房地状况!C4</f>
        <v>估价对象位于朝阳门商圈，周边商业氛围成熟，有悠唐购物中心、银河SOHO等购物中心，人流量大，商业繁华度好</v>
      </c>
      <c r="C50" s="2044" t="s">
        <v>3409</v>
      </c>
      <c r="D50" s="1065">
        <f t="shared" ref="D50:D58" si="7">SUMIF($J$49:$N$49,C50,J50:N50)</f>
        <v>2.4199999999999999E-2</v>
      </c>
      <c r="E50" s="744">
        <f>ROUND(SUM(D50:D58),4)</f>
        <v>6.8400000000000002E-2</v>
      </c>
      <c r="F50" s="1814">
        <f>IF(E2="商业",SUMIF(L1:L12,G2,N1:N12),"——")</f>
        <v>8.1000000000000003E-2</v>
      </c>
      <c r="G50" s="1063">
        <v>1.21E-2</v>
      </c>
      <c r="H50" s="1066">
        <f t="shared" ref="H50:H58" si="8">IFERROR(ROUNDDOWN($F$50*I50/2,4),"——")</f>
        <v>1.21E-2</v>
      </c>
      <c r="I50" s="3365">
        <v>0.3</v>
      </c>
      <c r="J50" s="1064">
        <f t="shared" ref="J50:J58" si="9">K50+$G50</f>
        <v>2.4199999999999999E-2</v>
      </c>
      <c r="K50" s="1064">
        <f t="shared" ref="K50:K58" si="10">$L50+$G50</f>
        <v>1.21E-2</v>
      </c>
      <c r="L50" s="1064">
        <v>0</v>
      </c>
      <c r="M50" s="1064">
        <f t="shared" ref="M50:N58" si="11">L50-$G50</f>
        <v>-1.21E-2</v>
      </c>
      <c r="N50" s="1064">
        <f t="shared" si="11"/>
        <v>-2.4199999999999999E-2</v>
      </c>
      <c r="AA50" s="1120"/>
      <c r="AB50" s="1120"/>
      <c r="AC50" s="1120"/>
      <c r="AD50" s="1120"/>
      <c r="AE50" s="1120"/>
      <c r="AF50" s="1120"/>
      <c r="AG50" s="1120"/>
      <c r="AH50" s="1120"/>
      <c r="AI50" s="1120"/>
      <c r="AJ50" s="1120"/>
      <c r="AK50" s="1120"/>
    </row>
    <row r="51" spans="1:37" s="1119" customFormat="1" ht="51">
      <c r="A51" s="2130" t="s">
        <v>2052</v>
      </c>
      <c r="B51" s="2134" t="str">
        <f>估价对象房地状况!C18</f>
        <v>周边有75、110、420路及地铁2号、6号线，周边道路密集，停车便捷程度，综合评价交通便捷度好</v>
      </c>
      <c r="C51" s="2044" t="s">
        <v>3409</v>
      </c>
      <c r="D51" s="1065">
        <f t="shared" si="7"/>
        <v>1.78E-2</v>
      </c>
      <c r="E51" s="745"/>
      <c r="F51" s="1814"/>
      <c r="G51" s="1063">
        <v>8.8999999999999999E-3</v>
      </c>
      <c r="H51" s="1066">
        <f t="shared" si="8"/>
        <v>8.8999999999999999E-3</v>
      </c>
      <c r="I51" s="3365">
        <v>0.22</v>
      </c>
      <c r="J51" s="1064">
        <f t="shared" si="9"/>
        <v>1.78E-2</v>
      </c>
      <c r="K51" s="1064">
        <f t="shared" si="10"/>
        <v>8.8999999999999999E-3</v>
      </c>
      <c r="L51" s="1064">
        <v>0</v>
      </c>
      <c r="M51" s="1064">
        <f t="shared" si="11"/>
        <v>-8.8999999999999999E-3</v>
      </c>
      <c r="N51" s="1064">
        <f t="shared" si="11"/>
        <v>-1.78E-2</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t="s">
        <v>3410</v>
      </c>
      <c r="D52" s="1065">
        <f t="shared" si="7"/>
        <v>4.7999999999999996E-3</v>
      </c>
      <c r="E52" s="745"/>
      <c r="F52" s="1814"/>
      <c r="G52" s="1063">
        <v>4.7999999999999996E-3</v>
      </c>
      <c r="H52" s="1066">
        <f t="shared" si="8"/>
        <v>4.7999999999999996E-3</v>
      </c>
      <c r="I52" s="3365">
        <v>0.12</v>
      </c>
      <c r="J52" s="1064">
        <f t="shared" si="9"/>
        <v>9.5999999999999992E-3</v>
      </c>
      <c r="K52" s="1064">
        <f t="shared" si="10"/>
        <v>4.7999999999999996E-3</v>
      </c>
      <c r="L52" s="1064">
        <v>0</v>
      </c>
      <c r="M52" s="1064">
        <f t="shared" si="11"/>
        <v>-4.7999999999999996E-3</v>
      </c>
      <c r="N52" s="1064">
        <f t="shared" si="11"/>
        <v>-9.5999999999999992E-3</v>
      </c>
      <c r="AA52" s="1120"/>
      <c r="AB52" s="1120"/>
      <c r="AC52" s="1120"/>
      <c r="AD52" s="1120"/>
      <c r="AE52" s="1120"/>
      <c r="AF52" s="1120"/>
      <c r="AG52" s="1120"/>
      <c r="AH52" s="1120"/>
      <c r="AI52" s="1120"/>
      <c r="AJ52" s="1120"/>
      <c r="AK52" s="1120"/>
    </row>
    <row r="53" spans="1:37" s="1119" customFormat="1" ht="36.75">
      <c r="A53" s="2130" t="s">
        <v>2053</v>
      </c>
      <c r="B53" s="2135" t="s">
        <v>2054</v>
      </c>
      <c r="C53" s="2044" t="s">
        <v>3410</v>
      </c>
      <c r="D53" s="1065">
        <f t="shared" si="7"/>
        <v>2E-3</v>
      </c>
      <c r="E53" s="745"/>
      <c r="F53" s="1814"/>
      <c r="G53" s="1063">
        <v>2E-3</v>
      </c>
      <c r="H53" s="1066">
        <f t="shared" si="8"/>
        <v>2E-3</v>
      </c>
      <c r="I53" s="3365">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2055</v>
      </c>
      <c r="B54" s="2134" t="str">
        <f>估价对象房地状况!C24</f>
        <v>城市主干道——朝阳门外大街</v>
      </c>
      <c r="C54" s="2044" t="s">
        <v>3410</v>
      </c>
      <c r="D54" s="1065">
        <f t="shared" si="7"/>
        <v>3.2000000000000002E-3</v>
      </c>
      <c r="E54" s="745"/>
      <c r="F54" s="1814"/>
      <c r="G54" s="1063">
        <v>3.2000000000000002E-3</v>
      </c>
      <c r="H54" s="1066">
        <f t="shared" si="8"/>
        <v>3.2000000000000002E-3</v>
      </c>
      <c r="I54" s="3365">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30" t="s">
        <v>2056</v>
      </c>
      <c r="B55" s="2136" t="s">
        <v>2057</v>
      </c>
      <c r="C55" s="2044" t="s">
        <v>3409</v>
      </c>
      <c r="D55" s="1065">
        <f t="shared" si="7"/>
        <v>4.0000000000000001E-3</v>
      </c>
      <c r="E55" s="745"/>
      <c r="F55" s="1814"/>
      <c r="G55" s="1063">
        <v>2E-3</v>
      </c>
      <c r="H55" s="1066">
        <f t="shared" si="8"/>
        <v>2E-3</v>
      </c>
      <c r="I55" s="3365">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51">
      <c r="A56" s="2137" t="s">
        <v>2058</v>
      </c>
      <c r="B56" s="1326" t="str">
        <f>估价对象房地状况!C21</f>
        <v>估价对象所在区域银行、购物场所、学校等公共配套设施齐备，综合评价公共配套设施水平好。</v>
      </c>
      <c r="C56" s="2044" t="s">
        <v>3409</v>
      </c>
      <c r="D56" s="1065">
        <f t="shared" si="7"/>
        <v>4.0000000000000001E-3</v>
      </c>
      <c r="E56" s="745"/>
      <c r="F56" s="1814"/>
      <c r="G56" s="1063">
        <v>2E-3</v>
      </c>
      <c r="H56" s="1066">
        <f t="shared" si="8"/>
        <v>2E-3</v>
      </c>
      <c r="I56" s="3365">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估价对象所在区域基础设施水平“七通一平</v>
      </c>
      <c r="C57" s="2044" t="s">
        <v>3409</v>
      </c>
      <c r="D57" s="1065">
        <f t="shared" si="7"/>
        <v>6.4000000000000003E-3</v>
      </c>
      <c r="E57" s="745"/>
      <c r="F57" s="1814"/>
      <c r="G57" s="1063">
        <v>3.2000000000000002E-3</v>
      </c>
      <c r="H57" s="1066">
        <f t="shared" si="8"/>
        <v>3.2000000000000002E-3</v>
      </c>
      <c r="I57" s="3365">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51.75" thickBot="1">
      <c r="A58" s="2138" t="s">
        <v>2060</v>
      </c>
      <c r="B58" s="2139" t="str">
        <f>估价对象房地状况!C20</f>
        <v>区域内有东城职业大学、日坛公园、富国海底世界等自然及人文环境，综合评价自然及人文环境状况较好。</v>
      </c>
      <c r="C58" s="2044" t="s">
        <v>3410</v>
      </c>
      <c r="D58" s="1065">
        <f t="shared" si="7"/>
        <v>2E-3</v>
      </c>
      <c r="E58" s="746"/>
      <c r="F58" s="1814"/>
      <c r="G58" s="1063">
        <v>2E-3</v>
      </c>
      <c r="H58" s="1066">
        <f t="shared" si="8"/>
        <v>2E-3</v>
      </c>
      <c r="I58" s="3366">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1">
      <c r="A62" s="2130" t="s">
        <v>2052</v>
      </c>
      <c r="B62" s="2134" t="str">
        <f>估价对象房地状况!C18</f>
        <v>周边有75、110、420路及地铁2号、6号线，周边道路密集，停车便捷程度，综合评价交通便捷度好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t="str">
        <f>估价对象房地状况!C24</f>
        <v>城市主干道——朝阳门外大街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51">
      <c r="A67" s="2130" t="s">
        <v>2058</v>
      </c>
      <c r="B67" s="1326" t="str">
        <f>估价对象房地状况!C21</f>
        <v>估价对象所在区域银行、购物场所、学校等公共配套设施齐备，综合评价公共配套设施水平好。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估价对象所在区域基础设施水平“七通一平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thickBot="1">
      <c r="A69" s="2138" t="s">
        <v>2060</v>
      </c>
      <c r="B69" s="2140" t="str">
        <f>估价对象房地状况!C20</f>
        <v>区域内有东城职业大学、日坛公园、富国海底世界等自然及人文环境，综合评价自然及人文环境状况较好。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1">
      <c r="A73" s="2130" t="s">
        <v>2052</v>
      </c>
      <c r="B73" s="2134" t="str">
        <f>估价对象房地状况!C18</f>
        <v>周边有75、110、420路及地铁2号、6号线，周边道路密集，停车便捷程度，综合评价交通便捷度好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t="str">
        <f>估价对象房地状况!C24</f>
        <v>城市主干道——朝阳门外大街</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51">
      <c r="A76" s="2130" t="s">
        <v>2058</v>
      </c>
      <c r="B76" s="1326" t="str">
        <f>估价对象房地状况!C21</f>
        <v>估价对象所在区域银行、购物场所、学校等公共配套设施齐备，综合评价公共配套设施水平好。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估价对象所在区域基础设施水平“七通一平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51">
      <c r="A79" s="2130" t="s">
        <v>2060</v>
      </c>
      <c r="B79" s="2133" t="str">
        <f>估价对象房地状况!C20</f>
        <v>区域内有东城职业大学、日坛公园、富国海底世界等自然及人文环境，综合评价自然及人文环境状况较好。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2610</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1">
      <c r="A94" s="3377" t="s">
        <v>3273</v>
      </c>
      <c r="B94" s="3368" t="str">
        <f>估价对象房地状况!C18</f>
        <v>周边有75、110、420路及地铁2号、6号线，周边道路密集，停车便捷程度，综合评价交通便捷度好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3269</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3274</v>
      </c>
      <c r="B96" s="3383" t="s">
        <v>3285</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3275</v>
      </c>
      <c r="B97" s="3368" t="str">
        <f>估价对象房地状况!C24</f>
        <v>城市主干道——朝阳门外大街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3276</v>
      </c>
      <c r="B98" s="3384" t="s">
        <v>3286</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51">
      <c r="A99" s="3377" t="s">
        <v>3277</v>
      </c>
      <c r="B99" s="3368" t="str">
        <f>估价对象房地状况!C21</f>
        <v>估价对象所在区域银行、购物场所、学校等公共配套设施齐备，综合评价公共配套设施水平好。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3278</v>
      </c>
      <c r="B100" s="3368" t="str">
        <f>估价对象房地状况!C22</f>
        <v>估价对象所在区域基础设施水平“七通一平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51.75" thickBot="1">
      <c r="A101" s="3378" t="s">
        <v>3279</v>
      </c>
      <c r="B101" s="3385" t="str">
        <f>估价对象房地状况!C20</f>
        <v>区域内有东城职业大学、日坛公园、富国海底世界等自然及人文环境，综合评价自然及人文环境状况较好。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683" t="s">
        <v>3294</v>
      </c>
      <c r="B103" s="3683"/>
      <c r="C103" s="3683"/>
      <c r="D103" s="3683"/>
      <c r="E103" s="3683"/>
      <c r="F103" s="3683"/>
      <c r="G103" s="3683"/>
      <c r="H103" s="3683"/>
      <c r="I103" s="3683"/>
      <c r="J103" s="3683"/>
      <c r="K103" s="3388"/>
      <c r="L103" s="3388"/>
      <c r="M103" s="3388"/>
      <c r="N103" s="3388"/>
    </row>
    <row r="104" spans="1:14">
      <c r="A104" s="3684" t="s">
        <v>3295</v>
      </c>
      <c r="B104" s="3684" t="s">
        <v>3296</v>
      </c>
      <c r="C104" s="3389" t="s">
        <v>3297</v>
      </c>
      <c r="D104" s="3390"/>
      <c r="E104" s="3390"/>
      <c r="F104" s="3390"/>
      <c r="G104" s="3390"/>
      <c r="H104" s="3390"/>
      <c r="I104" s="3390"/>
      <c r="J104" s="3391"/>
      <c r="K104" s="3392"/>
      <c r="L104" s="3392"/>
      <c r="M104" s="3392"/>
      <c r="N104" s="3392"/>
    </row>
    <row r="105" spans="1:14">
      <c r="A105" s="3684"/>
      <c r="B105" s="3684"/>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670"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7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7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7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7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71"/>
      <c r="B111" s="3393" t="s">
        <v>3268</v>
      </c>
      <c r="C111" s="3394">
        <f>$I$3</f>
        <v>4</v>
      </c>
      <c r="D111" s="3394">
        <f t="shared" ref="D111:M111" si="32">$I$3</f>
        <v>4</v>
      </c>
      <c r="E111" s="3394">
        <f t="shared" si="32"/>
        <v>4</v>
      </c>
      <c r="F111" s="3394">
        <f t="shared" si="32"/>
        <v>4</v>
      </c>
      <c r="G111" s="3394">
        <f t="shared" si="32"/>
        <v>4</v>
      </c>
      <c r="H111" s="3394">
        <f t="shared" si="32"/>
        <v>4</v>
      </c>
      <c r="I111" s="3394">
        <f t="shared" si="32"/>
        <v>4</v>
      </c>
      <c r="J111" s="3394">
        <f t="shared" si="32"/>
        <v>4</v>
      </c>
      <c r="K111" s="3394">
        <f t="shared" si="32"/>
        <v>4</v>
      </c>
      <c r="L111" s="3394">
        <f t="shared" si="32"/>
        <v>4</v>
      </c>
      <c r="M111" s="3394">
        <f t="shared" si="32"/>
        <v>4</v>
      </c>
      <c r="N111" s="3394">
        <f>$I$3</f>
        <v>4</v>
      </c>
    </row>
    <row r="112" spans="1:14">
      <c r="A112" s="3672"/>
      <c r="B112" s="3393">
        <v>6</v>
      </c>
      <c r="C112" s="3386">
        <f>(-0.5556*(C111^2)-0.2719*C111+8944)*(10^(-4))</f>
        <v>0.8934022800000001</v>
      </c>
      <c r="D112" s="3386">
        <f>(-0.5556*(D111^2)-0.2719*D111+8944)*(10^(-4))</f>
        <v>0.8934022800000001</v>
      </c>
      <c r="E112" s="3386">
        <f>(-0.7912*(E111^2)-11.3794*E111+8482)*(10^(-4))</f>
        <v>0.84238232000000013</v>
      </c>
      <c r="F112" s="3386">
        <f t="shared" ref="F112:I112" si="33">(-0.7912*(F111^2)-11.3794*F111+8482)*(10^(-4))</f>
        <v>0.84238232000000013</v>
      </c>
      <c r="G112" s="3386">
        <f t="shared" si="33"/>
        <v>0.84238232000000013</v>
      </c>
      <c r="H112" s="3386">
        <f t="shared" si="33"/>
        <v>0.84238232000000013</v>
      </c>
      <c r="I112" s="3386">
        <f t="shared" si="33"/>
        <v>0.84238232000000013</v>
      </c>
      <c r="J112" s="3386">
        <f>(-0.989*(J111^2)-63.78*J111+7771)*(10^(-4))</f>
        <v>0.75000559999999994</v>
      </c>
      <c r="K112" s="3386">
        <f t="shared" ref="K112:N112" si="34">(-0.989*(K111^2)-63.78*K111+7771)*(10^(-4))</f>
        <v>0.75000559999999994</v>
      </c>
      <c r="L112" s="3386">
        <f t="shared" si="34"/>
        <v>0.75000559999999994</v>
      </c>
      <c r="M112" s="3386">
        <f t="shared" si="34"/>
        <v>0.75000559999999994</v>
      </c>
      <c r="N112" s="3386">
        <f t="shared" si="34"/>
        <v>0.75000559999999994</v>
      </c>
    </row>
    <row r="113" spans="1:14">
      <c r="A113" s="3673" t="s">
        <v>3311</v>
      </c>
      <c r="B113" s="3673"/>
      <c r="C113" s="3673"/>
      <c r="D113" s="3673"/>
      <c r="E113" s="3673"/>
      <c r="F113" s="3673"/>
      <c r="G113" s="3673"/>
      <c r="H113" s="3673"/>
      <c r="I113" s="3673"/>
      <c r="J113" s="367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8.73</v>
      </c>
      <c r="C116" s="3398" t="s">
        <v>3313</v>
      </c>
      <c r="D116" s="3399">
        <f>SUMPRODUCT((A118:A122=F116)*(B117:M117=H116)*B118:M122)</f>
        <v>0.90080000000000005</v>
      </c>
      <c r="E116" s="2000" t="s">
        <v>3314</v>
      </c>
      <c r="F116" s="3400" t="str">
        <f>E2</f>
        <v>商业</v>
      </c>
      <c r="G116" s="2000" t="s">
        <v>3315</v>
      </c>
      <c r="H116" s="3400" t="str">
        <f>G2</f>
        <v>一级</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0.90080000000000005</v>
      </c>
      <c r="C118" s="3386">
        <f>B118</f>
        <v>0.90080000000000005</v>
      </c>
      <c r="D118" s="3386">
        <f>ROUND(0.949-0.014*B116,4)</f>
        <v>0.82679999999999998</v>
      </c>
      <c r="E118" s="3386">
        <f>D118</f>
        <v>0.82679999999999998</v>
      </c>
      <c r="F118" s="3386">
        <f>E118</f>
        <v>0.82679999999999998</v>
      </c>
      <c r="G118" s="3386">
        <f>F118</f>
        <v>0.82679999999999998</v>
      </c>
      <c r="H118" s="3386">
        <f>G118</f>
        <v>0.82679999999999998</v>
      </c>
      <c r="I118" s="3386">
        <f>ROUND(0.8486-0.018*B116,4)</f>
        <v>0.6915</v>
      </c>
      <c r="J118" s="3386">
        <f t="shared" ref="J118:M122" si="35">I118</f>
        <v>0.6915</v>
      </c>
      <c r="K118" s="3386">
        <f t="shared" si="35"/>
        <v>0.6915</v>
      </c>
      <c r="L118" s="3386">
        <f t="shared" si="35"/>
        <v>0.6915</v>
      </c>
      <c r="M118" s="3409">
        <f t="shared" si="35"/>
        <v>0.6915</v>
      </c>
      <c r="N118" s="3396"/>
    </row>
    <row r="119" spans="1:14">
      <c r="A119" s="3408" t="s">
        <v>3329</v>
      </c>
      <c r="B119" s="3386">
        <f>ROUND(0.993-0.0112*B116,4)</f>
        <v>0.8952</v>
      </c>
      <c r="C119" s="3386">
        <f>B119</f>
        <v>0.8952</v>
      </c>
      <c r="D119" s="3386">
        <f>ROUND(0.9415-0.0142*B116,4)</f>
        <v>0.8175</v>
      </c>
      <c r="E119" s="3386">
        <f t="shared" ref="E119:H120" si="36">D119</f>
        <v>0.8175</v>
      </c>
      <c r="F119" s="3386">
        <f t="shared" si="36"/>
        <v>0.8175</v>
      </c>
      <c r="G119" s="3386">
        <f t="shared" si="36"/>
        <v>0.8175</v>
      </c>
      <c r="H119" s="3386">
        <f t="shared" si="36"/>
        <v>0.8175</v>
      </c>
      <c r="I119" s="3386">
        <f>ROUND(0.838-0.0182*B116,4)</f>
        <v>0.67910000000000004</v>
      </c>
      <c r="J119" s="3386">
        <f t="shared" si="35"/>
        <v>0.67910000000000004</v>
      </c>
      <c r="K119" s="3386">
        <f t="shared" si="35"/>
        <v>0.67910000000000004</v>
      </c>
      <c r="L119" s="3386">
        <f t="shared" si="35"/>
        <v>0.67910000000000004</v>
      </c>
      <c r="M119" s="3409">
        <f t="shared" si="35"/>
        <v>0.67910000000000004</v>
      </c>
      <c r="N119" s="3396"/>
    </row>
    <row r="120" spans="1:14">
      <c r="A120" s="3408" t="s">
        <v>3330</v>
      </c>
      <c r="B120" s="3386">
        <f>ROUND(0.9448-0.0115*B116,4)</f>
        <v>0.84440000000000004</v>
      </c>
      <c r="C120" s="3386">
        <f>B120</f>
        <v>0.84440000000000004</v>
      </c>
      <c r="D120" s="3386">
        <f>ROUND(0.937-0.0145*B116,4)</f>
        <v>0.81040000000000001</v>
      </c>
      <c r="E120" s="3386">
        <f t="shared" si="36"/>
        <v>0.81040000000000001</v>
      </c>
      <c r="F120" s="3386">
        <f t="shared" si="36"/>
        <v>0.81040000000000001</v>
      </c>
      <c r="G120" s="3386">
        <f t="shared" si="36"/>
        <v>0.81040000000000001</v>
      </c>
      <c r="H120" s="3386">
        <f t="shared" si="36"/>
        <v>0.81040000000000001</v>
      </c>
      <c r="I120" s="3386">
        <f>ROUND(0.7965-0.0185*B116,4)</f>
        <v>0.63500000000000001</v>
      </c>
      <c r="J120" s="3386">
        <f t="shared" si="35"/>
        <v>0.63500000000000001</v>
      </c>
      <c r="K120" s="3386">
        <f t="shared" si="35"/>
        <v>0.63500000000000001</v>
      </c>
      <c r="L120" s="3386">
        <f t="shared" si="35"/>
        <v>0.63500000000000001</v>
      </c>
      <c r="M120" s="3409">
        <f t="shared" si="35"/>
        <v>0.63500000000000001</v>
      </c>
      <c r="N120" s="3396"/>
    </row>
    <row r="121" spans="1:14" ht="13.5" thickBot="1">
      <c r="A121" s="3410" t="s">
        <v>3331</v>
      </c>
      <c r="B121" s="3411">
        <f>ROUND(0.7836-0.012*B116,4)</f>
        <v>0.67879999999999996</v>
      </c>
      <c r="C121" s="3411">
        <f>B121</f>
        <v>0.67879999999999996</v>
      </c>
      <c r="D121" s="3411">
        <f>ROUND(0.753-0.015*B116,4)</f>
        <v>0.62209999999999999</v>
      </c>
      <c r="E121" s="3411">
        <f>D121</f>
        <v>0.62209999999999999</v>
      </c>
      <c r="F121" s="3411">
        <f>E121</f>
        <v>0.62209999999999999</v>
      </c>
      <c r="G121" s="3411">
        <f>ROUND(0.6612-0.018*B116,4)</f>
        <v>0.50409999999999999</v>
      </c>
      <c r="H121" s="3411">
        <f>G121</f>
        <v>0.50409999999999999</v>
      </c>
      <c r="I121" s="3411">
        <f>ROUND(0.5905-0.019*B116,4)</f>
        <v>0.42459999999999998</v>
      </c>
      <c r="J121" s="3411">
        <f t="shared" si="35"/>
        <v>0.42459999999999998</v>
      </c>
      <c r="K121" s="3411">
        <f t="shared" si="35"/>
        <v>0.42459999999999998</v>
      </c>
      <c r="L121" s="3411">
        <f t="shared" si="35"/>
        <v>0.42459999999999998</v>
      </c>
      <c r="M121" s="3412">
        <f t="shared" si="35"/>
        <v>0.42459999999999998</v>
      </c>
      <c r="N121" s="3396"/>
    </row>
    <row r="122" spans="1:14">
      <c r="A122" s="3413" t="s">
        <v>2610</v>
      </c>
      <c r="B122" s="3386">
        <f>ROUND(0.9404-0.0106*B116,4)</f>
        <v>0.84789999999999999</v>
      </c>
      <c r="C122" s="3386">
        <f>B122</f>
        <v>0.84789999999999999</v>
      </c>
      <c r="D122" s="3386">
        <f>ROUND(0.8955-0.0135*B116,4)</f>
        <v>0.77759999999999996</v>
      </c>
      <c r="E122" s="3386">
        <f t="shared" ref="E122:H122" si="37">D122</f>
        <v>0.77759999999999996</v>
      </c>
      <c r="F122" s="3386">
        <f t="shared" si="37"/>
        <v>0.77759999999999996</v>
      </c>
      <c r="G122" s="3386">
        <f t="shared" si="37"/>
        <v>0.77759999999999996</v>
      </c>
      <c r="H122" s="3386">
        <f t="shared" si="37"/>
        <v>0.77759999999999996</v>
      </c>
      <c r="I122" s="3386">
        <f>ROUND(0.7632-0.0166*B116,4)</f>
        <v>0.61829999999999996</v>
      </c>
      <c r="J122" s="3386">
        <f t="shared" si="35"/>
        <v>0.61829999999999996</v>
      </c>
      <c r="K122" s="3386">
        <f t="shared" si="35"/>
        <v>0.61829999999999996</v>
      </c>
      <c r="L122" s="3386">
        <f t="shared" si="35"/>
        <v>0.61829999999999996</v>
      </c>
      <c r="M122" s="3409">
        <f t="shared" si="35"/>
        <v>0.61829999999999996</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7" t="str">
        <f>项目基本情况!B1</f>
        <v>北京市朝阳区朝阳区门外大街18号房地产抵押价值预评估</v>
      </c>
      <c r="C37" s="3487"/>
      <c r="D37" s="3487"/>
      <c r="E37" s="3487"/>
      <c r="F37" s="3487"/>
      <c r="G37" s="3487"/>
      <c r="H37" s="3487"/>
      <c r="I37" s="3487"/>
    </row>
    <row r="38" spans="1:9">
      <c r="A38" s="844"/>
      <c r="B38" s="844"/>
    </row>
    <row r="39" spans="1:9">
      <c r="A39" s="842" t="s">
        <v>371</v>
      </c>
      <c r="B39" s="842" t="s">
        <v>373</v>
      </c>
    </row>
    <row r="40" spans="1:9">
      <c r="A40" s="842"/>
      <c r="B40" s="1474" t="str">
        <f>项目基本情况!B5</f>
        <v>中行商务区支行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20331</v>
      </c>
      <c r="C2" s="199" t="s">
        <v>1462</v>
      </c>
      <c r="D2" s="1853" t="s">
        <v>3469</v>
      </c>
      <c r="E2" s="1169">
        <f ca="1">SUMIF(INDIRECT("'"&amp;G2&amp;"'"&amp;"!A:A"),"承租人权益价值",INDIRECT("'"&amp;G2&amp;"'"&amp;"!c:c"))</f>
        <v>2221</v>
      </c>
      <c r="F2" s="1854" t="s">
        <v>1462</v>
      </c>
      <c r="G2" s="1855" t="s">
        <v>3399</v>
      </c>
    </row>
    <row r="3" spans="1:9" s="200" customFormat="1" ht="18" customHeight="1" thickBot="1">
      <c r="A3" s="203" t="s">
        <v>1463</v>
      </c>
      <c r="B3" s="204">
        <f ca="1">ROUND(B2*10000/(IF(B1="",'数据-汇总表'!E3,INDIRECT("'数据-取费表'!k"&amp;$G$1))),0)</f>
        <v>31050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11780</v>
      </c>
      <c r="D5" s="211" t="s">
        <v>1468</v>
      </c>
      <c r="E5" s="212" t="s">
        <v>1469</v>
      </c>
      <c r="F5" s="212" t="s">
        <v>1470</v>
      </c>
      <c r="G5" s="213"/>
    </row>
    <row r="6" spans="1:9" s="214" customFormat="1" ht="13.5" customHeight="1">
      <c r="A6" s="778" t="s">
        <v>1471</v>
      </c>
      <c r="B6" s="215" t="s">
        <v>1472</v>
      </c>
      <c r="C6" s="216">
        <f>基准地价修正!E33</f>
        <v>11304</v>
      </c>
      <c r="D6" s="217"/>
      <c r="E6" s="218"/>
      <c r="F6" s="218"/>
      <c r="G6" s="219"/>
    </row>
    <row r="7" spans="1:9" s="214" customFormat="1" ht="13.5" customHeight="1">
      <c r="A7" s="778" t="s">
        <v>1473</v>
      </c>
      <c r="B7" s="215" t="s">
        <v>1474</v>
      </c>
      <c r="C7" s="220">
        <f>ROUND(C6*F7,0)</f>
        <v>345</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131</v>
      </c>
      <c r="D8" s="222"/>
      <c r="E8" s="220"/>
      <c r="F8" s="221"/>
      <c r="G8" s="1856" t="s">
        <v>3419</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131</v>
      </c>
      <c r="D10" s="845">
        <f ca="1">IF(B1="",'数据-汇总表'!E6,IF(INDIRECT("'数据-取费表'!c"&amp;$G$1)="住宅",INDIRECT("'数据-取费表'!s"&amp;$G$1),INDIRECT("'数据-取费表'!k"&amp;$G$1)+INDIRECT("'数据-取费表'!s"&amp;$G$1)))</f>
        <v>6547.83</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6547.83</v>
      </c>
      <c r="E19" s="211">
        <f>'数据-取费表'!B31</f>
        <v>200</v>
      </c>
      <c r="F19" s="231"/>
      <c r="G19" s="1856" t="s">
        <v>3420</v>
      </c>
    </row>
    <row r="20" spans="1:7" s="214" customFormat="1" ht="13.5" customHeight="1">
      <c r="A20" s="255" t="s">
        <v>1492</v>
      </c>
      <c r="B20" s="210" t="s">
        <v>1493</v>
      </c>
      <c r="C20" s="232">
        <f>ROUND((C5+C19)*F20,0)</f>
        <v>353</v>
      </c>
      <c r="D20" s="232"/>
      <c r="E20" s="232"/>
      <c r="F20" s="233">
        <f>'数据-取费表'!B37</f>
        <v>0.03</v>
      </c>
      <c r="G20" s="234" t="s">
        <v>1494</v>
      </c>
    </row>
    <row r="21" spans="1:7" s="214" customFormat="1" ht="13.5" customHeight="1">
      <c r="A21" s="255" t="s">
        <v>1495</v>
      </c>
      <c r="B21" s="210" t="s">
        <v>1496</v>
      </c>
      <c r="C21" s="235">
        <f>F21</f>
        <v>0.03</v>
      </c>
      <c r="D21" s="236" t="s">
        <v>1497</v>
      </c>
      <c r="E21" s="232"/>
      <c r="F21" s="233">
        <f>'数据-取费表'!B38</f>
        <v>0.03</v>
      </c>
      <c r="G21" s="234" t="s">
        <v>1498</v>
      </c>
    </row>
    <row r="22" spans="1:7" s="214" customFormat="1" ht="13.5" customHeight="1">
      <c r="A22" s="255" t="s">
        <v>1499</v>
      </c>
      <c r="B22" s="210" t="s">
        <v>1500</v>
      </c>
      <c r="C22" s="1104">
        <f ca="1">ROUND(SUM(C23:C25),0)</f>
        <v>1550</v>
      </c>
      <c r="D22" s="235">
        <f ca="1">C26</f>
        <v>1.9E-3</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1528</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22</v>
      </c>
      <c r="D25" s="238"/>
      <c r="E25" s="241"/>
      <c r="F25" s="239"/>
      <c r="G25" s="242" t="s">
        <v>1509</v>
      </c>
    </row>
    <row r="26" spans="1:7" s="214" customFormat="1">
      <c r="A26" s="780" t="s">
        <v>350</v>
      </c>
      <c r="B26" s="215" t="s">
        <v>1510</v>
      </c>
      <c r="C26" s="238">
        <f ca="1">ROUND(IF('数据-取费表'!B22&lt;=1,F21*F22*'数据-取费表'!B23/2,F21*(POWER((1+F22),'数据-取费表'!B23/2)-1)),4)</f>
        <v>1.9E-3</v>
      </c>
      <c r="D26" s="238"/>
      <c r="E26" s="241"/>
      <c r="F26" s="239"/>
      <c r="G26" s="243"/>
    </row>
    <row r="27" spans="1:7" s="214" customFormat="1" ht="24.75">
      <c r="A27" s="255" t="s">
        <v>1511</v>
      </c>
      <c r="B27" s="244" t="s">
        <v>1512</v>
      </c>
      <c r="C27" s="245">
        <f ca="1">C28</f>
        <v>2427</v>
      </c>
      <c r="D27" s="235">
        <f ca="1">C29</f>
        <v>6.0000000000000001E-3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2427</v>
      </c>
      <c r="D28" s="235"/>
      <c r="E28" s="236"/>
      <c r="F28" s="246"/>
      <c r="G28" s="247"/>
    </row>
    <row r="29" spans="1:7" s="214" customFormat="1" ht="13.5" customHeight="1">
      <c r="A29" s="780" t="s">
        <v>347</v>
      </c>
      <c r="B29" s="248" t="s">
        <v>1516</v>
      </c>
      <c r="C29" s="238">
        <f ca="1">ROUND(C21*F27*'数据-取费表'!B21/'数据-取费表'!B20,4)</f>
        <v>6.0000000000000001E-3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17727</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3967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3602</v>
      </c>
      <c r="D34" s="217"/>
      <c r="E34" s="220"/>
      <c r="F34" s="257">
        <f ca="1">IF('数据-取费表'!B24=0,1,IF(B1="",'数据-取费表'!N16,INDIRECT("'数据-取费表'!n"&amp;$G$1)))</f>
        <v>1</v>
      </c>
      <c r="G34" s="219" t="s">
        <v>1525</v>
      </c>
    </row>
    <row r="35" spans="1:7" ht="13.5" customHeight="1">
      <c r="A35" s="780" t="s">
        <v>351</v>
      </c>
      <c r="B35" s="215" t="s">
        <v>1526</v>
      </c>
      <c r="C35" s="220">
        <f ca="1">ROUND(C34*F35,0)</f>
        <v>180</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131</v>
      </c>
      <c r="D37" s="217">
        <f ca="1">D19</f>
        <v>6547.83</v>
      </c>
      <c r="E37" s="249">
        <f>'数据-取费表'!B35</f>
        <v>200</v>
      </c>
      <c r="F37" s="259"/>
      <c r="G37" s="261" t="s">
        <v>1531</v>
      </c>
    </row>
    <row r="38" spans="1:7" ht="13.5" customHeight="1">
      <c r="A38" s="780" t="s">
        <v>354</v>
      </c>
      <c r="B38" s="215" t="s">
        <v>1532</v>
      </c>
      <c r="C38" s="220">
        <f ca="1">ROUND(C34*F38,0)</f>
        <v>54</v>
      </c>
      <c r="D38" s="220"/>
      <c r="E38" s="220"/>
      <c r="F38" s="259">
        <f>'数据-取费表'!B36</f>
        <v>1.4999999999999999E-2</v>
      </c>
      <c r="G38" s="219" t="s">
        <v>1527</v>
      </c>
    </row>
    <row r="39" spans="1:7" s="214" customFormat="1" ht="13.5" customHeight="1">
      <c r="A39" s="255" t="s">
        <v>1533</v>
      </c>
      <c r="B39" s="210" t="s">
        <v>1534</v>
      </c>
      <c r="C39" s="232">
        <f ca="1">ROUND(C33*F20,0)</f>
        <v>119</v>
      </c>
      <c r="D39" s="232"/>
      <c r="E39" s="232"/>
      <c r="F39" s="233">
        <f>F20</f>
        <v>0.03</v>
      </c>
      <c r="G39" s="234" t="s">
        <v>1535</v>
      </c>
    </row>
    <row r="40" spans="1:7" s="214" customFormat="1" ht="13.5" customHeight="1">
      <c r="A40" s="255" t="s">
        <v>1536</v>
      </c>
      <c r="B40" s="210" t="s">
        <v>1537</v>
      </c>
      <c r="C40" s="1327">
        <f>F21</f>
        <v>0.03</v>
      </c>
      <c r="D40" s="236" t="s">
        <v>1538</v>
      </c>
      <c r="E40" s="232"/>
      <c r="F40" s="233">
        <f>F21</f>
        <v>0.03</v>
      </c>
      <c r="G40" s="234" t="s">
        <v>1539</v>
      </c>
    </row>
    <row r="41" spans="1:7" s="214" customFormat="1" ht="13.5" customHeight="1">
      <c r="A41" s="255" t="s">
        <v>1540</v>
      </c>
      <c r="B41" s="210" t="s">
        <v>1541</v>
      </c>
      <c r="C41" s="232">
        <f ca="1">ROUND(SUM(C42:C43),0)</f>
        <v>256</v>
      </c>
      <c r="D41" s="235">
        <f ca="1">C44</f>
        <v>1.9E-3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249</v>
      </c>
      <c r="D42" s="238"/>
      <c r="E42" s="238"/>
      <c r="F42" s="239"/>
      <c r="G42" s="3689" t="s">
        <v>1543</v>
      </c>
    </row>
    <row r="43" spans="1:7" ht="13.5" customHeight="1">
      <c r="A43" s="780" t="s">
        <v>347</v>
      </c>
      <c r="B43" s="215" t="s">
        <v>1544</v>
      </c>
      <c r="C43" s="238">
        <f ca="1">ROUND(IF('数据-取费表'!B22&lt;=1,C39*F22*'数据-取费表'!B21/2,C39*(POWER((1+F22),'数据-取费表'!B21/2)-1)),0)</f>
        <v>7</v>
      </c>
      <c r="D43" s="238"/>
      <c r="E43" s="238"/>
      <c r="F43" s="239"/>
      <c r="G43" s="3690"/>
    </row>
    <row r="44" spans="1:7" ht="13.5" customHeight="1">
      <c r="A44" s="780" t="s">
        <v>348</v>
      </c>
      <c r="B44" s="215" t="s">
        <v>1545</v>
      </c>
      <c r="C44" s="238">
        <f ca="1">ROUND(IF('数据-取费表'!B22&lt;=1,C40*F22*'数据-取费表'!B21/2,C40*(POWER((1+F22),'数据-取费表'!B21/2)-1)),4)</f>
        <v>1.9E-3</v>
      </c>
      <c r="D44" s="238"/>
      <c r="E44" s="238"/>
      <c r="F44" s="239"/>
      <c r="G44" s="3691"/>
    </row>
    <row r="45" spans="1:7" s="214" customFormat="1" ht="13.5" customHeight="1">
      <c r="A45" s="255" t="s">
        <v>1546</v>
      </c>
      <c r="B45" s="244" t="s">
        <v>1512</v>
      </c>
      <c r="C45" s="245">
        <f ca="1">C46</f>
        <v>817</v>
      </c>
      <c r="D45" s="235">
        <f ca="1">C47</f>
        <v>6.0000000000000001E-3</v>
      </c>
      <c r="E45" s="236" t="s">
        <v>1538</v>
      </c>
      <c r="F45" s="246">
        <f ca="1">F27</f>
        <v>0.2</v>
      </c>
      <c r="G45" s="247" t="s">
        <v>1547</v>
      </c>
    </row>
    <row r="46" spans="1:7" s="214" customFormat="1" ht="13.5" customHeight="1">
      <c r="A46" s="780" t="s">
        <v>346</v>
      </c>
      <c r="B46" s="248" t="s">
        <v>1548</v>
      </c>
      <c r="C46" s="249">
        <f ca="1">ROUND((C33+C39)*F27,0)</f>
        <v>817</v>
      </c>
      <c r="D46" s="263"/>
      <c r="E46" s="236"/>
      <c r="F46" s="246"/>
      <c r="G46" s="247"/>
    </row>
    <row r="47" spans="1:7" s="214" customFormat="1" ht="13.5" customHeight="1">
      <c r="A47" s="780" t="s">
        <v>347</v>
      </c>
      <c r="B47" s="248" t="s">
        <v>1549</v>
      </c>
      <c r="C47" s="238">
        <f ca="1">ROUND(C40*F27,4)</f>
        <v>6.0000000000000001E-3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5677</v>
      </c>
      <c r="D49" s="232"/>
      <c r="E49" s="232"/>
      <c r="F49" s="264"/>
      <c r="G49" s="234" t="s">
        <v>1553</v>
      </c>
    </row>
    <row r="50" spans="1:7" s="258" customFormat="1" ht="24">
      <c r="A50" s="255" t="s">
        <v>1554</v>
      </c>
      <c r="B50" s="210" t="s">
        <v>1555</v>
      </c>
      <c r="C50" s="232"/>
      <c r="D50" s="232"/>
      <c r="E50" s="232"/>
      <c r="F50" s="264">
        <f>IF('数据-取费表'!B24=0,'数据-取费表'!N16,1)</f>
        <v>0.85</v>
      </c>
      <c r="G50" s="247" t="s">
        <v>1556</v>
      </c>
    </row>
    <row r="51" spans="1:7" ht="16.5" customHeight="1">
      <c r="A51" s="255" t="s">
        <v>1557</v>
      </c>
      <c r="B51" s="210" t="s">
        <v>1558</v>
      </c>
      <c r="C51" s="232">
        <f ca="1">ROUND(C49*F50,0)</f>
        <v>4825</v>
      </c>
      <c r="D51" s="232"/>
      <c r="E51" s="232"/>
      <c r="F51" s="264"/>
      <c r="G51" s="234" t="s">
        <v>1559</v>
      </c>
    </row>
    <row r="52" spans="1:7" s="208" customFormat="1" ht="16.5" thickBot="1">
      <c r="A52" s="265" t="s">
        <v>1560</v>
      </c>
      <c r="B52" s="266"/>
      <c r="C52" s="267">
        <f ca="1">C31+C51</f>
        <v>22552</v>
      </c>
      <c r="D52" s="266"/>
      <c r="E52" s="266"/>
      <c r="F52" s="266"/>
      <c r="G52" s="268"/>
    </row>
    <row r="55" spans="1:7" ht="15">
      <c r="B55" s="270" t="s">
        <v>1561</v>
      </c>
      <c r="C55" s="271"/>
    </row>
    <row r="56" spans="1:7">
      <c r="B56" s="273" t="s">
        <v>802</v>
      </c>
      <c r="C56" s="275">
        <f ca="1">1-C57</f>
        <v>0.78600000000000003</v>
      </c>
    </row>
    <row r="57" spans="1:7">
      <c r="B57" s="273" t="s">
        <v>803</v>
      </c>
      <c r="C57" s="274">
        <f ca="1">ROUND(C51/C52,3)</f>
        <v>0.214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22">
        <f ca="1">ROUND(IF(D2="——",C52/10000,C52/10000-E2),4)</f>
        <v>5219.6713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7972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1309566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1309566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1309566</v>
      </c>
      <c r="D10" s="845">
        <f ca="1">IF(B1="",'数据-汇总表'!E6,IF(INDIRECT("'数据-取费表'!c"&amp;$G$1)="住宅",INDIRECT("'数据-取费表'!s"&amp;$G$1),INDIRECT("'数据-取费表'!k"&amp;$G$1)+INDIRECT("'数据-取费表'!s"&amp;$G$1)))</f>
        <v>6547.83</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1309566</v>
      </c>
      <c r="D19" s="849">
        <f ca="1">D9+D10</f>
        <v>6547.83</v>
      </c>
      <c r="E19" s="211">
        <f>'数据-取费表'!B31</f>
        <v>200</v>
      </c>
      <c r="F19" s="231"/>
      <c r="G19" s="1856"/>
    </row>
    <row r="20" spans="1:7" s="214" customFormat="1" ht="13.5" customHeight="1">
      <c r="A20" s="255" t="s">
        <v>1573</v>
      </c>
      <c r="B20" s="210" t="s">
        <v>1574</v>
      </c>
      <c r="C20" s="232">
        <f ca="1">ROUND((C5+C19)*F20,0)</f>
        <v>78574</v>
      </c>
      <c r="D20" s="232"/>
      <c r="E20" s="232"/>
      <c r="F20" s="233">
        <f>'数据-取费表'!B37</f>
        <v>0.03</v>
      </c>
      <c r="G20" s="234" t="s">
        <v>1575</v>
      </c>
    </row>
    <row r="21" spans="1:7" s="214" customFormat="1" ht="13.5" customHeight="1">
      <c r="A21" s="255" t="s">
        <v>1576</v>
      </c>
      <c r="B21" s="210" t="s">
        <v>1577</v>
      </c>
      <c r="C21" s="235">
        <f>F21</f>
        <v>0.03</v>
      </c>
      <c r="D21" s="236" t="s">
        <v>1578</v>
      </c>
      <c r="E21" s="232"/>
      <c r="F21" s="233">
        <f>'数据-取费表'!B38</f>
        <v>0.03</v>
      </c>
      <c r="G21" s="234" t="s">
        <v>1579</v>
      </c>
    </row>
    <row r="22" spans="1:7" s="214" customFormat="1" ht="13.5" customHeight="1">
      <c r="A22" s="255" t="s">
        <v>1580</v>
      </c>
      <c r="B22" s="210" t="s">
        <v>1581</v>
      </c>
      <c r="C22" s="1127">
        <f ca="1">ROUND(SUM(C23:C25),0)</f>
        <v>344744</v>
      </c>
      <c r="D22" s="235">
        <f ca="1">C26</f>
        <v>1.9E-3</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169901</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169901</v>
      </c>
      <c r="D24" s="238"/>
      <c r="E24" s="238"/>
      <c r="F24" s="239"/>
      <c r="G24" s="240" t="s">
        <v>1585</v>
      </c>
    </row>
    <row r="25" spans="1:7" s="214" customFormat="1" ht="24">
      <c r="A25" s="780" t="s">
        <v>1475</v>
      </c>
      <c r="B25" s="215" t="s">
        <v>1586</v>
      </c>
      <c r="C25" s="1128">
        <f ca="1">ROUND(IF('数据-取费表'!B22&lt;=1,C20*F22*'数据-取费表'!B22/2,C20*(POWER((1+F22),'数据-取费表'!B22/2)-1)),0)</f>
        <v>4942</v>
      </c>
      <c r="D25" s="238"/>
      <c r="E25" s="241"/>
      <c r="F25" s="239"/>
      <c r="G25" s="242" t="s">
        <v>1587</v>
      </c>
    </row>
    <row r="26" spans="1:7" s="214" customFormat="1">
      <c r="A26" s="780" t="s">
        <v>350</v>
      </c>
      <c r="B26" s="215" t="s">
        <v>1510</v>
      </c>
      <c r="C26" s="238">
        <f ca="1">ROUND(IF('数据-取费表'!B22&lt;=1,F21*F22*'数据-取费表'!B22/2,F21*(POWER((1+F22),'数据-取费表'!B22/2)-1)),4)</f>
        <v>1.9E-3</v>
      </c>
      <c r="D26" s="238"/>
      <c r="E26" s="241"/>
      <c r="F26" s="239"/>
      <c r="G26" s="243"/>
    </row>
    <row r="27" spans="1:7" s="214" customFormat="1" ht="24.75">
      <c r="A27" s="255" t="s">
        <v>1511</v>
      </c>
      <c r="B27" s="244" t="s">
        <v>1512</v>
      </c>
      <c r="C27" s="245">
        <f ca="1">C28</f>
        <v>539541</v>
      </c>
      <c r="D27" s="235">
        <f ca="1">C29</f>
        <v>6.0000000000000001E-3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539541</v>
      </c>
      <c r="D28" s="235"/>
      <c r="E28" s="236"/>
      <c r="F28" s="246"/>
      <c r="G28" s="247"/>
    </row>
    <row r="29" spans="1:7" s="214" customFormat="1" ht="13.5" customHeight="1">
      <c r="A29" s="780" t="s">
        <v>347</v>
      </c>
      <c r="B29" s="248" t="s">
        <v>1516</v>
      </c>
      <c r="C29" s="238">
        <f ca="1">ROUND(C21*F27,4)</f>
        <v>6.0000000000000001E-3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3941451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39663480</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36013065</v>
      </c>
      <c r="D34" s="217"/>
      <c r="E34" s="220"/>
      <c r="F34" s="257"/>
      <c r="G34" s="219"/>
    </row>
    <row r="35" spans="1:7" ht="13.5" customHeight="1">
      <c r="A35" s="780" t="s">
        <v>351</v>
      </c>
      <c r="B35" s="215" t="s">
        <v>1526</v>
      </c>
      <c r="C35" s="220">
        <f ca="1">ROUND(C34*F35,0)</f>
        <v>1800653</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1309566</v>
      </c>
      <c r="D37" s="217">
        <f ca="1">D19</f>
        <v>6547.83</v>
      </c>
      <c r="E37" s="249">
        <f>'数据-取费表'!B35</f>
        <v>200</v>
      </c>
      <c r="F37" s="259"/>
      <c r="G37" s="261"/>
    </row>
    <row r="38" spans="1:7" ht="13.5" customHeight="1">
      <c r="A38" s="780" t="s">
        <v>354</v>
      </c>
      <c r="B38" s="215" t="s">
        <v>1532</v>
      </c>
      <c r="C38" s="220">
        <f ca="1">ROUND(C34*F38,0)</f>
        <v>540196</v>
      </c>
      <c r="D38" s="220"/>
      <c r="E38" s="220"/>
      <c r="F38" s="259">
        <f>'数据-取费表'!B36</f>
        <v>1.4999999999999999E-2</v>
      </c>
      <c r="G38" s="219" t="s">
        <v>1527</v>
      </c>
    </row>
    <row r="39" spans="1:7" s="214" customFormat="1" ht="13.5" customHeight="1">
      <c r="A39" s="255" t="s">
        <v>1533</v>
      </c>
      <c r="B39" s="210" t="s">
        <v>1534</v>
      </c>
      <c r="C39" s="232">
        <f ca="1">ROUND(C33*F20,0)</f>
        <v>1189904</v>
      </c>
      <c r="D39" s="232"/>
      <c r="E39" s="232"/>
      <c r="F39" s="233">
        <f>F20</f>
        <v>0.03</v>
      </c>
      <c r="G39" s="234" t="s">
        <v>1535</v>
      </c>
    </row>
    <row r="40" spans="1:7" s="214" customFormat="1" ht="13.5" customHeight="1">
      <c r="A40" s="255" t="s">
        <v>1536</v>
      </c>
      <c r="B40" s="210" t="s">
        <v>1537</v>
      </c>
      <c r="C40" s="1327">
        <f>F21</f>
        <v>0.03</v>
      </c>
      <c r="D40" s="236" t="s">
        <v>1538</v>
      </c>
      <c r="E40" s="232"/>
      <c r="F40" s="233">
        <f>F21</f>
        <v>0.03</v>
      </c>
      <c r="G40" s="234" t="s">
        <v>1539</v>
      </c>
    </row>
    <row r="41" spans="1:7" s="214" customFormat="1" ht="13.5" customHeight="1">
      <c r="A41" s="255" t="s">
        <v>1540</v>
      </c>
      <c r="B41" s="210" t="s">
        <v>1541</v>
      </c>
      <c r="C41" s="232">
        <f ca="1">ROUND(SUM(C42:C43),0)</f>
        <v>2569329</v>
      </c>
      <c r="D41" s="235">
        <f ca="1">C44</f>
        <v>1.9E-3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2494494</v>
      </c>
      <c r="D42" s="238"/>
      <c r="E42" s="238"/>
      <c r="F42" s="239"/>
      <c r="G42" s="3689" t="s">
        <v>1590</v>
      </c>
    </row>
    <row r="43" spans="1:7" ht="13.5" customHeight="1">
      <c r="A43" s="780" t="s">
        <v>347</v>
      </c>
      <c r="B43" s="215" t="s">
        <v>1544</v>
      </c>
      <c r="C43" s="238">
        <f ca="1">ROUND(IF('数据-取费表'!B22&lt;=1,C39*F22*'数据-取费表'!B20/2,C39*(POWER((1+F22),'数据-取费表'!B20/2)-1)),0)</f>
        <v>74835</v>
      </c>
      <c r="D43" s="238"/>
      <c r="E43" s="238"/>
      <c r="F43" s="239"/>
      <c r="G43" s="3690"/>
    </row>
    <row r="44" spans="1:7" ht="13.5" customHeight="1">
      <c r="A44" s="780" t="s">
        <v>348</v>
      </c>
      <c r="B44" s="215" t="s">
        <v>1545</v>
      </c>
      <c r="C44" s="238">
        <f ca="1">ROUND(IF('数据-取费表'!B22&lt;=1,C40*F22*'数据-取费表'!B20/2,C40*(POWER((1+F22),'数据-取费表'!B20/2)-1)),4)</f>
        <v>1.9E-3</v>
      </c>
      <c r="D44" s="238"/>
      <c r="E44" s="238"/>
      <c r="F44" s="239"/>
      <c r="G44" s="3691"/>
    </row>
    <row r="45" spans="1:7" s="214" customFormat="1" ht="13.5" customHeight="1">
      <c r="A45" s="255" t="s">
        <v>1546</v>
      </c>
      <c r="B45" s="244" t="s">
        <v>1512</v>
      </c>
      <c r="C45" s="245">
        <f ca="1">C46</f>
        <v>8170677</v>
      </c>
      <c r="D45" s="235">
        <f ca="1">C47</f>
        <v>6.0000000000000001E-3</v>
      </c>
      <c r="E45" s="236" t="s">
        <v>1538</v>
      </c>
      <c r="F45" s="246">
        <f ca="1">F27</f>
        <v>0.2</v>
      </c>
      <c r="G45" s="247" t="s">
        <v>1547</v>
      </c>
    </row>
    <row r="46" spans="1:7" s="214" customFormat="1" ht="13.5" customHeight="1">
      <c r="A46" s="780" t="s">
        <v>346</v>
      </c>
      <c r="B46" s="248" t="s">
        <v>1548</v>
      </c>
      <c r="C46" s="249">
        <f ca="1">ROUND((C33+C39)*F27,0)</f>
        <v>8170677</v>
      </c>
      <c r="D46" s="263"/>
      <c r="E46" s="236"/>
      <c r="F46" s="246"/>
      <c r="G46" s="247"/>
    </row>
    <row r="47" spans="1:7" s="214" customFormat="1" ht="13.5" customHeight="1">
      <c r="A47" s="780" t="s">
        <v>347</v>
      </c>
      <c r="B47" s="248" t="s">
        <v>1549</v>
      </c>
      <c r="C47" s="238">
        <f ca="1">ROUND(C40*F27,4)</f>
        <v>6.0000000000000001E-3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56770896</v>
      </c>
      <c r="D49" s="232"/>
      <c r="E49" s="232"/>
      <c r="F49" s="264"/>
      <c r="G49" s="234" t="s">
        <v>1553</v>
      </c>
    </row>
    <row r="50" spans="1:7" s="258" customFormat="1">
      <c r="A50" s="255" t="s">
        <v>1554</v>
      </c>
      <c r="B50" s="210" t="s">
        <v>1555</v>
      </c>
      <c r="C50" s="232"/>
      <c r="D50" s="232"/>
      <c r="E50" s="232"/>
      <c r="F50" s="264">
        <f>IF('数据-取费表'!B24=0,'数据-取费表'!N16,1)</f>
        <v>0.85</v>
      </c>
      <c r="G50" s="247"/>
    </row>
    <row r="51" spans="1:7" ht="16.5" customHeight="1">
      <c r="A51" s="255" t="s">
        <v>1557</v>
      </c>
      <c r="B51" s="210" t="s">
        <v>1592</v>
      </c>
      <c r="C51" s="232">
        <f ca="1">ROUND(C49*F50,0)</f>
        <v>48255262</v>
      </c>
      <c r="D51" s="232"/>
      <c r="E51" s="232"/>
      <c r="F51" s="264"/>
      <c r="G51" s="234" t="s">
        <v>1559</v>
      </c>
    </row>
    <row r="52" spans="1:7" s="208" customFormat="1" ht="16.5" thickBot="1">
      <c r="A52" s="265" t="s">
        <v>1560</v>
      </c>
      <c r="B52" s="266"/>
      <c r="C52" s="267">
        <f ca="1">C31+C51</f>
        <v>52196713</v>
      </c>
      <c r="D52" s="266"/>
      <c r="E52" s="266"/>
      <c r="F52" s="266"/>
      <c r="G52" s="268"/>
    </row>
    <row r="55" spans="1:7" ht="15">
      <c r="B55" s="270" t="s">
        <v>1561</v>
      </c>
      <c r="C55" s="271"/>
    </row>
    <row r="56" spans="1:7">
      <c r="B56" s="273" t="s">
        <v>802</v>
      </c>
      <c r="C56" s="275">
        <f ca="1">1-C57</f>
        <v>7.5999999999999956E-2</v>
      </c>
    </row>
    <row r="57" spans="1:7">
      <c r="B57" s="273" t="s">
        <v>803</v>
      </c>
      <c r="C57" s="274">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8</v>
      </c>
    </row>
    <row r="2" spans="1:33" ht="18" customHeight="1">
      <c r="A2" s="201" t="s">
        <v>1461</v>
      </c>
      <c r="B2" s="204">
        <f ca="1">C32</f>
        <v>0</v>
      </c>
      <c r="C2" s="276" t="s">
        <v>1594</v>
      </c>
      <c r="D2" s="276"/>
      <c r="E2" s="2804"/>
      <c r="F2" s="2804"/>
      <c r="G2" s="2804"/>
      <c r="H2" s="2804"/>
      <c r="I2" s="2804"/>
      <c r="J2" s="2804"/>
      <c r="K2" s="2804"/>
    </row>
    <row r="3" spans="1:33" ht="18" customHeight="1" thickBot="1">
      <c r="A3" s="203" t="s">
        <v>1463</v>
      </c>
      <c r="B3" s="204">
        <f ca="1">ROUND(B2*10000/IF(C1="",'数据-汇总表'!E3,INDIRECT("'数据-取费表'!K"&amp;$K$1)),0)</f>
        <v>0</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6547.83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6547.83</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131</v>
      </c>
      <c r="D20" s="846">
        <f ca="1">IF(C1="",'数据-汇总表'!E6,IF(INDIRECT("'数据-取费表'!c"&amp;$K$1)="住宅",INDIRECT("'数据-取费表'!s"&amp;$K$1),INDIRECT("'数据-取费表'!k"&amp;$K$1)+INDIRECT("'数据-取费表'!s"&amp;$K$1)))</f>
        <v>6547.83</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0.03</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0.03</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8"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3459</v>
      </c>
      <c r="D1" s="1362" t="s">
        <v>43</v>
      </c>
      <c r="E1" s="1363" t="s">
        <v>678</v>
      </c>
      <c r="F1" s="1062">
        <f ca="1">J53</f>
        <v>10.75</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4459</v>
      </c>
      <c r="C2" s="1387" t="s">
        <v>805</v>
      </c>
      <c r="D2" s="1387"/>
      <c r="E2" s="1388"/>
      <c r="F2" s="1389"/>
      <c r="G2" s="2704"/>
      <c r="H2" s="2693"/>
      <c r="I2" s="2693"/>
      <c r="J2" s="2693"/>
      <c r="K2" s="2694"/>
      <c r="L2" s="2693"/>
      <c r="M2" s="2693"/>
    </row>
    <row r="3" spans="1:37" ht="18" customHeight="1" thickBot="1">
      <c r="A3" s="1390" t="s">
        <v>806</v>
      </c>
      <c r="B3" s="1391">
        <f ca="1">IF(ISERROR(B2*10000/F43),0,ROUND(B2*10000/F43,0))</f>
        <v>17560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555</v>
      </c>
      <c r="D5" s="1364" t="s">
        <v>693</v>
      </c>
      <c r="E5" s="1071"/>
      <c r="F5" s="1072"/>
      <c r="G5" s="1384"/>
      <c r="H5" s="299">
        <v>1</v>
      </c>
      <c r="I5" s="300" t="s">
        <v>692</v>
      </c>
      <c r="J5" s="1070">
        <f ca="1">J6+J10+J12</f>
        <v>0</v>
      </c>
      <c r="K5" s="1364" t="s">
        <v>693</v>
      </c>
      <c r="L5" s="1071"/>
      <c r="M5" s="1072"/>
    </row>
    <row r="6" spans="1:37" ht="18" customHeight="1">
      <c r="A6" s="1069" t="s">
        <v>398</v>
      </c>
      <c r="B6" s="3692" t="s">
        <v>694</v>
      </c>
      <c r="C6" s="1074">
        <f ca="1">ROUND(F6*F8*F7*(1-F9)/10000,0)</f>
        <v>554</v>
      </c>
      <c r="D6" s="155" t="s">
        <v>2108</v>
      </c>
      <c r="E6" s="302" t="s">
        <v>696</v>
      </c>
      <c r="F6" s="303">
        <f ca="1">INDIRECT("'数据-取费表'!u"&amp;$G$1)</f>
        <v>6.5</v>
      </c>
      <c r="G6" s="1384"/>
      <c r="H6" s="1069" t="s">
        <v>398</v>
      </c>
      <c r="I6" s="3692" t="s">
        <v>694</v>
      </c>
      <c r="J6" s="301">
        <f ca="1">ROUND(M6*M8*M7*(1-M9)/10000,0)</f>
        <v>0</v>
      </c>
      <c r="K6" s="155" t="s">
        <v>2107</v>
      </c>
      <c r="L6" s="302" t="s">
        <v>696</v>
      </c>
      <c r="M6" s="303">
        <f ca="1">INDIRECT("'数据-取费表'!z"&amp;$G$1)</f>
        <v>0</v>
      </c>
    </row>
    <row r="7" spans="1:37" ht="18" customHeight="1">
      <c r="A7" s="1073"/>
      <c r="B7" s="3693"/>
      <c r="C7" s="1075"/>
      <c r="D7" s="307"/>
      <c r="E7" s="3456" t="s">
        <v>697</v>
      </c>
      <c r="F7" s="303">
        <f ca="1">IF(INDIRECT("'数据-取费表'!ah"&amp;$G$1)="",INDIRECT("'数据-取费表'!k"&amp;$G$1),INDIRECT("'数据-取费表'!ah"&amp;$G$1))</f>
        <v>2539.2599999999998</v>
      </c>
      <c r="G7" s="1384"/>
      <c r="H7" s="304"/>
      <c r="I7" s="3693"/>
      <c r="J7" s="306"/>
      <c r="K7" s="307"/>
      <c r="L7" s="302" t="s">
        <v>697</v>
      </c>
      <c r="M7" s="303">
        <f ca="1">F7</f>
        <v>2539.2599999999998</v>
      </c>
    </row>
    <row r="8" spans="1:37" ht="18" customHeight="1">
      <c r="A8" s="304"/>
      <c r="B8" s="3693"/>
      <c r="C8" s="306"/>
      <c r="D8" s="307"/>
      <c r="E8" s="302" t="s">
        <v>698</v>
      </c>
      <c r="F8" s="303">
        <f ca="1">INDIRECT("'数据-取费表'!ai"&amp;$G$1)</f>
        <v>365</v>
      </c>
      <c r="G8" s="1384"/>
      <c r="H8" s="304"/>
      <c r="I8" s="3693"/>
      <c r="J8" s="306"/>
      <c r="K8" s="307"/>
      <c r="L8" s="302" t="s">
        <v>698</v>
      </c>
      <c r="M8" s="303">
        <f ca="1">INDIRECT("'数据-取费表'!ai"&amp;$G$1)</f>
        <v>365</v>
      </c>
    </row>
    <row r="9" spans="1:37" ht="18" customHeight="1">
      <c r="A9" s="304"/>
      <c r="B9" s="3694"/>
      <c r="C9" s="306"/>
      <c r="D9" s="307"/>
      <c r="E9" s="302" t="s">
        <v>699</v>
      </c>
      <c r="F9" s="312">
        <f ca="1">INDIRECT("'数据-取费表'!w"&amp;$G$1)</f>
        <v>0.08</v>
      </c>
      <c r="G9" s="1384"/>
      <c r="H9" s="304"/>
      <c r="I9" s="3694"/>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2115</v>
      </c>
      <c r="E10" s="313" t="s">
        <v>701</v>
      </c>
      <c r="F10" s="1116" t="s">
        <v>3411</v>
      </c>
      <c r="G10" s="1384"/>
      <c r="H10" s="1069" t="s">
        <v>402</v>
      </c>
      <c r="I10" s="1365" t="s">
        <v>700</v>
      </c>
      <c r="J10" s="301">
        <f ca="1">ROUND(IF(M10="押一",J6/12*M11,IF(M10="押二",J6/12*2*M11,IF(M10="押三",J6/12*3*M11,J11*M11))),0)</f>
        <v>0</v>
      </c>
      <c r="K10" s="1366" t="s">
        <v>2115</v>
      </c>
      <c r="L10" s="313" t="s">
        <v>701</v>
      </c>
      <c r="M10" s="1116" t="s">
        <v>3411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1873</v>
      </c>
      <c r="D13" s="3453" t="s">
        <v>705</v>
      </c>
      <c r="E13" s="3453"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1397</v>
      </c>
      <c r="D14" s="3459" t="s">
        <v>708</v>
      </c>
      <c r="E14" s="3458"/>
      <c r="F14" s="319"/>
      <c r="G14" s="1384"/>
      <c r="H14" s="982" t="s">
        <v>398</v>
      </c>
      <c r="I14" s="302" t="s">
        <v>709</v>
      </c>
      <c r="J14" s="21">
        <f ca="1">C29</f>
        <v>2203</v>
      </c>
      <c r="K14" s="3455"/>
      <c r="L14" s="807"/>
      <c r="M14" s="808"/>
    </row>
    <row r="15" spans="1:37" s="1397" customFormat="1" ht="18" customHeight="1" thickBot="1">
      <c r="A15" s="982" t="s">
        <v>399</v>
      </c>
      <c r="B15" s="302" t="s">
        <v>710</v>
      </c>
      <c r="C15" s="21">
        <f ca="1">ROUND(C14*F15,0)</f>
        <v>70</v>
      </c>
      <c r="D15" s="3454" t="s">
        <v>711</v>
      </c>
      <c r="E15" s="3454"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v>
      </c>
      <c r="K16" s="1087" t="s">
        <v>715</v>
      </c>
      <c r="L16" s="3461"/>
      <c r="M16" s="1072"/>
    </row>
    <row r="17" spans="1:37" s="1397" customFormat="1" ht="18" customHeight="1">
      <c r="A17" s="982" t="s">
        <v>681</v>
      </c>
      <c r="B17" s="302" t="s">
        <v>716</v>
      </c>
      <c r="C17" s="21">
        <f ca="1">ROUND(F17*(F43+INDIRECT("'数据-取费表'!S"&amp;$G$1))/10000,0)</f>
        <v>51</v>
      </c>
      <c r="D17" s="302" t="s">
        <v>717</v>
      </c>
      <c r="E17" s="302" t="s">
        <v>718</v>
      </c>
      <c r="F17" s="23">
        <f>'数据-取费表'!B35</f>
        <v>200</v>
      </c>
      <c r="G17" s="1396"/>
      <c r="H17" s="982" t="s">
        <v>398</v>
      </c>
      <c r="I17" s="302" t="s">
        <v>719</v>
      </c>
      <c r="J17" s="2316">
        <f ca="1">ROUND(IF(AND(项目基本情况!B11="自然人",项目基本情况!B10="北京市"),J6*M17/(1+'数据-取费表'!C42),J18+J19+J20),2)</f>
        <v>0.87</v>
      </c>
      <c r="K17" s="3459" t="s">
        <v>720</v>
      </c>
      <c r="L17" s="3460"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v>
      </c>
      <c r="D18" s="302" t="s">
        <v>711</v>
      </c>
      <c r="E18" s="302" t="s">
        <v>712</v>
      </c>
      <c r="F18" s="322">
        <f>'数据-取费表'!B36</f>
        <v>1.4999999999999999E-2</v>
      </c>
      <c r="G18" s="1396"/>
      <c r="H18" s="982" t="s">
        <v>397</v>
      </c>
      <c r="I18" s="302" t="s">
        <v>723</v>
      </c>
      <c r="J18" s="21">
        <f ca="1">ROUND(J6*M18/(1+'数据-取费表'!C42),2)</f>
        <v>0</v>
      </c>
      <c r="K18" s="3460"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1539</v>
      </c>
      <c r="D19" s="131" t="s">
        <v>726</v>
      </c>
      <c r="E19" s="3463"/>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46</v>
      </c>
      <c r="D20" s="2426" t="s">
        <v>729</v>
      </c>
      <c r="E20" s="302" t="s">
        <v>712</v>
      </c>
      <c r="F20" s="322">
        <f>'数据-取费表'!B37</f>
        <v>0.03</v>
      </c>
      <c r="G20" s="1396"/>
      <c r="H20" s="982" t="s">
        <v>680</v>
      </c>
      <c r="I20" s="155" t="s">
        <v>730</v>
      </c>
      <c r="J20" s="22">
        <f ca="1">ROUND(M20*M21/10000,2)</f>
        <v>0.87</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0.03</v>
      </c>
      <c r="G21" s="1396"/>
      <c r="H21" s="326"/>
      <c r="I21" s="311"/>
      <c r="J21" s="26"/>
      <c r="K21" s="327"/>
      <c r="L21" s="302" t="s">
        <v>736</v>
      </c>
      <c r="M21" s="303">
        <f ca="1">INDIRECT("'数据-取费表'!r"&amp;$G$1)</f>
        <v>290.99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3"/>
      <c r="F22" s="23"/>
      <c r="G22" s="1384"/>
      <c r="H22" s="982" t="s">
        <v>402</v>
      </c>
      <c r="I22" s="302" t="s">
        <v>738</v>
      </c>
      <c r="J22" s="21">
        <f ca="1">ROUND(J14*M22,2)</f>
        <v>11.02</v>
      </c>
      <c r="K22" s="3460"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60"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3"/>
      <c r="F25" s="23"/>
      <c r="G25" s="1384"/>
      <c r="H25" s="1079" t="s">
        <v>394</v>
      </c>
      <c r="I25" s="1094" t="s">
        <v>752</v>
      </c>
      <c r="J25" s="310">
        <f ca="1">J5-J16</f>
        <v>-12</v>
      </c>
      <c r="K25" s="1095" t="s">
        <v>753</v>
      </c>
      <c r="L25" s="1096"/>
      <c r="M25" s="1097"/>
    </row>
    <row r="26" spans="1:37">
      <c r="A26" s="982" t="s">
        <v>397</v>
      </c>
      <c r="B26" s="302" t="s">
        <v>754</v>
      </c>
      <c r="C26" s="21">
        <f ca="1">ROUND((C19+C20)*F26,0)</f>
        <v>317</v>
      </c>
      <c r="D26" s="2426"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2426" t="s">
        <v>761</v>
      </c>
      <c r="E27" s="3454"/>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2203</v>
      </c>
      <c r="D29" s="1092"/>
      <c r="E29" s="1090"/>
      <c r="F29" s="1093"/>
      <c r="G29" s="1396"/>
      <c r="H29" s="334" t="s">
        <v>396</v>
      </c>
      <c r="I29" s="335" t="s">
        <v>768</v>
      </c>
      <c r="J29" s="336">
        <f ca="1">ROUND(J26/(1+F40)^F41,0)</f>
        <v>0</v>
      </c>
      <c r="K29" s="337" t="s">
        <v>769</v>
      </c>
      <c r="L29" s="338"/>
      <c r="M29" s="339">
        <f ca="1">INDIRECT("'数据-取费表'!k"&amp;$G$1)</f>
        <v>2539.2599999999998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109</v>
      </c>
      <c r="D30" s="1087" t="s">
        <v>715</v>
      </c>
      <c r="E30" s="3461"/>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93.73</v>
      </c>
      <c r="D31" s="3459" t="s">
        <v>720</v>
      </c>
      <c r="E31" s="3460" t="s">
        <v>770</v>
      </c>
      <c r="F31" s="2315" t="str">
        <f>IF(项目基本情况!B11="企业","——",IF(M47="住宅",IF(F6*F7*F8/12/(1+'数据-取费表'!F30)&gt;100000,4%,2.5%),IF(F6*F7*F8/12/(1+'数据-取费表'!F30)&gt;100000,12%,7%)))</f>
        <v>——</v>
      </c>
      <c r="G31" s="1384"/>
      <c r="H31" s="2806" t="s">
        <v>2305</v>
      </c>
      <c r="I31" s="1398"/>
      <c r="J31" s="1399"/>
      <c r="K31" s="2473"/>
      <c r="L31" s="2696"/>
      <c r="M31" s="2697"/>
    </row>
    <row r="32" spans="1:37" ht="18" customHeight="1">
      <c r="A32" s="982" t="s">
        <v>397</v>
      </c>
      <c r="B32" s="302" t="s">
        <v>723</v>
      </c>
      <c r="C32" s="21">
        <f ca="1">IF(项目基本情况!B11="自然人","——",ROUND(C6*F32/(1+'数据-取费表'!C42),2))</f>
        <v>29.55</v>
      </c>
      <c r="D32" s="3460"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63.31</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0.87</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290.99</v>
      </c>
      <c r="G35" s="1384"/>
      <c r="H35" s="2695"/>
      <c r="I35" s="1398"/>
      <c r="J35" s="1399"/>
      <c r="K35" s="2699"/>
      <c r="L35" s="2698"/>
      <c r="M35" s="2698"/>
    </row>
    <row r="36" spans="1:18" ht="18" customHeight="1">
      <c r="A36" s="1102" t="s">
        <v>402</v>
      </c>
      <c r="B36" s="302" t="s">
        <v>738</v>
      </c>
      <c r="C36" s="21">
        <f ca="1">ROUND(C29*F36,2)</f>
        <v>11.02</v>
      </c>
      <c r="D36" s="3460"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ROUND(C13*F37,2)</f>
        <v>1.87</v>
      </c>
      <c r="D37" s="3460" t="s">
        <v>743</v>
      </c>
      <c r="E37" s="302" t="s">
        <v>712</v>
      </c>
      <c r="F37" s="330">
        <f ca="1">INDIRECT("'数据-取费表'!Al"&amp;$G$1)</f>
        <v>1E-3</v>
      </c>
      <c r="G37" s="1384"/>
      <c r="H37" s="2698"/>
      <c r="I37" s="1398"/>
      <c r="J37" s="1399"/>
      <c r="K37" s="2542"/>
      <c r="L37" s="2698"/>
      <c r="M37" s="2698"/>
    </row>
    <row r="38" spans="1:18" ht="18" customHeight="1" thickBot="1">
      <c r="A38" s="1089" t="s">
        <v>683</v>
      </c>
      <c r="B38" s="1090" t="s">
        <v>728</v>
      </c>
      <c r="C38" s="1091">
        <f ca="1">ROUND(C5*F38,2)</f>
        <v>2.78</v>
      </c>
      <c r="D38" s="1092" t="s">
        <v>748</v>
      </c>
      <c r="E38" s="1090" t="s">
        <v>712</v>
      </c>
      <c r="F38" s="1086">
        <f ca="1">INDIRECT("'数据-取费表'!Am"&amp;$G$1)</f>
        <v>5.0000000000000001E-3</v>
      </c>
      <c r="G38" s="1384"/>
      <c r="H38" s="2698"/>
      <c r="I38" s="1398"/>
      <c r="J38" s="1399"/>
      <c r="K38" s="2702"/>
      <c r="L38" s="2698"/>
      <c r="M38" s="2698"/>
    </row>
    <row r="39" spans="1:18" ht="24.6" customHeight="1" thickTop="1">
      <c r="A39" s="1079" t="s">
        <v>394</v>
      </c>
      <c r="B39" s="1094" t="s">
        <v>752</v>
      </c>
      <c r="C39" s="310">
        <f ca="1">C5-C30</f>
        <v>446</v>
      </c>
      <c r="D39" s="1095" t="s">
        <v>753</v>
      </c>
      <c r="E39" s="1096"/>
      <c r="F39" s="1097"/>
      <c r="G39" s="1384"/>
      <c r="H39" s="2698"/>
      <c r="I39" s="1398"/>
      <c r="J39" s="1399"/>
      <c r="K39" s="2702"/>
      <c r="L39" s="2698"/>
      <c r="M39" s="2698"/>
    </row>
    <row r="40" spans="1:18" ht="18" customHeight="1">
      <c r="A40" s="299" t="s">
        <v>395</v>
      </c>
      <c r="B40" s="300" t="s">
        <v>774</v>
      </c>
      <c r="C40" s="301">
        <f ca="1">ROUND(C39*(1-((1+F42)/(1+F40))^F41)/(F40-F42),0)</f>
        <v>4054</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10.75</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ROUND(C40*10000/F43,0)</f>
        <v>15965</v>
      </c>
      <c r="D43" s="337" t="s">
        <v>777</v>
      </c>
      <c r="E43" s="338" t="s">
        <v>778</v>
      </c>
      <c r="F43" s="339">
        <f ca="1">INDIRECT("'数据-取费表'!k"&amp;$G$1)</f>
        <v>2539.2599999999998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-4165</v>
      </c>
      <c r="D46" s="1406" t="str">
        <f>C2</f>
        <v>万元</v>
      </c>
      <c r="E46" s="1400"/>
      <c r="F46" s="1400"/>
      <c r="I46" s="1407" t="s">
        <v>810</v>
      </c>
      <c r="J46" s="1408"/>
      <c r="K46" s="1409"/>
      <c r="L46" s="1410">
        <f ca="1">IF(M47="住宅",0,IF(L48&gt;J51,L60,J60))</f>
        <v>405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3412</v>
      </c>
      <c r="K47" s="1416" t="s">
        <v>816</v>
      </c>
      <c r="L47" s="1417">
        <f ca="1">INDIRECT("'数据-取费表'!d"&amp;$G$1)</f>
        <v>40</v>
      </c>
      <c r="M47" s="1380" t="str">
        <f>IF(ISNUMBER(FIND("住宅",C1)),"住宅","非住宅")</f>
        <v>非住宅</v>
      </c>
      <c r="O47" s="1418" t="s">
        <v>403</v>
      </c>
      <c r="P47" s="1419" t="s">
        <v>817</v>
      </c>
      <c r="Q47" s="1420">
        <f ca="1">C40+J29</f>
        <v>4054</v>
      </c>
      <c r="R47" s="1420" t="s">
        <v>818</v>
      </c>
    </row>
    <row r="48" spans="1:18" s="1384" customFormat="1" ht="28.5" thickBot="1">
      <c r="A48" s="1110" t="s">
        <v>438</v>
      </c>
      <c r="B48" s="300" t="s">
        <v>692</v>
      </c>
      <c r="C48" s="3462">
        <f ca="1">C49+C53+C55</f>
        <v>0</v>
      </c>
      <c r="D48" s="1112"/>
      <c r="E48" s="1113"/>
      <c r="F48" s="962"/>
      <c r="G48" s="722"/>
      <c r="H48" s="723"/>
      <c r="I48" s="1421" t="s">
        <v>819</v>
      </c>
      <c r="J48" s="1422" t="s">
        <v>3413</v>
      </c>
      <c r="K48" s="1423" t="s">
        <v>820</v>
      </c>
      <c r="L48" s="1424">
        <f ca="1">INDIRECT("'数据-取费表'!f"&amp;$G$1)</f>
        <v>10.75</v>
      </c>
      <c r="O48" s="1418" t="s">
        <v>404</v>
      </c>
      <c r="P48" s="1419" t="s">
        <v>821</v>
      </c>
      <c r="Q48" s="1420">
        <f ca="1">J60</f>
        <v>405</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1996</v>
      </c>
      <c r="K49" s="1423" t="s">
        <v>824</v>
      </c>
      <c r="L49" s="1427"/>
      <c r="O49" s="1428" t="s">
        <v>405</v>
      </c>
      <c r="P49" s="1419" t="s">
        <v>825</v>
      </c>
      <c r="Q49" s="1420">
        <f ca="1">C29</f>
        <v>2203</v>
      </c>
      <c r="R49" s="1420" t="s">
        <v>818</v>
      </c>
    </row>
    <row r="50" spans="1:18" s="1384" customFormat="1" ht="13.5" thickBot="1">
      <c r="A50" s="976"/>
      <c r="B50" s="979"/>
      <c r="C50" s="1118"/>
      <c r="D50" s="953"/>
      <c r="E50" s="1056" t="s">
        <v>697</v>
      </c>
      <c r="F50" s="1057">
        <f ca="1">F7</f>
        <v>2539.2599999999998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33</v>
      </c>
      <c r="K51" s="1434" t="s">
        <v>830</v>
      </c>
      <c r="L51" s="1435">
        <f ca="1">ROUND(-PV(INDIRECT("'数据-取费表'!h"&amp;$G$1),J51,(C39-C13*C76),0),0)</f>
        <v>5039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10.75</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10.75</v>
      </c>
      <c r="K53" s="3695" t="s">
        <v>837</v>
      </c>
      <c r="L53" s="3696"/>
      <c r="O53" s="1418" t="s">
        <v>409</v>
      </c>
      <c r="P53" s="1419" t="s">
        <v>838</v>
      </c>
      <c r="Q53" s="1420">
        <f ca="1">Q47+Q48</f>
        <v>4459</v>
      </c>
      <c r="R53" s="1420" t="s">
        <v>410</v>
      </c>
    </row>
    <row r="54" spans="1:18" s="1384" customFormat="1" ht="13.5" thickBot="1">
      <c r="A54" s="1153"/>
      <c r="B54" s="1367" t="s">
        <v>679</v>
      </c>
      <c r="C54" s="959"/>
      <c r="D54" s="1366"/>
      <c r="E54" s="3457"/>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7"/>
      <c r="F55" s="1440"/>
      <c r="I55" s="1443" t="s">
        <v>840</v>
      </c>
      <c r="J55" s="1444">
        <f ca="1">ROUND(IF(J47="钢混",J57/J50,1-(1-2%)*(J50-J57)/J50),3)</f>
        <v>0.371</v>
      </c>
      <c r="K55" s="1445" t="s">
        <v>841</v>
      </c>
      <c r="L55" s="1446"/>
      <c r="O55" s="1411" t="s">
        <v>811</v>
      </c>
      <c r="P55" s="1412" t="s">
        <v>812</v>
      </c>
      <c r="Q55" s="1413" t="s">
        <v>813</v>
      </c>
      <c r="R55" s="1413" t="s">
        <v>814</v>
      </c>
    </row>
    <row r="56" spans="1:18" s="1384" customFormat="1" ht="25.5" thickTop="1" thickBot="1">
      <c r="A56" s="957">
        <v>2</v>
      </c>
      <c r="B56" s="958" t="s">
        <v>704</v>
      </c>
      <c r="C56" s="232">
        <f ca="1">C13</f>
        <v>1873</v>
      </c>
      <c r="D56" s="1447"/>
      <c r="E56" s="1448"/>
      <c r="F56" s="1440"/>
      <c r="I56" s="1449" t="s">
        <v>842</v>
      </c>
      <c r="J56" s="1450" t="s">
        <v>3381</v>
      </c>
      <c r="K56" s="1421" t="s">
        <v>843</v>
      </c>
      <c r="L56" s="1424" t="str">
        <f ca="1">IF(L48&lt;J51,"——",L48-J53)</f>
        <v>——</v>
      </c>
      <c r="O56" s="1418" t="s">
        <v>403</v>
      </c>
      <c r="P56" s="1419" t="s">
        <v>817</v>
      </c>
      <c r="Q56" s="1420">
        <f ca="1">C40+J29</f>
        <v>4054</v>
      </c>
      <c r="R56" s="1420" t="s">
        <v>818</v>
      </c>
    </row>
    <row r="57" spans="1:18" s="1384" customFormat="1" ht="24.75" thickBot="1">
      <c r="A57" s="1451"/>
      <c r="B57" s="950" t="s">
        <v>767</v>
      </c>
      <c r="C57" s="238">
        <f ca="1">C29</f>
        <v>2203</v>
      </c>
      <c r="D57" s="1452"/>
      <c r="E57" s="1453"/>
      <c r="F57" s="1454"/>
      <c r="I57" s="1455" t="s">
        <v>844</v>
      </c>
      <c r="J57" s="1456">
        <f ca="1">IF(OR(M47="住宅",J51&lt;L48,J56="是"),"——",J51-L48)</f>
        <v>22.25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881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405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0.87</v>
      </c>
      <c r="D62" s="965" t="s">
        <v>786</v>
      </c>
      <c r="E62" s="950" t="s">
        <v>732</v>
      </c>
      <c r="F62" s="325">
        <f t="shared" si="0"/>
        <v>30</v>
      </c>
      <c r="I62" s="1462" t="s">
        <v>858</v>
      </c>
      <c r="J62" s="1463" t="s">
        <v>859</v>
      </c>
      <c r="K62" s="1463" t="s">
        <v>860</v>
      </c>
      <c r="L62" s="1463" t="s">
        <v>861</v>
      </c>
      <c r="M62" s="1464" t="s">
        <v>862</v>
      </c>
      <c r="O62" s="1418" t="s">
        <v>409</v>
      </c>
      <c r="P62" s="1419" t="s">
        <v>863</v>
      </c>
      <c r="Q62" s="1420">
        <f ca="1">Q56+Q57</f>
        <v>4054</v>
      </c>
      <c r="R62" s="1420" t="s">
        <v>410</v>
      </c>
    </row>
    <row r="63" spans="1:18" s="1384" customFormat="1" ht="13.5" thickBot="1">
      <c r="A63" s="326"/>
      <c r="B63" s="956"/>
      <c r="C63" s="26"/>
      <c r="D63" s="966"/>
      <c r="E63" s="950" t="s">
        <v>736</v>
      </c>
      <c r="F63" s="303">
        <f t="shared" ca="1" si="0"/>
        <v>290.99</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11.02</v>
      </c>
      <c r="D64" s="964" t="s">
        <v>771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1.87</v>
      </c>
      <c r="D65" s="964" t="s">
        <v>743</v>
      </c>
      <c r="E65" s="950" t="s">
        <v>712</v>
      </c>
      <c r="F65" s="330">
        <f t="shared" ca="1" si="0"/>
        <v>1E-3</v>
      </c>
      <c r="I65" s="1462" t="s">
        <v>867</v>
      </c>
      <c r="J65" s="1463">
        <v>40</v>
      </c>
      <c r="K65" s="1463">
        <v>30</v>
      </c>
      <c r="L65" s="1463">
        <v>50</v>
      </c>
      <c r="M65" s="1465">
        <v>0.02</v>
      </c>
      <c r="O65" s="1418" t="s">
        <v>403</v>
      </c>
      <c r="P65" s="1419" t="s">
        <v>868</v>
      </c>
      <c r="Q65" s="1420">
        <f ca="1">C40+J29</f>
        <v>4054</v>
      </c>
      <c r="R65" s="1420" t="s">
        <v>818</v>
      </c>
    </row>
    <row r="66" spans="1:18" s="1384" customFormat="1" ht="16.5" thickBot="1">
      <c r="A66" s="982" t="s">
        <v>793</v>
      </c>
      <c r="B66" s="950" t="s">
        <v>728</v>
      </c>
      <c r="C66" s="21">
        <f ca="1">ROUND(C48*F66,2)</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-14</v>
      </c>
      <c r="D67" s="963" t="s">
        <v>753</v>
      </c>
      <c r="E67" s="968"/>
      <c r="F67" s="969"/>
      <c r="O67" s="1428" t="s">
        <v>405</v>
      </c>
      <c r="P67" s="1419" t="s">
        <v>850</v>
      </c>
      <c r="Q67" s="1466">
        <f ca="1">L51</f>
        <v>5039</v>
      </c>
      <c r="R67" s="1420" t="s">
        <v>870</v>
      </c>
    </row>
    <row r="68" spans="1:18" s="1384" customFormat="1" ht="16.5" thickBot="1">
      <c r="A68" s="947" t="s">
        <v>395</v>
      </c>
      <c r="B68" s="948" t="s">
        <v>774</v>
      </c>
      <c r="C68" s="301">
        <f ca="1">ROUND(C67*(1-((1+F70)/(1+F68))^F69)/(F68-F70),0)</f>
        <v>-111</v>
      </c>
      <c r="D68" s="965" t="s">
        <v>758</v>
      </c>
      <c r="E68" s="950" t="s">
        <v>759</v>
      </c>
      <c r="F68" s="312">
        <f ca="1">F40</f>
        <v>5.5E-2</v>
      </c>
      <c r="O68" s="1428" t="s">
        <v>406</v>
      </c>
      <c r="P68" s="1467" t="s">
        <v>871</v>
      </c>
      <c r="Q68" s="1420">
        <f ca="1">ROUND(Q69-Q70*Q71,0)</f>
        <v>315</v>
      </c>
      <c r="R68" s="1420" t="s">
        <v>414</v>
      </c>
    </row>
    <row r="69" spans="1:18" s="1384" customFormat="1" ht="13.5" thickBot="1">
      <c r="A69" s="951"/>
      <c r="B69" s="952"/>
      <c r="C69" s="306"/>
      <c r="D69" s="970" t="s">
        <v>762</v>
      </c>
      <c r="E69" s="950" t="s">
        <v>763</v>
      </c>
      <c r="F69" s="333">
        <f ca="1">F41</f>
        <v>10.75</v>
      </c>
      <c r="O69" s="1428" t="s">
        <v>411</v>
      </c>
      <c r="P69" s="1467" t="s">
        <v>872</v>
      </c>
      <c r="Q69" s="1420">
        <f ca="1">C39</f>
        <v>446</v>
      </c>
      <c r="R69" s="1420" t="s">
        <v>818</v>
      </c>
    </row>
    <row r="70" spans="1:18" s="1384" customFormat="1" ht="13.5" thickBot="1">
      <c r="A70" s="954"/>
      <c r="B70" s="955"/>
      <c r="C70" s="310"/>
      <c r="D70" s="966"/>
      <c r="E70" s="950" t="s">
        <v>766</v>
      </c>
      <c r="F70" s="1054"/>
      <c r="O70" s="1428" t="s">
        <v>412</v>
      </c>
      <c r="P70" s="1467" t="s">
        <v>873</v>
      </c>
      <c r="Q70" s="1420">
        <f ca="1">C13</f>
        <v>1873</v>
      </c>
      <c r="R70" s="1420" t="s">
        <v>818</v>
      </c>
    </row>
    <row r="71" spans="1:18" s="1384" customFormat="1" ht="13.5" thickBot="1">
      <c r="A71" s="971" t="s">
        <v>396</v>
      </c>
      <c r="B71" s="972" t="s">
        <v>776</v>
      </c>
      <c r="C71" s="336">
        <f ca="1">ROUND(C68*10000/F71,0)</f>
        <v>-437</v>
      </c>
      <c r="D71" s="973" t="s">
        <v>777</v>
      </c>
      <c r="E71" s="974" t="s">
        <v>778</v>
      </c>
      <c r="F71" s="339">
        <f ca="1">F43</f>
        <v>2539.2599999999998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131</v>
      </c>
      <c r="D75" s="1384"/>
      <c r="E75" s="1384"/>
      <c r="F75" s="1384"/>
      <c r="K75" s="1402"/>
      <c r="L75" s="1384"/>
      <c r="O75" s="1418" t="s">
        <v>409</v>
      </c>
      <c r="P75" s="1419" t="s">
        <v>838</v>
      </c>
      <c r="Q75" s="1420">
        <f ca="1">Q65+Q66</f>
        <v>4054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0.70599999999999996</v>
      </c>
    </row>
    <row r="80" spans="1:18">
      <c r="B80" s="340" t="s">
        <v>800</v>
      </c>
      <c r="C80" s="274">
        <f ca="1">ROUND(C75/C39,3)</f>
        <v>0.29399999999999998</v>
      </c>
    </row>
    <row r="81" spans="2:3">
      <c r="B81" s="270" t="s">
        <v>801</v>
      </c>
      <c r="C81" s="238"/>
    </row>
    <row r="82" spans="2:3">
      <c r="B82" s="273" t="s">
        <v>802</v>
      </c>
      <c r="C82" s="275">
        <f ca="1">1-C83</f>
        <v>0.53800000000000003</v>
      </c>
    </row>
    <row r="83" spans="2:3">
      <c r="B83" s="273" t="s">
        <v>803</v>
      </c>
      <c r="C83" s="274">
        <f ca="1">ROUND(C13/C40,3)</f>
        <v>0.46200000000000002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K76" sqref="K7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3457</v>
      </c>
      <c r="D1" s="1362" t="s">
        <v>43</v>
      </c>
      <c r="E1" s="1363" t="s">
        <v>678</v>
      </c>
      <c r="F1" s="1062">
        <f ca="1">J53</f>
        <v>10.75</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4310</v>
      </c>
      <c r="C2" s="1387" t="s">
        <v>805</v>
      </c>
      <c r="D2" s="1387"/>
      <c r="E2" s="1388"/>
      <c r="F2" s="1389"/>
      <c r="G2" s="2704"/>
      <c r="H2" s="2693"/>
      <c r="I2" s="2693"/>
      <c r="J2" s="2693"/>
      <c r="K2" s="2694"/>
      <c r="L2" s="2693"/>
      <c r="M2" s="2693"/>
    </row>
    <row r="3" spans="1:37" ht="18" customHeight="1" thickBot="1">
      <c r="A3" s="1390" t="s">
        <v>806</v>
      </c>
      <c r="B3" s="1391">
        <f ca="1">IF(ISERROR(B2*10000/F43),0,ROUND(B2*10000/F43,0))</f>
        <v>10752</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462</v>
      </c>
      <c r="D5" s="1364" t="s">
        <v>693</v>
      </c>
      <c r="E5" s="1071"/>
      <c r="F5" s="1072"/>
      <c r="G5" s="1384"/>
      <c r="H5" s="299">
        <v>1</v>
      </c>
      <c r="I5" s="300" t="s">
        <v>692</v>
      </c>
      <c r="J5" s="1070">
        <f ca="1">J6+J10+J12</f>
        <v>1120</v>
      </c>
      <c r="K5" s="1364" t="s">
        <v>693</v>
      </c>
      <c r="L5" s="1071"/>
      <c r="M5" s="1072"/>
    </row>
    <row r="6" spans="1:37" ht="18" customHeight="1">
      <c r="A6" s="1069" t="s">
        <v>398</v>
      </c>
      <c r="B6" s="3692" t="s">
        <v>694</v>
      </c>
      <c r="C6" s="1074">
        <f ca="1">ROUND(F6*F8*F7*(1-F9)/10000,0)</f>
        <v>461</v>
      </c>
      <c r="D6" s="155" t="s">
        <v>2108</v>
      </c>
      <c r="E6" s="302" t="s">
        <v>696</v>
      </c>
      <c r="F6" s="303">
        <f ca="1">INDIRECT("'数据-取费表'!u"&amp;$G$1)</f>
        <v>3.15</v>
      </c>
      <c r="G6" s="1384"/>
      <c r="H6" s="1069" t="s">
        <v>398</v>
      </c>
      <c r="I6" s="3692" t="s">
        <v>694</v>
      </c>
      <c r="J6" s="301">
        <f ca="1">ROUND(M6*M8*M7*(1-M9)/10000,0)</f>
        <v>1119</v>
      </c>
      <c r="K6" s="155" t="s">
        <v>2107</v>
      </c>
      <c r="L6" s="302" t="s">
        <v>696</v>
      </c>
      <c r="M6" s="303">
        <f ca="1">INDIRECT("'数据-取费表'!z"&amp;$G$1)</f>
        <v>8.31</v>
      </c>
    </row>
    <row r="7" spans="1:37" ht="18" customHeight="1">
      <c r="A7" s="1073"/>
      <c r="B7" s="3693"/>
      <c r="C7" s="1075"/>
      <c r="D7" s="307"/>
      <c r="E7" s="1076" t="s">
        <v>697</v>
      </c>
      <c r="F7" s="303">
        <f ca="1">IF(INDIRECT("'数据-取费表'!ah"&amp;$G$1)="",INDIRECT("'数据-取费表'!k"&amp;$G$1),INDIRECT("'数据-取费表'!ah"&amp;$G$1))</f>
        <v>4008.57</v>
      </c>
      <c r="G7" s="1384"/>
      <c r="H7" s="304"/>
      <c r="I7" s="3693"/>
      <c r="J7" s="306"/>
      <c r="K7" s="307"/>
      <c r="L7" s="302" t="s">
        <v>697</v>
      </c>
      <c r="M7" s="303">
        <f ca="1">F7</f>
        <v>4008.57</v>
      </c>
    </row>
    <row r="8" spans="1:37" ht="18" customHeight="1">
      <c r="A8" s="304"/>
      <c r="B8" s="3693"/>
      <c r="C8" s="306"/>
      <c r="D8" s="307"/>
      <c r="E8" s="302" t="s">
        <v>698</v>
      </c>
      <c r="F8" s="303">
        <f ca="1">INDIRECT("'数据-取费表'!ai"&amp;$G$1)</f>
        <v>365</v>
      </c>
      <c r="G8" s="1384"/>
      <c r="H8" s="304"/>
      <c r="I8" s="3693"/>
      <c r="J8" s="306"/>
      <c r="K8" s="307"/>
      <c r="L8" s="302" t="s">
        <v>698</v>
      </c>
      <c r="M8" s="303">
        <f ca="1">INDIRECT("'数据-取费表'!ai"&amp;$G$1)</f>
        <v>365</v>
      </c>
    </row>
    <row r="9" spans="1:37" ht="18" customHeight="1">
      <c r="A9" s="304"/>
      <c r="B9" s="3694"/>
      <c r="C9" s="306"/>
      <c r="D9" s="307"/>
      <c r="E9" s="302" t="s">
        <v>699</v>
      </c>
      <c r="F9" s="312">
        <f ca="1">INDIRECT("'数据-取费表'!w"&amp;$G$1)</f>
        <v>0</v>
      </c>
      <c r="G9" s="1384"/>
      <c r="H9" s="304"/>
      <c r="I9" s="3694"/>
      <c r="J9" s="306"/>
      <c r="K9" s="307"/>
      <c r="L9" s="313" t="s">
        <v>699</v>
      </c>
      <c r="M9" s="314">
        <f ca="1">INDIRECT("'数据-取费表'!ab"&amp;$G$1)</f>
        <v>0.08</v>
      </c>
    </row>
    <row r="10" spans="1:37" ht="18" customHeight="1">
      <c r="A10" s="1069" t="s">
        <v>402</v>
      </c>
      <c r="B10" s="1365" t="s">
        <v>700</v>
      </c>
      <c r="C10" s="316">
        <f ca="1">ROUND(IF(F10="押一",C6/12*F11,IF(F10="押二",C6/12*2*F11,IF(F10="押三",C6/12*3*F11,C11*F11))),0)</f>
        <v>1</v>
      </c>
      <c r="D10" s="1366" t="s">
        <v>2116</v>
      </c>
      <c r="E10" s="313" t="s">
        <v>701</v>
      </c>
      <c r="F10" s="1116" t="s">
        <v>3411</v>
      </c>
      <c r="G10" s="1384"/>
      <c r="H10" s="1069" t="s">
        <v>402</v>
      </c>
      <c r="I10" s="1365" t="s">
        <v>700</v>
      </c>
      <c r="J10" s="301">
        <f ca="1">ROUND(IF(M10="押一",J6/12*M11,IF(M10="押二",J6/12*2*M11,IF(M10="押三",J6/12*3*M11,J11*M11))),0)</f>
        <v>1</v>
      </c>
      <c r="K10" s="1366" t="s">
        <v>2115</v>
      </c>
      <c r="L10" s="313" t="s">
        <v>701</v>
      </c>
      <c r="M10" s="1116" t="s">
        <v>3411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2955</v>
      </c>
      <c r="D13" s="1081" t="s">
        <v>705</v>
      </c>
      <c r="E13" s="1081" t="s">
        <v>706</v>
      </c>
      <c r="F13" s="1082">
        <f ca="1">INDIRECT("'数据-取费表'!y"&amp;$G$1)</f>
        <v>0.85</v>
      </c>
      <c r="G13" s="1384"/>
      <c r="H13" s="1079">
        <v>2</v>
      </c>
      <c r="I13" s="1080" t="s">
        <v>704</v>
      </c>
      <c r="J13" s="1068">
        <f ca="1">ROUND(J14*J15,0)</f>
        <v>2607</v>
      </c>
      <c r="K13" s="1087" t="s">
        <v>705</v>
      </c>
      <c r="L13" s="1392"/>
      <c r="M13" s="1393"/>
    </row>
    <row r="14" spans="1:37" ht="18" customHeight="1">
      <c r="A14" s="982" t="s">
        <v>397</v>
      </c>
      <c r="B14" s="302" t="s">
        <v>707</v>
      </c>
      <c r="C14" s="318">
        <f ca="1">INDIRECT("'数据-取费表'!m"&amp;$G$1)+INDIRECT("'数据-取费表'!t"&amp;$G$1)</f>
        <v>2205</v>
      </c>
      <c r="D14" s="1345" t="s">
        <v>708</v>
      </c>
      <c r="E14" s="1342"/>
      <c r="F14" s="319"/>
      <c r="G14" s="1384"/>
      <c r="H14" s="982" t="s">
        <v>398</v>
      </c>
      <c r="I14" s="302" t="s">
        <v>709</v>
      </c>
      <c r="J14" s="21">
        <f ca="1">C29</f>
        <v>3476</v>
      </c>
      <c r="K14" s="12"/>
      <c r="L14" s="807"/>
      <c r="M14" s="808"/>
    </row>
    <row r="15" spans="1:37" s="1397" customFormat="1" ht="18" customHeight="1" thickBot="1">
      <c r="A15" s="982" t="s">
        <v>399</v>
      </c>
      <c r="B15" s="302" t="s">
        <v>710</v>
      </c>
      <c r="C15" s="21">
        <f ca="1">ROUND(C14*F15,0)</f>
        <v>110</v>
      </c>
      <c r="D15" s="320" t="s">
        <v>711</v>
      </c>
      <c r="E15" s="320" t="s">
        <v>712</v>
      </c>
      <c r="F15" s="321">
        <f>'数据-取费表'!B33</f>
        <v>0.05</v>
      </c>
      <c r="G15" s="1396"/>
      <c r="H15" s="1089" t="s">
        <v>402</v>
      </c>
      <c r="I15" s="1090" t="s">
        <v>706</v>
      </c>
      <c r="J15" s="1099">
        <f ca="1">INDIRECT("'数据-取费表'!ad"&amp;$G$1)</f>
        <v>0.75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215</v>
      </c>
      <c r="K16" s="1087" t="s">
        <v>715</v>
      </c>
      <c r="L16" s="1088"/>
      <c r="M16" s="1072"/>
    </row>
    <row r="17" spans="1:37" s="1397" customFormat="1" ht="18" customHeight="1">
      <c r="A17" s="982" t="s">
        <v>681</v>
      </c>
      <c r="B17" s="302" t="s">
        <v>716</v>
      </c>
      <c r="C17" s="21">
        <f ca="1">ROUND(F17*(F43+INDIRECT("'数据-取费表'!S"&amp;$G$1))/10000,0)</f>
        <v>80</v>
      </c>
      <c r="D17" s="302" t="s">
        <v>717</v>
      </c>
      <c r="E17" s="302" t="s">
        <v>718</v>
      </c>
      <c r="F17" s="23">
        <f>'数据-取费表'!B35</f>
        <v>200</v>
      </c>
      <c r="G17" s="1396"/>
      <c r="H17" s="982" t="s">
        <v>398</v>
      </c>
      <c r="I17" s="302" t="s">
        <v>719</v>
      </c>
      <c r="J17" s="2316">
        <f ca="1">ROUND(IF(AND(项目基本情况!B11="自然人",项目基本情况!B10="北京市"),J6*M17/(1+'数据-取费表'!C42),J18+J19+J20),2)</f>
        <v>188.95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33</v>
      </c>
      <c r="D18" s="302" t="s">
        <v>711</v>
      </c>
      <c r="E18" s="302" t="s">
        <v>712</v>
      </c>
      <c r="F18" s="322">
        <f>'数据-取费表'!B36</f>
        <v>1.4999999999999999E-2</v>
      </c>
      <c r="G18" s="1396"/>
      <c r="H18" s="982" t="s">
        <v>397</v>
      </c>
      <c r="I18" s="302" t="s">
        <v>723</v>
      </c>
      <c r="J18" s="21">
        <f ca="1">ROUND(J6*M18/(1+'数据-取费表'!C42),2)</f>
        <v>59.68</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2428</v>
      </c>
      <c r="D19" s="131" t="s">
        <v>726</v>
      </c>
      <c r="E19" s="1360"/>
      <c r="F19" s="23"/>
      <c r="G19" s="1384"/>
      <c r="H19" s="982" t="s">
        <v>399</v>
      </c>
      <c r="I19" s="302" t="s">
        <v>727</v>
      </c>
      <c r="J19" s="21">
        <f ca="1">IF(K19="按租金收入计税",ROUND(J6*M19/(1+'数据-取费表'!C42),2),ROUND(C29*M19*0.7,2))</f>
        <v>127.89</v>
      </c>
      <c r="K19" s="1370" t="s">
        <v>3335</v>
      </c>
      <c r="L19" s="302" t="s">
        <v>712</v>
      </c>
      <c r="M19" s="322">
        <f>IF(K19="按租金收入计税",'数据-取费表'!B51,'数据-取费表'!B50)</f>
        <v>0.12</v>
      </c>
    </row>
    <row r="20" spans="1:37" s="1397" customFormat="1" ht="18" customHeight="1">
      <c r="A20" s="982" t="s">
        <v>402</v>
      </c>
      <c r="B20" s="302" t="s">
        <v>728</v>
      </c>
      <c r="C20" s="21">
        <f ca="1">ROUND(C19*F20,0)</f>
        <v>73</v>
      </c>
      <c r="D20" s="323" t="s">
        <v>729</v>
      </c>
      <c r="E20" s="302" t="s">
        <v>712</v>
      </c>
      <c r="F20" s="322">
        <f>'数据-取费表'!B37</f>
        <v>0.03</v>
      </c>
      <c r="G20" s="1396"/>
      <c r="H20" s="982" t="s">
        <v>680</v>
      </c>
      <c r="I20" s="155" t="s">
        <v>730</v>
      </c>
      <c r="J20" s="22">
        <f ca="1">ROUND(M20*M21/10000,2)</f>
        <v>1.38</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459.36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17.38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158</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2.61</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5.6</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905</v>
      </c>
      <c r="K25" s="1095" t="s">
        <v>753</v>
      </c>
      <c r="L25" s="1096"/>
      <c r="M25" s="1097"/>
    </row>
    <row r="26" spans="1:37">
      <c r="A26" s="982" t="s">
        <v>397</v>
      </c>
      <c r="B26" s="302" t="s">
        <v>754</v>
      </c>
      <c r="C26" s="21">
        <f ca="1">ROUND((C19+C20)*F26,0)</f>
        <v>500</v>
      </c>
      <c r="D26" s="323" t="s">
        <v>755</v>
      </c>
      <c r="E26" s="313" t="s">
        <v>756</v>
      </c>
      <c r="F26" s="312">
        <f ca="1">INDIRECT("'数据-取费表'!q"&amp;$G$1)</f>
        <v>0.2</v>
      </c>
      <c r="G26" s="1384"/>
      <c r="H26" s="299" t="s">
        <v>395</v>
      </c>
      <c r="I26" s="300" t="s">
        <v>757</v>
      </c>
      <c r="J26" s="301">
        <f ca="1">IF(J5&lt;&gt;0,ROUND(J25*(1-((1+M28)/(1+M26))^M27)/(M26-M28),0),0)</f>
        <v>2049</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2.4299999999999997</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3476</v>
      </c>
      <c r="D29" s="1092"/>
      <c r="E29" s="1090"/>
      <c r="F29" s="1093"/>
      <c r="G29" s="1396"/>
      <c r="H29" s="334" t="s">
        <v>396</v>
      </c>
      <c r="I29" s="335" t="s">
        <v>768</v>
      </c>
      <c r="J29" s="336">
        <f ca="1">ROUND(J26/(1+F40)^F41,0)</f>
        <v>1312</v>
      </c>
      <c r="K29" s="337" t="s">
        <v>769</v>
      </c>
      <c r="L29" s="338"/>
      <c r="M29" s="339">
        <f ca="1">INDIRECT("'数据-取费表'!k"&amp;$G$1)</f>
        <v>4008.57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101</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78.66</v>
      </c>
      <c r="D31" s="1345" t="s">
        <v>720</v>
      </c>
      <c r="E31" s="1344" t="s">
        <v>770</v>
      </c>
      <c r="F31" s="2315" t="str">
        <f>IF(项目基本情况!B11="企业","——",IF(M47="住宅",IF(F6*F7*F8/12/(1+'数据-取费表'!F30)&gt;100000,4%,2.5%),IF(F6*F7*F8/12/(1+'数据-取费表'!F30)&gt;100000,12%,7%)))</f>
        <v>——</v>
      </c>
      <c r="G31" s="1384"/>
      <c r="H31" s="2806" t="s">
        <v>2305</v>
      </c>
      <c r="I31" s="1398"/>
      <c r="J31" s="1399"/>
      <c r="K31" s="2473"/>
      <c r="L31" s="2696"/>
      <c r="M31" s="2697"/>
    </row>
    <row r="32" spans="1:37" ht="18" customHeight="1">
      <c r="A32" s="982" t="s">
        <v>397</v>
      </c>
      <c r="B32" s="302" t="s">
        <v>723</v>
      </c>
      <c r="C32" s="21">
        <f ca="1">IF(项目基本情况!B11="自然人","——",ROUND(C6*F32/(1+'数据-取费表'!C42),2))</f>
        <v>24.59</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52.69</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1.38</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459.36</v>
      </c>
      <c r="G35" s="1384"/>
      <c r="H35" s="2695"/>
      <c r="I35" s="1398"/>
      <c r="J35" s="1399"/>
      <c r="K35" s="2699"/>
      <c r="L35" s="2698"/>
      <c r="M35" s="2698"/>
    </row>
    <row r="36" spans="1:18" ht="18" customHeight="1">
      <c r="A36" s="1102" t="s">
        <v>402</v>
      </c>
      <c r="B36" s="302" t="s">
        <v>738</v>
      </c>
      <c r="C36" s="21">
        <f ca="1">ROUND(C29*F36,2)</f>
        <v>17.38</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ROUND(C13*F37,2)</f>
        <v>2.96</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2.31</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361</v>
      </c>
      <c r="D39" s="1095" t="s">
        <v>773</v>
      </c>
      <c r="E39" s="1096"/>
      <c r="F39" s="1097"/>
      <c r="G39" s="1384"/>
      <c r="H39" s="2698"/>
      <c r="I39" s="1398"/>
      <c r="J39" s="1399"/>
      <c r="K39" s="2702"/>
      <c r="L39" s="2698"/>
      <c r="M39" s="2698"/>
    </row>
    <row r="40" spans="1:18" ht="18" customHeight="1">
      <c r="A40" s="299" t="s">
        <v>395</v>
      </c>
      <c r="B40" s="300" t="s">
        <v>774</v>
      </c>
      <c r="C40" s="301">
        <f ca="1">ROUND(C39*(1-((1+F42)/(1+F40))^F41)/(F40-F42),0)</f>
        <v>2359</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8.32</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f ca="1">ROUND(C40*10000/F43,0)</f>
        <v>5885</v>
      </c>
      <c r="D43" s="337" t="s">
        <v>777</v>
      </c>
      <c r="E43" s="338" t="s">
        <v>778</v>
      </c>
      <c r="F43" s="339">
        <f ca="1">INDIRECT("'数据-取费表'!k"&amp;$G$1)</f>
        <v>4008.57</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2221</v>
      </c>
      <c r="D46" s="1406" t="str">
        <f>C2</f>
        <v>万元</v>
      </c>
      <c r="E46" s="1400"/>
      <c r="F46" s="1400"/>
      <c r="I46" s="1407" t="s">
        <v>810</v>
      </c>
      <c r="J46" s="1408"/>
      <c r="K46" s="1409"/>
      <c r="L46" s="1410">
        <f ca="1">IF(M47="住宅",0,IF(L48&gt;J51,L60,J60))</f>
        <v>639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3412</v>
      </c>
      <c r="K47" s="1416" t="s">
        <v>816</v>
      </c>
      <c r="L47" s="1417">
        <f ca="1">INDIRECT("'数据-取费表'!d"&amp;$G$1)</f>
        <v>40</v>
      </c>
      <c r="M47" s="1380" t="str">
        <f>IF(ISNUMBER(FIND("住宅",C1)),"住宅","非住宅")</f>
        <v>非住宅</v>
      </c>
      <c r="O47" s="1418" t="s">
        <v>403</v>
      </c>
      <c r="P47" s="1419" t="s">
        <v>817</v>
      </c>
      <c r="Q47" s="1420">
        <f ca="1">C40+J29</f>
        <v>3671</v>
      </c>
      <c r="R47" s="1420" t="s">
        <v>818</v>
      </c>
    </row>
    <row r="48" spans="1:18" s="1384" customFormat="1" ht="28.5" thickBot="1">
      <c r="A48" s="1110" t="s">
        <v>438</v>
      </c>
      <c r="B48" s="300" t="s">
        <v>692</v>
      </c>
      <c r="C48" s="1359">
        <f ca="1">C49+C53+C55</f>
        <v>791</v>
      </c>
      <c r="D48" s="1112"/>
      <c r="E48" s="1113"/>
      <c r="F48" s="962"/>
      <c r="G48" s="722"/>
      <c r="H48" s="723"/>
      <c r="I48" s="1421" t="s">
        <v>819</v>
      </c>
      <c r="J48" s="1422" t="s">
        <v>3413</v>
      </c>
      <c r="K48" s="1423" t="s">
        <v>820</v>
      </c>
      <c r="L48" s="1424">
        <f ca="1">INDIRECT("'数据-取费表'!f"&amp;$G$1)</f>
        <v>10.75</v>
      </c>
      <c r="O48" s="1418" t="s">
        <v>404</v>
      </c>
      <c r="P48" s="1419" t="s">
        <v>821</v>
      </c>
      <c r="Q48" s="1420">
        <f ca="1">J60</f>
        <v>639</v>
      </c>
      <c r="R48" s="1420" t="s">
        <v>822</v>
      </c>
    </row>
    <row r="49" spans="1:18" s="1384" customFormat="1" ht="13.5" thickBot="1">
      <c r="A49" s="975" t="s">
        <v>439</v>
      </c>
      <c r="B49" s="1371" t="s">
        <v>779</v>
      </c>
      <c r="C49" s="1114">
        <f ca="1">ROUND(F49*F51*F50*(1-F52)/10000,0)</f>
        <v>790</v>
      </c>
      <c r="D49" s="1055" t="s">
        <v>2109</v>
      </c>
      <c r="E49" s="1372" t="s">
        <v>780</v>
      </c>
      <c r="F49" s="1060">
        <v>6</v>
      </c>
      <c r="G49" s="1425"/>
      <c r="H49" s="723"/>
      <c r="I49" s="1421" t="s">
        <v>823</v>
      </c>
      <c r="J49" s="1426">
        <v>1996</v>
      </c>
      <c r="K49" s="1423" t="s">
        <v>824</v>
      </c>
      <c r="L49" s="1427"/>
      <c r="O49" s="1428" t="s">
        <v>405</v>
      </c>
      <c r="P49" s="1419" t="s">
        <v>825</v>
      </c>
      <c r="Q49" s="1420">
        <f ca="1">C29</f>
        <v>3476</v>
      </c>
      <c r="R49" s="1420" t="s">
        <v>818</v>
      </c>
    </row>
    <row r="50" spans="1:18" s="1384" customFormat="1" ht="13.5" thickBot="1">
      <c r="A50" s="976"/>
      <c r="B50" s="979"/>
      <c r="C50" s="1118"/>
      <c r="D50" s="953"/>
      <c r="E50" s="1056" t="s">
        <v>697</v>
      </c>
      <c r="F50" s="1057">
        <f ca="1">F7</f>
        <v>4008.57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33</v>
      </c>
      <c r="K51" s="1434" t="s">
        <v>830</v>
      </c>
      <c r="L51" s="1435">
        <f ca="1">ROUND(-PV(INDIRECT("'数据-取费表'!h"&amp;$G$1),J51,(C39-C13*C76),0),0)</f>
        <v>2467</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10.75</v>
      </c>
      <c r="R52" s="1420" t="s">
        <v>835</v>
      </c>
    </row>
    <row r="53" spans="1:18" s="1384" customFormat="1" ht="24.75" thickBot="1">
      <c r="A53" s="1152" t="s">
        <v>440</v>
      </c>
      <c r="B53" s="1373" t="s">
        <v>700</v>
      </c>
      <c r="C53" s="316">
        <f ca="1">ROUND(IF(F53="押一",C49/12*F11,IF(F53="押二",C49/12*2*F11,IF(F53="押三",C49/12*3*F11,C54*F11))),0)</f>
        <v>1</v>
      </c>
      <c r="D53" s="1366" t="s">
        <v>2115</v>
      </c>
      <c r="E53" s="313" t="s">
        <v>701</v>
      </c>
      <c r="F53" s="1116" t="s">
        <v>3411</v>
      </c>
      <c r="I53" s="1439" t="s">
        <v>836</v>
      </c>
      <c r="J53" s="2168">
        <f ca="1">IF(M47="住宅",IF(D1="——",MAX(J51,L48),MAX(J51,L48-'数据-取费表'!B24)),IF(D1="——",MIN(J51,L48),MIN(J51,L48-'数据-取费表'!B24)))</f>
        <v>10.75</v>
      </c>
      <c r="K53" s="3695" t="s">
        <v>837</v>
      </c>
      <c r="L53" s="3696"/>
      <c r="O53" s="1418" t="s">
        <v>409</v>
      </c>
      <c r="P53" s="1419" t="s">
        <v>838</v>
      </c>
      <c r="Q53" s="1420">
        <f ca="1">Q47+Q48</f>
        <v>4310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0.371</v>
      </c>
      <c r="K55" s="1445" t="s">
        <v>841</v>
      </c>
      <c r="L55" s="1446"/>
      <c r="O55" s="1411" t="s">
        <v>811</v>
      </c>
      <c r="P55" s="1412" t="s">
        <v>812</v>
      </c>
      <c r="Q55" s="1413" t="s">
        <v>813</v>
      </c>
      <c r="R55" s="1413" t="s">
        <v>814</v>
      </c>
    </row>
    <row r="56" spans="1:18" s="1384" customFormat="1" ht="25.5" thickTop="1" thickBot="1">
      <c r="A56" s="957">
        <v>2</v>
      </c>
      <c r="B56" s="958" t="s">
        <v>704</v>
      </c>
      <c r="C56" s="232">
        <f ca="1">C13</f>
        <v>2955</v>
      </c>
      <c r="D56" s="1447"/>
      <c r="E56" s="1448"/>
      <c r="F56" s="1440"/>
      <c r="I56" s="1449" t="s">
        <v>842</v>
      </c>
      <c r="J56" s="1450" t="s">
        <v>3381</v>
      </c>
      <c r="K56" s="1421" t="s">
        <v>843</v>
      </c>
      <c r="L56" s="1424" t="str">
        <f ca="1">IF(L48&lt;J51,"——",L48-J53)</f>
        <v>——</v>
      </c>
      <c r="O56" s="1418" t="s">
        <v>403</v>
      </c>
      <c r="P56" s="1419" t="s">
        <v>817</v>
      </c>
      <c r="Q56" s="1420">
        <f ca="1">C40+J29</f>
        <v>3671</v>
      </c>
      <c r="R56" s="1420" t="s">
        <v>818</v>
      </c>
    </row>
    <row r="57" spans="1:18" s="1384" customFormat="1" ht="24.75" thickBot="1">
      <c r="A57" s="1451"/>
      <c r="B57" s="950" t="s">
        <v>767</v>
      </c>
      <c r="C57" s="238">
        <f ca="1">C29</f>
        <v>3476</v>
      </c>
      <c r="D57" s="1452"/>
      <c r="E57" s="1453"/>
      <c r="F57" s="1454"/>
      <c r="I57" s="1455" t="s">
        <v>844</v>
      </c>
      <c r="J57" s="1456">
        <f ca="1">IF(OR(M47="住宅",J51&lt;L48,J56="是"),"——",J51-L48)</f>
        <v>22.25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158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134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1390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42.19</v>
      </c>
      <c r="D60" s="964" t="s">
        <v>724</v>
      </c>
      <c r="E60" s="950" t="s">
        <v>712</v>
      </c>
      <c r="F60" s="331">
        <f t="shared" ref="F60:F66" si="0">F32</f>
        <v>5.6000000000000001E-2</v>
      </c>
      <c r="I60" s="1458" t="s">
        <v>853</v>
      </c>
      <c r="J60" s="1459">
        <f ca="1">IF(OR(M47="住宅",J51&lt;L48,J56="是"),"0",ROUND(J59/(1+J52)^J53,0))</f>
        <v>639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90.29</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1.38</v>
      </c>
      <c r="D62" s="965" t="s">
        <v>786</v>
      </c>
      <c r="E62" s="950" t="s">
        <v>787</v>
      </c>
      <c r="F62" s="325">
        <f t="shared" si="0"/>
        <v>30</v>
      </c>
      <c r="I62" s="1462" t="s">
        <v>858</v>
      </c>
      <c r="J62" s="1463" t="s">
        <v>859</v>
      </c>
      <c r="K62" s="1463" t="s">
        <v>860</v>
      </c>
      <c r="L62" s="1463" t="s">
        <v>861</v>
      </c>
      <c r="M62" s="1464" t="s">
        <v>862</v>
      </c>
      <c r="O62" s="1418" t="s">
        <v>409</v>
      </c>
      <c r="P62" s="1419" t="s">
        <v>863</v>
      </c>
      <c r="Q62" s="1420">
        <f ca="1">Q56+Q57</f>
        <v>3671</v>
      </c>
      <c r="R62" s="1420" t="s">
        <v>410</v>
      </c>
    </row>
    <row r="63" spans="1:18" s="1384" customFormat="1" ht="13.5" thickBot="1">
      <c r="A63" s="326"/>
      <c r="B63" s="956"/>
      <c r="C63" s="26"/>
      <c r="D63" s="966"/>
      <c r="E63" s="950" t="s">
        <v>788</v>
      </c>
      <c r="F63" s="303">
        <f t="shared" ca="1" si="0"/>
        <v>459.36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17.38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2.96</v>
      </c>
      <c r="D65" s="964" t="s">
        <v>743</v>
      </c>
      <c r="E65" s="950" t="s">
        <v>744</v>
      </c>
      <c r="F65" s="330">
        <f t="shared" ca="1" si="0"/>
        <v>1E-3</v>
      </c>
      <c r="I65" s="1462" t="s">
        <v>867</v>
      </c>
      <c r="J65" s="1463">
        <v>40</v>
      </c>
      <c r="K65" s="1463">
        <v>30</v>
      </c>
      <c r="L65" s="1463">
        <v>50</v>
      </c>
      <c r="M65" s="1465">
        <v>0.02</v>
      </c>
      <c r="O65" s="1418" t="s">
        <v>403</v>
      </c>
      <c r="P65" s="1419" t="s">
        <v>868</v>
      </c>
      <c r="Q65" s="1420">
        <f ca="1">C40+J29</f>
        <v>3671</v>
      </c>
      <c r="R65" s="1420" t="s">
        <v>818</v>
      </c>
    </row>
    <row r="66" spans="1:18" s="1384" customFormat="1" ht="16.5" thickBot="1">
      <c r="A66" s="982" t="s">
        <v>793</v>
      </c>
      <c r="B66" s="950" t="s">
        <v>728</v>
      </c>
      <c r="C66" s="21">
        <f ca="1">ROUND(C48*F66,2)</f>
        <v>3.96</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633</v>
      </c>
      <c r="D67" s="963" t="s">
        <v>753</v>
      </c>
      <c r="E67" s="968"/>
      <c r="F67" s="969"/>
      <c r="O67" s="1428" t="s">
        <v>405</v>
      </c>
      <c r="P67" s="1419" t="s">
        <v>850</v>
      </c>
      <c r="Q67" s="1466">
        <f ca="1">L51</f>
        <v>2467</v>
      </c>
      <c r="R67" s="1420" t="s">
        <v>870</v>
      </c>
    </row>
    <row r="68" spans="1:18" s="1384" customFormat="1" ht="16.5" thickBot="1">
      <c r="A68" s="947" t="s">
        <v>395</v>
      </c>
      <c r="B68" s="948" t="s">
        <v>774</v>
      </c>
      <c r="C68" s="301">
        <f ca="1">ROUND(C67*(1-((1+F70)/(1+F68))^F69)/(F68-F70),0)</f>
        <v>4580</v>
      </c>
      <c r="D68" s="965" t="s">
        <v>758</v>
      </c>
      <c r="E68" s="950" t="s">
        <v>759</v>
      </c>
      <c r="F68" s="312">
        <f ca="1">F40</f>
        <v>5.5E-2</v>
      </c>
      <c r="O68" s="1428" t="s">
        <v>406</v>
      </c>
      <c r="P68" s="1467" t="s">
        <v>871</v>
      </c>
      <c r="Q68" s="1420">
        <f ca="1">ROUND(Q69-Q70*Q71,0)</f>
        <v>154</v>
      </c>
      <c r="R68" s="1420" t="s">
        <v>414</v>
      </c>
    </row>
    <row r="69" spans="1:18" s="1384" customFormat="1" ht="13.5" thickBot="1">
      <c r="A69" s="951"/>
      <c r="B69" s="952"/>
      <c r="C69" s="306"/>
      <c r="D69" s="970" t="s">
        <v>762</v>
      </c>
      <c r="E69" s="950" t="s">
        <v>763</v>
      </c>
      <c r="F69" s="333">
        <f ca="1">F41</f>
        <v>8.32</v>
      </c>
      <c r="O69" s="1428" t="s">
        <v>411</v>
      </c>
      <c r="P69" s="1467" t="s">
        <v>872</v>
      </c>
      <c r="Q69" s="1420">
        <f ca="1">C39</f>
        <v>361</v>
      </c>
      <c r="R69" s="1420" t="s">
        <v>818</v>
      </c>
    </row>
    <row r="70" spans="1:18" s="1384" customFormat="1" ht="13.5" thickBot="1">
      <c r="A70" s="954"/>
      <c r="B70" s="955"/>
      <c r="C70" s="310"/>
      <c r="D70" s="966"/>
      <c r="E70" s="950" t="s">
        <v>766</v>
      </c>
      <c r="F70" s="1054">
        <v>0.03</v>
      </c>
      <c r="O70" s="1428" t="s">
        <v>412</v>
      </c>
      <c r="P70" s="1467" t="s">
        <v>873</v>
      </c>
      <c r="Q70" s="1420">
        <f ca="1">C13</f>
        <v>2955</v>
      </c>
      <c r="R70" s="1420" t="s">
        <v>818</v>
      </c>
    </row>
    <row r="71" spans="1:18" s="1384" customFormat="1" ht="13.5" thickBot="1">
      <c r="A71" s="971" t="s">
        <v>396</v>
      </c>
      <c r="B71" s="972" t="s">
        <v>776</v>
      </c>
      <c r="C71" s="336">
        <f ca="1">ROUND(C68*10000/F71,0)</f>
        <v>11426</v>
      </c>
      <c r="D71" s="973" t="s">
        <v>777</v>
      </c>
      <c r="E71" s="974" t="s">
        <v>778</v>
      </c>
      <c r="F71" s="339">
        <f ca="1">F43</f>
        <v>4008.57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207</v>
      </c>
      <c r="D75" s="1384"/>
      <c r="E75" s="1384"/>
      <c r="F75" s="1384"/>
      <c r="K75" s="1402"/>
      <c r="L75" s="1384"/>
      <c r="O75" s="1418" t="s">
        <v>409</v>
      </c>
      <c r="P75" s="1419" t="s">
        <v>838</v>
      </c>
      <c r="Q75" s="1420">
        <f ca="1">Q65+Q66</f>
        <v>3671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0.42700000000000005</v>
      </c>
    </row>
    <row r="80" spans="1:18">
      <c r="B80" s="340" t="s">
        <v>800</v>
      </c>
      <c r="C80" s="274">
        <f ca="1">ROUND(C75/C39,3)</f>
        <v>0.57299999999999995</v>
      </c>
    </row>
    <row r="81" spans="2:3">
      <c r="B81" s="270" t="s">
        <v>801</v>
      </c>
      <c r="C81" s="238"/>
    </row>
    <row r="82" spans="2:3">
      <c r="B82" s="273" t="s">
        <v>802</v>
      </c>
      <c r="C82" s="275">
        <f ca="1">1-C83</f>
        <v>-0.25299999999999989</v>
      </c>
    </row>
    <row r="83" spans="2:3">
      <c r="B83" s="273" t="s">
        <v>803</v>
      </c>
      <c r="C83" s="274">
        <f ca="1">ROUND(C13/C40,3)</f>
        <v>1.2529999999999999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2" t="s">
        <v>694</v>
      </c>
      <c r="C6" s="1074">
        <f ca="1">ROUND(F6*F8*F7*(1-F9),0)</f>
        <v>0</v>
      </c>
      <c r="D6" s="155" t="s">
        <v>2105</v>
      </c>
      <c r="E6" s="302" t="s">
        <v>696</v>
      </c>
      <c r="F6" s="303">
        <f ca="1">INDIRECT("'数据-取费表'!u"&amp;$G$1)</f>
        <v>0</v>
      </c>
      <c r="G6" s="1384"/>
      <c r="H6" s="1069" t="s">
        <v>398</v>
      </c>
      <c r="I6" s="3692" t="s">
        <v>694</v>
      </c>
      <c r="J6" s="301">
        <f ca="1">ROUND(M6*M8*M7*(1-M9),0)</f>
        <v>0</v>
      </c>
      <c r="K6" s="1376" t="s">
        <v>2106</v>
      </c>
      <c r="L6" s="302" t="s">
        <v>696</v>
      </c>
      <c r="M6" s="303">
        <f ca="1">INDIRECT("'数据-取费表'!z"&amp;$G$1)</f>
        <v>0</v>
      </c>
    </row>
    <row r="7" spans="1:37" ht="18" customHeight="1">
      <c r="A7" s="1073"/>
      <c r="B7" s="3693"/>
      <c r="C7" s="1075"/>
      <c r="D7" s="307"/>
      <c r="E7" s="1076" t="s">
        <v>697</v>
      </c>
      <c r="F7" s="303">
        <f ca="1">IF(INDIRECT("'数据-取费表'!ah"&amp;$G$1)="",INDIRECT("'数据-取费表'!k"&amp;$G$1),INDIRECT("'数据-取费表'!ah"&amp;$G$1))</f>
        <v>0</v>
      </c>
      <c r="G7" s="1384"/>
      <c r="H7" s="304"/>
      <c r="I7" s="3693"/>
      <c r="J7" s="306"/>
      <c r="K7" s="307"/>
      <c r="L7" s="302" t="s">
        <v>697</v>
      </c>
      <c r="M7" s="303">
        <f ca="1">F7</f>
        <v>0</v>
      </c>
    </row>
    <row r="8" spans="1:37" ht="18" customHeight="1">
      <c r="A8" s="304"/>
      <c r="B8" s="3693"/>
      <c r="C8" s="306"/>
      <c r="D8" s="307"/>
      <c r="E8" s="302" t="s">
        <v>698</v>
      </c>
      <c r="F8" s="303">
        <f ca="1">INDIRECT("'数据-取费表'!ai"&amp;$G$1)</f>
        <v>0</v>
      </c>
      <c r="G8" s="1384"/>
      <c r="H8" s="304"/>
      <c r="I8" s="3693"/>
      <c r="J8" s="306"/>
      <c r="K8" s="307"/>
      <c r="L8" s="302" t="s">
        <v>698</v>
      </c>
      <c r="M8" s="303">
        <f ca="1">INDIRECT("'数据-取费表'!ai"&amp;$G$1)</f>
        <v>0</v>
      </c>
    </row>
    <row r="9" spans="1:37" ht="18" customHeight="1">
      <c r="A9" s="304"/>
      <c r="B9" s="3694"/>
      <c r="C9" s="306"/>
      <c r="D9" s="307"/>
      <c r="E9" s="302" t="s">
        <v>699</v>
      </c>
      <c r="F9" s="312">
        <f ca="1">INDIRECT("'数据-取费表'!w"&amp;$G$1)</f>
        <v>0</v>
      </c>
      <c r="G9" s="1384"/>
      <c r="H9" s="304"/>
      <c r="I9" s="369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2305</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t="e">
        <f ca="1">ROUND((C68-C40)/10000,4)</f>
        <v>#DIV/0!</v>
      </c>
      <c r="D45" s="3430"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95" t="s">
        <v>837</v>
      </c>
      <c r="L53" s="369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2433</v>
      </c>
      <c r="B1" s="2830"/>
      <c r="C1" s="2842"/>
      <c r="D1" s="2842"/>
      <c r="E1" s="2831"/>
      <c r="F1" s="2832"/>
      <c r="G1" s="2833"/>
      <c r="J1" s="2836" t="s">
        <v>2312</v>
      </c>
      <c r="K1" s="2837"/>
      <c r="L1" s="2837"/>
      <c r="M1" s="2837"/>
      <c r="N1" s="2837"/>
      <c r="O1" s="2837"/>
      <c r="P1" s="2837"/>
      <c r="Q1" s="2837"/>
      <c r="R1" s="2838"/>
      <c r="S1" s="2839"/>
      <c r="T1" s="2839"/>
      <c r="U1" s="2839"/>
    </row>
    <row r="2" spans="1:22" s="2851" customFormat="1" ht="13.15" customHeight="1">
      <c r="A2" s="1385" t="s">
        <v>2313</v>
      </c>
      <c r="B2" s="2841" t="e">
        <f>IF(D2="——",C40,C40+E2)</f>
        <v>#DIV/0!</v>
      </c>
      <c r="C2" s="2842" t="s">
        <v>2314</v>
      </c>
      <c r="D2" s="3441" t="s">
        <v>3358</v>
      </c>
      <c r="E2" s="3442"/>
      <c r="F2" s="2844"/>
      <c r="G2" s="2845"/>
      <c r="H2" s="2846"/>
      <c r="I2" s="2847"/>
      <c r="J2" s="3703" t="s">
        <v>2315</v>
      </c>
      <c r="K2" s="3704"/>
      <c r="L2" s="2848" t="s">
        <v>2316</v>
      </c>
      <c r="M2" s="2848" t="s">
        <v>2317</v>
      </c>
      <c r="N2" s="2848" t="s">
        <v>2318</v>
      </c>
      <c r="O2" s="2848" t="s">
        <v>2319</v>
      </c>
      <c r="P2" s="2848" t="s">
        <v>2320</v>
      </c>
      <c r="Q2" s="2849" t="s">
        <v>2321</v>
      </c>
      <c r="R2" s="2850" t="s">
        <v>2322</v>
      </c>
      <c r="S2" s="2839"/>
      <c r="T2" s="2839"/>
      <c r="U2" s="2839"/>
      <c r="V2" s="2847"/>
    </row>
    <row r="3" spans="1:22" s="2851" customFormat="1" ht="13.15" customHeight="1">
      <c r="A3" s="2852" t="s">
        <v>2323</v>
      </c>
      <c r="B3" s="2853" t="e">
        <f>ROUND(B2*10000/B4,0)</f>
        <v>#DIV/0!</v>
      </c>
      <c r="C3" s="2842" t="s">
        <v>2324</v>
      </c>
      <c r="D3" s="2842"/>
      <c r="E3" s="2843"/>
      <c r="F3" s="2844"/>
      <c r="G3" s="2845"/>
      <c r="H3" s="2846"/>
      <c r="I3" s="2847"/>
      <c r="J3" s="3705" t="s">
        <v>2325</v>
      </c>
      <c r="K3" s="3706"/>
      <c r="L3" s="2854"/>
      <c r="M3" s="2854"/>
      <c r="N3" s="2854"/>
      <c r="O3" s="2854"/>
      <c r="P3" s="2854"/>
      <c r="Q3" s="2855"/>
      <c r="R3" s="2856">
        <f>SUM(L3:Q3)</f>
        <v>0</v>
      </c>
      <c r="S3" s="2839"/>
      <c r="T3" s="2839"/>
      <c r="U3" s="2839"/>
      <c r="V3" s="2847"/>
    </row>
    <row r="4" spans="1:22" s="2851" customFormat="1" ht="13.15" customHeight="1">
      <c r="A4" s="2857" t="s">
        <v>2326</v>
      </c>
      <c r="B4" s="2858"/>
      <c r="C4" s="2842"/>
      <c r="D4" s="2842"/>
      <c r="E4" s="2843"/>
      <c r="F4" s="2844"/>
      <c r="G4" s="2845"/>
      <c r="H4" s="2846"/>
      <c r="I4" s="2847"/>
      <c r="J4" s="3705" t="s">
        <v>2327</v>
      </c>
      <c r="K4" s="3706"/>
      <c r="L4" s="2859"/>
      <c r="M4" s="2859"/>
      <c r="N4" s="2859"/>
      <c r="O4" s="2859"/>
      <c r="P4" s="2859"/>
      <c r="Q4" s="2860"/>
      <c r="R4" s="2861">
        <f>SUM(L4:Q4)</f>
        <v>0</v>
      </c>
      <c r="S4" s="2839"/>
      <c r="T4" s="2839"/>
      <c r="U4" s="2839"/>
      <c r="V4" s="2847"/>
    </row>
    <row r="5" spans="1:22" s="2851" customFormat="1" ht="13.15" customHeight="1" thickBot="1">
      <c r="A5" s="2862" t="s">
        <v>2328</v>
      </c>
      <c r="B5" s="2863"/>
      <c r="C5" s="2842"/>
      <c r="D5" s="2864"/>
      <c r="E5" s="2844"/>
      <c r="F5" s="2844"/>
      <c r="G5" s="2845"/>
      <c r="H5" s="2846"/>
      <c r="I5" s="2847"/>
      <c r="J5" s="2865" t="s">
        <v>2329</v>
      </c>
      <c r="K5" s="2866"/>
      <c r="L5" s="2866"/>
      <c r="M5" s="2867"/>
      <c r="N5" s="2867"/>
      <c r="O5" s="2867"/>
      <c r="P5" s="2867"/>
      <c r="Q5" s="2867"/>
      <c r="R5" s="2850">
        <f>SUM(R14,R19,R24,R25,R27,R28)</f>
        <v>0</v>
      </c>
      <c r="S5" s="2839"/>
      <c r="T5" s="2839" t="s">
        <v>2330</v>
      </c>
      <c r="U5" s="2839" t="e">
        <f>ROUND(R5*10000/365/R3,1)</f>
        <v>#DIV/0!</v>
      </c>
      <c r="V5" s="2847"/>
    </row>
    <row r="6" spans="1:22" s="2851" customFormat="1" ht="13.15" customHeight="1" thickBot="1">
      <c r="A6" s="3711" t="s">
        <v>2331</v>
      </c>
      <c r="B6" s="3712"/>
      <c r="C6" s="3713"/>
      <c r="D6" s="2868"/>
      <c r="E6" s="2869"/>
      <c r="F6" s="2870"/>
      <c r="G6" s="2871"/>
      <c r="H6" s="2846"/>
      <c r="I6" s="2847"/>
      <c r="J6" s="3697">
        <v>1</v>
      </c>
      <c r="K6" s="3698" t="s">
        <v>2332</v>
      </c>
      <c r="L6" s="2872" t="s">
        <v>2333</v>
      </c>
      <c r="M6" s="2873" t="s">
        <v>2334</v>
      </c>
      <c r="N6" s="2873" t="s">
        <v>2335</v>
      </c>
      <c r="O6" s="2873" t="s">
        <v>2336</v>
      </c>
      <c r="P6" s="2873" t="s">
        <v>2337</v>
      </c>
      <c r="Q6" s="2873" t="s">
        <v>2338</v>
      </c>
      <c r="R6" s="2856" t="s">
        <v>2339</v>
      </c>
      <c r="S6" s="2839"/>
      <c r="T6" s="2839" t="s">
        <v>2340</v>
      </c>
      <c r="U6" s="2839"/>
      <c r="V6" s="2847"/>
    </row>
    <row r="7" spans="1:22" s="2851" customFormat="1" ht="13.15" customHeight="1">
      <c r="A7" s="2874" t="s">
        <v>2341</v>
      </c>
      <c r="B7" s="2875"/>
      <c r="C7" s="2876"/>
      <c r="D7" s="2877">
        <f>SUM(D9,D10,D11,D17,0)</f>
        <v>0</v>
      </c>
      <c r="E7" s="2878" t="e">
        <f>E9+E10+E11+E17</f>
        <v>#DIV/0!</v>
      </c>
      <c r="F7" s="2879"/>
      <c r="G7" s="2880"/>
      <c r="H7" s="2846"/>
      <c r="I7" s="2847"/>
      <c r="J7" s="3697"/>
      <c r="K7" s="3699"/>
      <c r="L7" s="2881" t="s">
        <v>2342</v>
      </c>
      <c r="M7" s="2882"/>
      <c r="N7" s="2858"/>
      <c r="O7" s="2883"/>
      <c r="P7" s="2883"/>
      <c r="Q7" s="2884">
        <v>365</v>
      </c>
      <c r="R7" s="2885">
        <f>ROUND(M7*N7*O7*P7*Q7/10000,0)</f>
        <v>0</v>
      </c>
      <c r="S7" s="2839"/>
      <c r="T7" s="2839" t="s">
        <v>2343</v>
      </c>
      <c r="U7" s="2839"/>
      <c r="V7" s="2847"/>
    </row>
    <row r="8" spans="1:22" s="2851" customFormat="1" ht="13.15" customHeight="1">
      <c r="A8" s="2886" t="s">
        <v>2344</v>
      </c>
      <c r="B8" s="3714" t="s">
        <v>2345</v>
      </c>
      <c r="C8" s="3715"/>
      <c r="D8" s="2887" t="s">
        <v>2346</v>
      </c>
      <c r="E8" s="2888" t="s">
        <v>2347</v>
      </c>
      <c r="F8" s="2889" t="s">
        <v>2348</v>
      </c>
      <c r="G8" s="2890"/>
      <c r="H8" s="2846"/>
      <c r="I8" s="2847"/>
      <c r="J8" s="3697"/>
      <c r="K8" s="3699"/>
      <c r="L8" s="2881" t="s">
        <v>2349</v>
      </c>
      <c r="M8" s="2882"/>
      <c r="N8" s="2858"/>
      <c r="O8" s="2883"/>
      <c r="P8" s="2883"/>
      <c r="Q8" s="2884">
        <v>365</v>
      </c>
      <c r="R8" s="2885">
        <f t="shared" ref="R8:R13" si="0">ROUND(M8*N8*O8*P8*Q8/10000,0)</f>
        <v>0</v>
      </c>
      <c r="S8" s="2839"/>
      <c r="T8" s="2839" t="s">
        <v>2350</v>
      </c>
      <c r="U8" s="2839"/>
      <c r="V8" s="2847"/>
    </row>
    <row r="9" spans="1:22" s="2851" customFormat="1" ht="13.15" customHeight="1">
      <c r="A9" s="2886">
        <v>1</v>
      </c>
      <c r="B9" s="3714" t="s">
        <v>2351</v>
      </c>
      <c r="C9" s="3715"/>
      <c r="D9" s="2887">
        <f>ROUND(D6*E9,0)</f>
        <v>0</v>
      </c>
      <c r="E9" s="2891"/>
      <c r="F9" s="2892" t="s">
        <v>2352</v>
      </c>
      <c r="G9" s="2871"/>
      <c r="H9" s="2846"/>
      <c r="I9" s="2847"/>
      <c r="J9" s="3697"/>
      <c r="K9" s="3699"/>
      <c r="L9" s="2881" t="s">
        <v>2353</v>
      </c>
      <c r="M9" s="2882"/>
      <c r="N9" s="2858"/>
      <c r="O9" s="2883"/>
      <c r="P9" s="2883"/>
      <c r="Q9" s="2884">
        <v>365</v>
      </c>
      <c r="R9" s="2885">
        <f t="shared" si="0"/>
        <v>0</v>
      </c>
      <c r="S9" s="2839"/>
      <c r="T9" s="2839"/>
      <c r="U9" s="2839"/>
      <c r="V9" s="2847"/>
    </row>
    <row r="10" spans="1:22" s="2851" customFormat="1" ht="13.15" customHeight="1">
      <c r="A10" s="2886">
        <v>2</v>
      </c>
      <c r="B10" s="3714" t="s">
        <v>2354</v>
      </c>
      <c r="C10" s="3715"/>
      <c r="D10" s="2887">
        <f>ROUND(D6*E10,0)</f>
        <v>0</v>
      </c>
      <c r="E10" s="2891"/>
      <c r="F10" s="2892" t="s">
        <v>2355</v>
      </c>
      <c r="G10" s="2871"/>
      <c r="H10" s="2846"/>
      <c r="I10" s="2847"/>
      <c r="J10" s="3697"/>
      <c r="K10" s="3699"/>
      <c r="L10" s="2881" t="s">
        <v>2356</v>
      </c>
      <c r="M10" s="2882"/>
      <c r="N10" s="2858"/>
      <c r="O10" s="2883"/>
      <c r="P10" s="2883"/>
      <c r="Q10" s="2884">
        <v>365</v>
      </c>
      <c r="R10" s="2885">
        <f t="shared" si="0"/>
        <v>0</v>
      </c>
      <c r="S10" s="2839"/>
      <c r="T10" s="2839"/>
      <c r="U10" s="2839"/>
      <c r="V10" s="2847"/>
    </row>
    <row r="11" spans="1:22" s="2851" customFormat="1" ht="13.15" customHeight="1">
      <c r="A11" s="2886">
        <v>3</v>
      </c>
      <c r="B11" s="3714" t="s">
        <v>2357</v>
      </c>
      <c r="C11" s="3715"/>
      <c r="D11" s="2887">
        <f>D12+D14+D15+D16</f>
        <v>0</v>
      </c>
      <c r="E11" s="2893" t="e">
        <f>D11/D6</f>
        <v>#DIV/0!</v>
      </c>
      <c r="F11" s="2889"/>
      <c r="G11" s="2890"/>
      <c r="H11" s="2846"/>
      <c r="I11" s="2847"/>
      <c r="J11" s="3697"/>
      <c r="K11" s="3699"/>
      <c r="L11" s="2881" t="s">
        <v>2358</v>
      </c>
      <c r="M11" s="2882"/>
      <c r="N11" s="2858"/>
      <c r="O11" s="2883"/>
      <c r="P11" s="2883"/>
      <c r="Q11" s="2884">
        <v>365</v>
      </c>
      <c r="R11" s="2885">
        <f t="shared" si="0"/>
        <v>0</v>
      </c>
      <c r="S11" s="2839"/>
      <c r="T11" s="2839"/>
      <c r="U11" s="2839"/>
      <c r="V11" s="2847"/>
    </row>
    <row r="12" spans="1:22" s="2851" customFormat="1" ht="13.15" customHeight="1">
      <c r="A12" s="2894" t="s">
        <v>2359</v>
      </c>
      <c r="B12" s="3707" t="s">
        <v>2360</v>
      </c>
      <c r="C12" s="3708"/>
      <c r="D12" s="2895">
        <f>ROUND(D13*1.2%*(1-30%),0)</f>
        <v>0</v>
      </c>
      <c r="E12" s="2896">
        <v>1.2E-2</v>
      </c>
      <c r="F12" s="2889" t="s">
        <v>2361</v>
      </c>
      <c r="G12" s="2890"/>
      <c r="H12" s="2846"/>
      <c r="I12" s="2847"/>
      <c r="J12" s="3697"/>
      <c r="K12" s="3699"/>
      <c r="L12" s="2881" t="s">
        <v>2362</v>
      </c>
      <c r="M12" s="2882"/>
      <c r="N12" s="2858"/>
      <c r="O12" s="2883"/>
      <c r="P12" s="2883"/>
      <c r="Q12" s="2884">
        <v>365</v>
      </c>
      <c r="R12" s="2885">
        <f t="shared" si="0"/>
        <v>0</v>
      </c>
      <c r="S12" s="2839"/>
      <c r="T12" s="2839"/>
      <c r="U12" s="2839"/>
      <c r="V12" s="2847"/>
    </row>
    <row r="13" spans="1:22" s="2851" customFormat="1" ht="13.15" customHeight="1">
      <c r="A13" s="2894"/>
      <c r="B13" s="2897"/>
      <c r="C13" s="2898" t="s">
        <v>2363</v>
      </c>
      <c r="D13" s="2899"/>
      <c r="E13" s="2900"/>
      <c r="F13" s="2889"/>
      <c r="G13" s="2890"/>
      <c r="H13" s="2846"/>
      <c r="I13" s="2847"/>
      <c r="J13" s="3697"/>
      <c r="K13" s="3699"/>
      <c r="L13" s="2881" t="s">
        <v>2364</v>
      </c>
      <c r="M13" s="2882"/>
      <c r="N13" s="2858"/>
      <c r="O13" s="2883"/>
      <c r="P13" s="2883"/>
      <c r="Q13" s="2884">
        <v>365</v>
      </c>
      <c r="R13" s="2885">
        <f t="shared" si="0"/>
        <v>0</v>
      </c>
      <c r="S13" s="2839"/>
      <c r="T13" s="2839"/>
      <c r="U13" s="2839"/>
      <c r="V13" s="2847"/>
    </row>
    <row r="14" spans="1:22" s="2851" customFormat="1" ht="13.15" customHeight="1">
      <c r="A14" s="2894" t="s">
        <v>2365</v>
      </c>
      <c r="B14" s="3707" t="s">
        <v>2366</v>
      </c>
      <c r="C14" s="3708"/>
      <c r="D14" s="2895">
        <f>ROUND(E14*B5/10000,0)</f>
        <v>0</v>
      </c>
      <c r="E14" s="2884"/>
      <c r="F14" s="2889" t="s">
        <v>2367</v>
      </c>
      <c r="G14" s="2890"/>
      <c r="H14" s="2846"/>
      <c r="I14" s="2847"/>
      <c r="J14" s="3697"/>
      <c r="K14" s="3700"/>
      <c r="L14" s="2901" t="s">
        <v>2368</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2369</v>
      </c>
      <c r="B15" s="3707" t="s">
        <v>2370</v>
      </c>
      <c r="C15" s="3708"/>
      <c r="D15" s="2895">
        <f>ROUND(D6*E15,0)</f>
        <v>0</v>
      </c>
      <c r="E15" s="2896">
        <v>5.5E-2</v>
      </c>
      <c r="F15" s="2889" t="s">
        <v>2371</v>
      </c>
      <c r="G15" s="2871"/>
      <c r="H15" s="2846"/>
      <c r="I15" s="2847"/>
      <c r="J15" s="3697">
        <v>2</v>
      </c>
      <c r="K15" s="3698" t="s">
        <v>2372</v>
      </c>
      <c r="L15" s="2881" t="s">
        <v>2373</v>
      </c>
      <c r="M15" s="2882" t="s">
        <v>2374</v>
      </c>
      <c r="N15" s="2882" t="s">
        <v>2375</v>
      </c>
      <c r="O15" s="2883" t="s">
        <v>2376</v>
      </c>
      <c r="P15" s="2883" t="s">
        <v>2338</v>
      </c>
      <c r="Q15" s="2858" t="s">
        <v>2377</v>
      </c>
      <c r="R15" s="2905" t="s">
        <v>2339</v>
      </c>
      <c r="S15" s="2839"/>
      <c r="T15" s="2839"/>
      <c r="U15" s="2839"/>
      <c r="V15" s="2847"/>
    </row>
    <row r="16" spans="1:22" s="2851" customFormat="1" ht="13.15" customHeight="1">
      <c r="A16" s="2894" t="s">
        <v>2378</v>
      </c>
      <c r="B16" s="3707" t="s">
        <v>2379</v>
      </c>
      <c r="C16" s="3708"/>
      <c r="D16" s="2906">
        <f>D6*E16</f>
        <v>0</v>
      </c>
      <c r="E16" s="2907"/>
      <c r="F16" s="2892" t="s">
        <v>2380</v>
      </c>
      <c r="G16" s="2871"/>
      <c r="H16" s="2846"/>
      <c r="I16" s="2847"/>
      <c r="J16" s="3697"/>
      <c r="K16" s="3699"/>
      <c r="L16" s="2881" t="s">
        <v>2381</v>
      </c>
      <c r="M16" s="2882"/>
      <c r="N16" s="2882"/>
      <c r="O16" s="2883"/>
      <c r="P16" s="2884">
        <v>365</v>
      </c>
      <c r="Q16" s="2858"/>
      <c r="R16" s="2905">
        <f>ROUND(M16*N16*O16*P16/10000,0)</f>
        <v>0</v>
      </c>
      <c r="S16" s="2839"/>
      <c r="T16" s="2839"/>
      <c r="U16" s="2839"/>
      <c r="V16" s="2847"/>
    </row>
    <row r="17" spans="1:22" s="2851" customFormat="1" ht="13.15" customHeight="1" thickBot="1">
      <c r="A17" s="2908">
        <v>4</v>
      </c>
      <c r="B17" s="3709" t="s">
        <v>2382</v>
      </c>
      <c r="C17" s="3710"/>
      <c r="D17" s="2909">
        <f>ROUND(D6*E17,0)</f>
        <v>0</v>
      </c>
      <c r="E17" s="2910"/>
      <c r="F17" s="2911" t="s">
        <v>2383</v>
      </c>
      <c r="G17" s="2871"/>
      <c r="H17" s="2846"/>
      <c r="I17" s="2847"/>
      <c r="J17" s="3697"/>
      <c r="K17" s="3699"/>
      <c r="L17" s="2881" t="s">
        <v>2384</v>
      </c>
      <c r="M17" s="2882"/>
      <c r="N17" s="2882"/>
      <c r="O17" s="2883"/>
      <c r="P17" s="2884">
        <v>365</v>
      </c>
      <c r="Q17" s="2858"/>
      <c r="R17" s="2905">
        <f>ROUND(M17*N17*O17*P17/10000,0)</f>
        <v>0</v>
      </c>
      <c r="S17" s="2839"/>
      <c r="T17" s="2839"/>
      <c r="U17" s="2839"/>
      <c r="V17" s="2847"/>
    </row>
    <row r="18" spans="1:22" s="2851" customFormat="1" ht="13.15" customHeight="1" thickBot="1">
      <c r="A18" s="2874" t="s">
        <v>2385</v>
      </c>
      <c r="B18" s="2875"/>
      <c r="C18" s="2875"/>
      <c r="D18" s="2912">
        <f>ROUND(D6*E18,0)</f>
        <v>0</v>
      </c>
      <c r="E18" s="2913"/>
      <c r="F18" s="2914" t="s">
        <v>2386</v>
      </c>
      <c r="G18" s="2871"/>
      <c r="H18" s="2846"/>
      <c r="I18" s="2847"/>
      <c r="J18" s="3697"/>
      <c r="K18" s="3699"/>
      <c r="L18" s="2881" t="s">
        <v>2387</v>
      </c>
      <c r="M18" s="2882"/>
      <c r="N18" s="2882"/>
      <c r="O18" s="2883"/>
      <c r="P18" s="2884">
        <v>365</v>
      </c>
      <c r="Q18" s="2858"/>
      <c r="R18" s="2905">
        <f>ROUND(M18*N18*O18*P18/10000,0)</f>
        <v>0</v>
      </c>
      <c r="S18" s="2839"/>
      <c r="T18" s="2839"/>
      <c r="U18" s="2839"/>
      <c r="V18" s="2847"/>
    </row>
    <row r="19" spans="1:22" s="2851" customFormat="1" ht="13.15" customHeight="1" thickBot="1">
      <c r="A19" s="2915" t="s">
        <v>2388</v>
      </c>
      <c r="B19" s="2869"/>
      <c r="C19" s="2869"/>
      <c r="D19" s="2869"/>
      <c r="E19" s="2869"/>
      <c r="F19" s="2870"/>
      <c r="G19" s="2890"/>
      <c r="H19" s="2846"/>
      <c r="I19" s="2847"/>
      <c r="J19" s="3697"/>
      <c r="K19" s="3700"/>
      <c r="L19" s="2901" t="s">
        <v>2368</v>
      </c>
      <c r="M19" s="2902"/>
      <c r="N19" s="2902">
        <f>SUM(N16:N18)</f>
        <v>0</v>
      </c>
      <c r="O19" s="2903"/>
      <c r="P19" s="2916" t="s">
        <v>2432</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97">
        <v>3</v>
      </c>
      <c r="K20" s="3698" t="s">
        <v>2389</v>
      </c>
      <c r="L20" s="2881" t="s">
        <v>2390</v>
      </c>
      <c r="M20" s="2882" t="s">
        <v>2391</v>
      </c>
      <c r="N20" s="2919" t="s">
        <v>2392</v>
      </c>
      <c r="O20" s="2883" t="s">
        <v>2393</v>
      </c>
      <c r="P20" s="2884" t="s">
        <v>2394</v>
      </c>
      <c r="Q20" s="2858" t="s">
        <v>2395</v>
      </c>
      <c r="R20" s="2905" t="s">
        <v>2396</v>
      </c>
      <c r="S20" s="2920"/>
      <c r="T20" s="2920"/>
      <c r="U20" s="2920"/>
      <c r="V20" s="2847"/>
    </row>
    <row r="21" spans="1:22" s="2851" customFormat="1" ht="13.15" customHeight="1">
      <c r="A21" s="2874"/>
      <c r="B21" s="2875"/>
      <c r="C21" s="2921" t="s">
        <v>2397</v>
      </c>
      <c r="D21" s="2922" t="s">
        <v>2398</v>
      </c>
      <c r="E21" s="2923" t="s">
        <v>2399</v>
      </c>
      <c r="F21" s="2918"/>
      <c r="G21" s="2890"/>
      <c r="H21" s="2846"/>
      <c r="I21" s="2847"/>
      <c r="J21" s="3697"/>
      <c r="K21" s="3699"/>
      <c r="L21" s="2881" t="s">
        <v>2400</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2401</v>
      </c>
      <c r="D22" s="2926" t="s">
        <v>2402</v>
      </c>
      <c r="E22" s="2927" t="s">
        <v>2403</v>
      </c>
      <c r="F22" s="2918"/>
      <c r="G22" s="2928"/>
      <c r="H22" s="2846"/>
      <c r="I22" s="2847"/>
      <c r="J22" s="3697"/>
      <c r="K22" s="3699"/>
      <c r="L22" s="2881" t="s">
        <v>2404</v>
      </c>
      <c r="M22" s="2882"/>
      <c r="N22" s="2882"/>
      <c r="O22" s="2883"/>
      <c r="P22" s="2884">
        <v>365</v>
      </c>
      <c r="Q22" s="2858"/>
      <c r="R22" s="2924">
        <f>ROUND(M22*N22*O22*P22/10000,0)</f>
        <v>0</v>
      </c>
      <c r="S22" s="2920"/>
      <c r="T22" s="2920"/>
      <c r="U22" s="2920"/>
      <c r="V22" s="2847"/>
    </row>
    <row r="23" spans="1:22" s="2851" customFormat="1" ht="13.15" customHeight="1">
      <c r="A23" s="2929">
        <v>1</v>
      </c>
      <c r="B23" s="2930" t="s">
        <v>2405</v>
      </c>
      <c r="C23" s="2931">
        <f>D6</f>
        <v>0</v>
      </c>
      <c r="D23" s="2932">
        <f>C23*(1+D24)</f>
        <v>0</v>
      </c>
      <c r="E23" s="2933">
        <f>D23*(1+E24)</f>
        <v>0</v>
      </c>
      <c r="F23" s="2934"/>
      <c r="G23" s="2935"/>
      <c r="H23" s="2846"/>
      <c r="I23" s="2847"/>
      <c r="J23" s="3697"/>
      <c r="K23" s="3699"/>
      <c r="L23" s="2881" t="s">
        <v>2406</v>
      </c>
      <c r="M23" s="2882"/>
      <c r="N23" s="2882"/>
      <c r="O23" s="2883"/>
      <c r="P23" s="2884">
        <v>365</v>
      </c>
      <c r="Q23" s="2858"/>
      <c r="R23" s="2924">
        <f>ROUND(M23*N23*O23*P23/10000,0)</f>
        <v>0</v>
      </c>
      <c r="S23" s="2839"/>
      <c r="T23" s="2839"/>
      <c r="U23" s="2839"/>
      <c r="V23" s="2847"/>
    </row>
    <row r="24" spans="1:22" s="2851" customFormat="1" ht="13.15" customHeight="1">
      <c r="A24" s="2936"/>
      <c r="B24" s="2937" t="s">
        <v>2407</v>
      </c>
      <c r="C24" s="2938"/>
      <c r="D24" s="2939"/>
      <c r="E24" s="2940"/>
      <c r="F24" s="2941"/>
      <c r="G24" s="2935"/>
      <c r="H24" s="2846"/>
      <c r="I24" s="2847"/>
      <c r="J24" s="3697"/>
      <c r="K24" s="3700"/>
      <c r="L24" s="2901" t="s">
        <v>2368</v>
      </c>
      <c r="M24" s="2902">
        <f>SUM(M21:M23)</f>
        <v>0</v>
      </c>
      <c r="N24" s="2902"/>
      <c r="O24" s="2903"/>
      <c r="P24" s="2916" t="s">
        <v>2432</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2408</v>
      </c>
      <c r="L25" s="2944"/>
      <c r="M25" s="2944"/>
      <c r="N25" s="2944"/>
      <c r="O25" s="2944"/>
      <c r="P25" s="2945"/>
      <c r="Q25" s="2946">
        <v>0</v>
      </c>
      <c r="R25" s="2917">
        <f>ROUND(R14*Q25,0)</f>
        <v>0</v>
      </c>
      <c r="S25" s="2839"/>
      <c r="T25" s="2839"/>
      <c r="U25" s="2839"/>
      <c r="V25" s="2947"/>
    </row>
    <row r="26" spans="1:22" s="2948" customFormat="1" ht="13.15" customHeight="1">
      <c r="A26" s="2929">
        <v>2</v>
      </c>
      <c r="B26" s="2930" t="s">
        <v>2409</v>
      </c>
      <c r="C26" s="2931">
        <f>D7</f>
        <v>0</v>
      </c>
      <c r="D26" s="2932">
        <f>D23*D27</f>
        <v>0</v>
      </c>
      <c r="E26" s="2933">
        <f>E23*E27</f>
        <v>0</v>
      </c>
      <c r="F26" s="2934"/>
      <c r="G26" s="2935"/>
      <c r="H26" s="2846"/>
      <c r="I26" s="2847"/>
      <c r="J26" s="3701">
        <v>5</v>
      </c>
      <c r="K26" s="2949" t="s">
        <v>2410</v>
      </c>
      <c r="L26" s="2950"/>
      <c r="M26" s="2951"/>
      <c r="N26" s="2952" t="s">
        <v>2411</v>
      </c>
      <c r="O26" s="2952" t="s">
        <v>2412</v>
      </c>
      <c r="P26" s="2953" t="s">
        <v>2413</v>
      </c>
      <c r="Q26" s="2953" t="s">
        <v>2414</v>
      </c>
      <c r="R26" s="2856" t="s">
        <v>2339</v>
      </c>
      <c r="S26" s="2954"/>
      <c r="T26" s="2954"/>
      <c r="U26" s="2954"/>
      <c r="V26" s="2947"/>
    </row>
    <row r="27" spans="1:22" s="2851" customFormat="1" ht="13.15" customHeight="1">
      <c r="A27" s="2936"/>
      <c r="B27" s="2937" t="s">
        <v>2415</v>
      </c>
      <c r="C27" s="2955" t="e">
        <f>E7</f>
        <v>#DIV/0!</v>
      </c>
      <c r="D27" s="2939"/>
      <c r="E27" s="2940"/>
      <c r="F27" s="2941"/>
      <c r="G27" s="2935"/>
      <c r="H27" s="2956"/>
      <c r="I27" s="2947"/>
      <c r="J27" s="370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2416</v>
      </c>
      <c r="F28" s="2941"/>
      <c r="G28" s="2928"/>
      <c r="H28" s="2956"/>
      <c r="I28" s="2947"/>
      <c r="J28" s="2962">
        <v>6</v>
      </c>
      <c r="K28" s="2963" t="s">
        <v>2417</v>
      </c>
      <c r="L28" s="2964" t="s">
        <v>2418</v>
      </c>
      <c r="M28" s="2965"/>
      <c r="N28" s="2964" t="s">
        <v>2419</v>
      </c>
      <c r="O28" s="2966"/>
      <c r="P28" s="2964" t="s">
        <v>2420</v>
      </c>
      <c r="Q28" s="2967">
        <v>1.4999999999999999E-2</v>
      </c>
      <c r="R28" s="2968"/>
      <c r="S28" s="2920"/>
      <c r="T28" s="2920"/>
      <c r="U28" s="2920"/>
      <c r="V28" s="2947"/>
    </row>
    <row r="29" spans="1:22" s="2948" customFormat="1" ht="13.15" customHeight="1">
      <c r="A29" s="2929">
        <v>3</v>
      </c>
      <c r="B29" s="2930" t="s">
        <v>2421</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2415</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2422</v>
      </c>
      <c r="K31" s="2837"/>
      <c r="L31" s="2837"/>
      <c r="M31" s="2837"/>
      <c r="N31" s="2837"/>
      <c r="O31" s="2837"/>
      <c r="P31" s="2837"/>
      <c r="Q31" s="2837"/>
      <c r="R31" s="2838"/>
      <c r="S31" s="2920"/>
      <c r="T31" s="2839"/>
      <c r="U31" s="2839"/>
      <c r="V31" s="2947"/>
    </row>
    <row r="32" spans="1:22" s="2948" customFormat="1" ht="13.15" customHeight="1">
      <c r="A32" s="2929">
        <v>4</v>
      </c>
      <c r="B32" s="2930" t="s">
        <v>2423</v>
      </c>
      <c r="C32" s="2931">
        <f>C23-C26-C29</f>
        <v>0</v>
      </c>
      <c r="D32" s="2932">
        <f>D23-D26-D29</f>
        <v>0</v>
      </c>
      <c r="E32" s="2933">
        <f>E23-E26-E29</f>
        <v>0</v>
      </c>
      <c r="F32" s="2934"/>
      <c r="G32" s="2928"/>
      <c r="H32" s="2846"/>
      <c r="I32" s="2847"/>
      <c r="J32" s="3703" t="s">
        <v>2315</v>
      </c>
      <c r="K32" s="3704"/>
      <c r="L32" s="2848" t="s">
        <v>2316</v>
      </c>
      <c r="M32" s="2848" t="s">
        <v>2317</v>
      </c>
      <c r="N32" s="2848" t="s">
        <v>2318</v>
      </c>
      <c r="O32" s="2848" t="s">
        <v>2319</v>
      </c>
      <c r="P32" s="2848" t="s">
        <v>2320</v>
      </c>
      <c r="Q32" s="2849" t="s">
        <v>2321</v>
      </c>
      <c r="R32" s="2971" t="s">
        <v>2322</v>
      </c>
      <c r="S32" s="2920"/>
      <c r="T32" s="2839"/>
      <c r="U32" s="2839"/>
      <c r="V32" s="2947"/>
    </row>
    <row r="33" spans="1:23" s="2851" customFormat="1" ht="13.15" customHeight="1">
      <c r="A33" s="2929"/>
      <c r="B33" s="2930"/>
      <c r="C33" s="2931"/>
      <c r="D33" s="2972"/>
      <c r="E33" s="2973"/>
      <c r="F33" s="2934"/>
      <c r="G33" s="2928"/>
      <c r="H33" s="2956"/>
      <c r="I33" s="2947"/>
      <c r="J33" s="3705" t="s">
        <v>2325</v>
      </c>
      <c r="K33" s="3706"/>
      <c r="L33" s="2854"/>
      <c r="M33" s="2854"/>
      <c r="N33" s="2854"/>
      <c r="O33" s="2854"/>
      <c r="P33" s="2854"/>
      <c r="Q33" s="2855"/>
      <c r="R33" s="2974">
        <f>SUM(L33:Q33)</f>
        <v>0</v>
      </c>
      <c r="S33" s="2920"/>
      <c r="T33" s="2839"/>
      <c r="U33" s="2839"/>
      <c r="V33" s="2847"/>
    </row>
    <row r="34" spans="1:23" s="2851" customFormat="1" ht="13.15" customHeight="1">
      <c r="A34" s="2929">
        <v>5</v>
      </c>
      <c r="B34" s="2930" t="s">
        <v>2424</v>
      </c>
      <c r="C34" s="2975"/>
      <c r="D34" s="2976"/>
      <c r="E34" s="2977"/>
      <c r="F34" s="2934"/>
      <c r="G34" s="2928"/>
      <c r="H34" s="2956"/>
      <c r="I34" s="2947"/>
      <c r="J34" s="3705" t="s">
        <v>2327</v>
      </c>
      <c r="K34" s="370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2425</v>
      </c>
      <c r="C35" s="2979"/>
      <c r="D35" s="2980"/>
      <c r="E35" s="2981"/>
      <c r="F35" s="2934"/>
      <c r="G35" s="2982"/>
      <c r="H35" s="2846"/>
      <c r="I35" s="2947"/>
      <c r="J35" s="2865" t="s">
        <v>2329</v>
      </c>
      <c r="K35" s="2866"/>
      <c r="L35" s="2866"/>
      <c r="M35" s="2867"/>
      <c r="N35" s="2867"/>
      <c r="O35" s="2867"/>
      <c r="P35" s="2867"/>
      <c r="Q35" s="2867"/>
      <c r="R35" s="2983">
        <f>R40+R41+R43</f>
        <v>0</v>
      </c>
      <c r="S35" s="2920"/>
      <c r="T35" s="2839" t="s">
        <v>2330</v>
      </c>
      <c r="U35" s="2839"/>
      <c r="V35" s="2847"/>
    </row>
    <row r="36" spans="1:23" s="2851" customFormat="1" ht="13.15" customHeight="1" thickBot="1">
      <c r="A36" s="2929">
        <v>7</v>
      </c>
      <c r="B36" s="2984" t="s">
        <v>2426</v>
      </c>
      <c r="C36" s="2985"/>
      <c r="D36" s="2986"/>
      <c r="E36" s="2987"/>
      <c r="F36" s="2988">
        <f>C36+D36+E36</f>
        <v>0</v>
      </c>
      <c r="G36" s="2928"/>
      <c r="H36" s="2846"/>
      <c r="I36" s="2847"/>
      <c r="J36" s="3697">
        <v>1</v>
      </c>
      <c r="K36" s="3698" t="s">
        <v>2427</v>
      </c>
      <c r="L36" s="2872"/>
      <c r="M36" s="2873"/>
      <c r="N36" s="2873"/>
      <c r="O36" s="2873"/>
      <c r="P36" s="2873"/>
      <c r="Q36" s="2873"/>
      <c r="R36" s="2856" t="s">
        <v>2339</v>
      </c>
      <c r="S36" s="2920"/>
      <c r="T36" s="2839" t="s">
        <v>2340</v>
      </c>
      <c r="U36" s="2839"/>
      <c r="V36" s="2847"/>
    </row>
    <row r="37" spans="1:23" s="2851" customFormat="1" ht="13.15" customHeight="1">
      <c r="A37" s="2929"/>
      <c r="B37" s="2930"/>
      <c r="C37" s="2930"/>
      <c r="D37" s="2930"/>
      <c r="E37" s="2930"/>
      <c r="F37" s="2934"/>
      <c r="G37" s="2928"/>
      <c r="H37" s="2846"/>
      <c r="I37" s="2847"/>
      <c r="J37" s="3697"/>
      <c r="K37" s="3699"/>
      <c r="L37" s="2881"/>
      <c r="M37" s="2882"/>
      <c r="N37" s="2858"/>
      <c r="O37" s="2883"/>
      <c r="P37" s="2883"/>
      <c r="Q37" s="2884"/>
      <c r="R37" s="2885"/>
      <c r="S37" s="2920"/>
      <c r="T37" s="2839" t="s">
        <v>2343</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97"/>
      <c r="K38" s="3699"/>
      <c r="L38" s="2881"/>
      <c r="M38" s="2882"/>
      <c r="N38" s="2858"/>
      <c r="O38" s="2883"/>
      <c r="P38" s="2883"/>
      <c r="Q38" s="2884"/>
      <c r="R38" s="2885"/>
      <c r="S38" s="2920"/>
      <c r="T38" s="2839" t="s">
        <v>2350</v>
      </c>
      <c r="U38" s="2839"/>
      <c r="V38" s="2847"/>
    </row>
    <row r="39" spans="1:23" s="2851" customFormat="1" ht="13.15" customHeight="1">
      <c r="A39" s="2929">
        <v>9</v>
      </c>
      <c r="B39" s="2930" t="s">
        <v>2428</v>
      </c>
      <c r="C39" s="2895" t="e">
        <f>C38</f>
        <v>#DIV/0!</v>
      </c>
      <c r="D39" s="2930">
        <f>D38/(1+D34)^C36</f>
        <v>0</v>
      </c>
      <c r="E39" s="2930">
        <f>E38/(1+E34)^(C36+D36)</f>
        <v>0</v>
      </c>
      <c r="F39" s="2934"/>
      <c r="G39" s="2989"/>
      <c r="H39" s="2846"/>
      <c r="I39" s="2847"/>
      <c r="J39" s="3697"/>
      <c r="K39" s="3699"/>
      <c r="L39" s="2881"/>
      <c r="M39" s="2882"/>
      <c r="N39" s="2858"/>
      <c r="O39" s="2883"/>
      <c r="P39" s="2883"/>
      <c r="Q39" s="2884"/>
      <c r="R39" s="2885"/>
      <c r="S39" s="2920"/>
      <c r="T39" s="2839"/>
      <c r="U39" s="2839"/>
      <c r="V39" s="2847"/>
    </row>
    <row r="40" spans="1:23" s="2851" customFormat="1" ht="13.15" customHeight="1">
      <c r="A40" s="2990">
        <v>10</v>
      </c>
      <c r="B40" s="2930" t="s">
        <v>2429</v>
      </c>
      <c r="C40" s="2991" t="e">
        <f>C39+D39+E39</f>
        <v>#DIV/0!</v>
      </c>
      <c r="D40" s="2992"/>
      <c r="E40" s="2992"/>
      <c r="F40" s="2993"/>
      <c r="G40" s="2928"/>
      <c r="H40" s="2846"/>
      <c r="I40" s="2847"/>
      <c r="J40" s="3697"/>
      <c r="K40" s="3700"/>
      <c r="L40" s="2901" t="s">
        <v>2368</v>
      </c>
      <c r="M40" s="2902"/>
      <c r="N40" s="2902"/>
      <c r="O40" s="2903"/>
      <c r="P40" s="2903"/>
      <c r="Q40" s="2904"/>
      <c r="R40" s="2850">
        <f>SUM(R37:R39)</f>
        <v>0</v>
      </c>
      <c r="S40" s="2920"/>
      <c r="T40" s="2839"/>
      <c r="U40" s="2839"/>
      <c r="V40" s="2847"/>
    </row>
    <row r="41" spans="1:23" s="2851" customFormat="1" ht="13.15" customHeight="1" thickBot="1">
      <c r="A41" s="2994">
        <v>11</v>
      </c>
      <c r="B41" s="2995" t="s">
        <v>2430</v>
      </c>
      <c r="C41" s="2995" t="e">
        <f>ROUND(C40*10000/B4,0)</f>
        <v>#DIV/0!</v>
      </c>
      <c r="D41" s="2996"/>
      <c r="E41" s="2996"/>
      <c r="F41" s="2997"/>
      <c r="G41" s="2998"/>
      <c r="H41" s="2846"/>
      <c r="I41" s="2847"/>
      <c r="J41" s="2942">
        <v>2</v>
      </c>
      <c r="K41" s="2943" t="s">
        <v>2408</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1">
        <v>3</v>
      </c>
      <c r="K42" s="2949" t="s">
        <v>2410</v>
      </c>
      <c r="L42" s="2950"/>
      <c r="M42" s="2951"/>
      <c r="N42" s="2952" t="s">
        <v>2411</v>
      </c>
      <c r="O42" s="2952" t="s">
        <v>2412</v>
      </c>
      <c r="P42" s="2953" t="s">
        <v>2413</v>
      </c>
      <c r="Q42" s="2953" t="s">
        <v>2414</v>
      </c>
      <c r="R42" s="2856" t="s">
        <v>2339</v>
      </c>
      <c r="S42" s="2954"/>
      <c r="T42" s="2954"/>
      <c r="U42" s="2839"/>
      <c r="V42" s="2847"/>
    </row>
    <row r="43" spans="1:23" ht="13.15" customHeight="1">
      <c r="A43" s="2851"/>
      <c r="B43" s="2851"/>
      <c r="C43" s="2851"/>
      <c r="D43" s="2851"/>
      <c r="E43" s="2851"/>
      <c r="F43" s="2851"/>
      <c r="I43" s="2834"/>
      <c r="J43" s="370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2417</v>
      </c>
      <c r="L44" s="3002" t="s">
        <v>2418</v>
      </c>
      <c r="M44" s="2965"/>
      <c r="N44" s="3002" t="s">
        <v>2419</v>
      </c>
      <c r="O44" s="2965"/>
      <c r="P44" s="3002" t="s">
        <v>2420</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N30" sqref="N3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8769</v>
      </c>
      <c r="C2" s="1872" t="s">
        <v>1650</v>
      </c>
      <c r="D2" s="1873" t="s">
        <v>1651</v>
      </c>
      <c r="E2" s="2605">
        <f>SUM(E6:E13)</f>
        <v>6547.83</v>
      </c>
      <c r="F2" s="2705"/>
      <c r="G2" s="1489"/>
      <c r="H2" s="1489"/>
      <c r="I2" s="1489"/>
      <c r="J2" s="1489"/>
      <c r="K2" s="1489"/>
      <c r="L2" s="1489"/>
      <c r="M2" s="1489"/>
      <c r="N2" s="1489"/>
      <c r="O2" s="1489"/>
      <c r="P2" s="1489"/>
      <c r="Q2" s="1489"/>
      <c r="R2" s="1489"/>
      <c r="S2" s="1489"/>
    </row>
    <row r="3" spans="1:22" ht="15.75">
      <c r="A3" s="1870" t="s">
        <v>686</v>
      </c>
      <c r="B3" s="2599">
        <f ca="1">ROUND(B2*10000/E2,0)</f>
        <v>13392</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1652</v>
      </c>
      <c r="B5" s="3716" t="s">
        <v>1653</v>
      </c>
      <c r="C5" s="3717"/>
      <c r="D5" s="2706"/>
      <c r="E5" s="1874" t="s">
        <v>1654</v>
      </c>
      <c r="F5" s="1875" t="s">
        <v>1655</v>
      </c>
      <c r="G5" s="1489"/>
      <c r="H5" s="1489"/>
      <c r="I5" s="1489"/>
      <c r="J5" s="1489"/>
      <c r="K5" s="1489"/>
      <c r="L5" s="1489"/>
      <c r="M5" s="1489"/>
      <c r="N5" s="1489"/>
      <c r="O5" s="1489"/>
      <c r="P5" s="1489"/>
      <c r="Q5" s="1489"/>
      <c r="R5" s="1489"/>
      <c r="S5" s="1489"/>
    </row>
    <row r="6" spans="1:22">
      <c r="A6" s="2602" t="str">
        <f>'数据-取费表'!AN6</f>
        <v>收益法</v>
      </c>
      <c r="B6" s="2600">
        <f ca="1">IF(F6="是",'数据-取费表'!AO6,0)</f>
        <v>4310</v>
      </c>
      <c r="C6" s="1872" t="s">
        <v>1650</v>
      </c>
      <c r="D6" s="2707"/>
      <c r="E6" s="2604">
        <f>IF(OR(A6=0,F6="否"),0,'数据-取费表'!K6+'数据-取费表'!S6)</f>
        <v>4008.57</v>
      </c>
      <c r="F6" s="1876" t="s">
        <v>1656</v>
      </c>
      <c r="G6" s="1489"/>
      <c r="H6" s="1489"/>
      <c r="I6" s="1489"/>
      <c r="J6" s="1489"/>
      <c r="K6" s="1489"/>
      <c r="L6" s="1489"/>
      <c r="M6" s="1489"/>
      <c r="N6" s="1489"/>
      <c r="O6" s="1489"/>
      <c r="P6" s="1489"/>
      <c r="Q6" s="1489"/>
      <c r="R6" s="1489"/>
      <c r="S6" s="1489"/>
    </row>
    <row r="7" spans="1:22">
      <c r="A7" s="2602" t="str">
        <f>'数据-取费表'!AN7</f>
        <v>收益法-未出租</v>
      </c>
      <c r="B7" s="2600">
        <f ca="1">IF(F7="是",'数据-取费表'!AO7,0)</f>
        <v>4459</v>
      </c>
      <c r="C7" s="1872" t="s">
        <v>1650</v>
      </c>
      <c r="D7" s="2707"/>
      <c r="E7" s="2604">
        <f>IF(OR(A7=0,F7="否"),0,'数据-取费表'!K7+'数据-取费表'!S7)</f>
        <v>2539.2599999999998</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7"/>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7"/>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7"/>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7"/>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7"/>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8"/>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6547.83</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736" t="s">
        <v>1666</v>
      </c>
      <c r="D4" s="3737"/>
      <c r="E4" s="3738" t="s">
        <v>1667</v>
      </c>
      <c r="F4" s="3739"/>
      <c r="G4" s="3736" t="s">
        <v>1668</v>
      </c>
      <c r="H4" s="3737"/>
      <c r="I4" s="3736" t="s">
        <v>1669</v>
      </c>
      <c r="J4" s="3737"/>
      <c r="K4" s="1889" t="s">
        <v>1670</v>
      </c>
      <c r="L4" s="2713"/>
      <c r="M4" s="2714"/>
      <c r="N4" s="2714"/>
      <c r="O4" s="2714"/>
      <c r="P4" s="3740" t="s">
        <v>1671</v>
      </c>
      <c r="Q4" s="3741"/>
      <c r="R4" s="3746" t="s">
        <v>1667</v>
      </c>
      <c r="S4" s="3747"/>
      <c r="T4" s="3746" t="s">
        <v>1668</v>
      </c>
      <c r="U4" s="3747"/>
      <c r="V4" s="3752" t="s">
        <v>1669</v>
      </c>
      <c r="W4" s="3752"/>
      <c r="X4" s="1355"/>
      <c r="Y4" s="3746" t="s">
        <v>1671</v>
      </c>
      <c r="Z4" s="3747"/>
      <c r="AA4" s="3733" t="s">
        <v>1667</v>
      </c>
      <c r="AB4" s="3733" t="s">
        <v>1668</v>
      </c>
      <c r="AC4" s="3733" t="s">
        <v>1669</v>
      </c>
    </row>
    <row r="5" spans="1:29" ht="15">
      <c r="A5" s="358"/>
      <c r="B5" s="359"/>
      <c r="C5" s="3755" t="s">
        <v>1672</v>
      </c>
      <c r="D5" s="3756"/>
      <c r="E5" s="3762" t="s">
        <v>1673</v>
      </c>
      <c r="F5" s="3763"/>
      <c r="G5" s="3755" t="s">
        <v>1674</v>
      </c>
      <c r="H5" s="3756"/>
      <c r="I5" s="3755" t="s">
        <v>1675</v>
      </c>
      <c r="J5" s="3756"/>
      <c r="K5" s="1890"/>
      <c r="L5" s="2713"/>
      <c r="M5" s="2714"/>
      <c r="N5" s="2714"/>
      <c r="O5" s="2714"/>
      <c r="P5" s="3742"/>
      <c r="Q5" s="3743"/>
      <c r="R5" s="3748"/>
      <c r="S5" s="3749"/>
      <c r="T5" s="3748"/>
      <c r="U5" s="3749"/>
      <c r="V5" s="3752"/>
      <c r="W5" s="3752"/>
      <c r="X5" s="1355"/>
      <c r="Y5" s="3748"/>
      <c r="Z5" s="3749"/>
      <c r="AA5" s="3734"/>
      <c r="AB5" s="3734"/>
      <c r="AC5" s="3734"/>
    </row>
    <row r="6" spans="1:29" ht="15.75" thickBot="1">
      <c r="A6" s="360"/>
      <c r="B6" s="361"/>
      <c r="C6" s="3753" t="s">
        <v>1676</v>
      </c>
      <c r="D6" s="3754"/>
      <c r="E6" s="3760" t="s">
        <v>1676</v>
      </c>
      <c r="F6" s="3761"/>
      <c r="G6" s="3753" t="s">
        <v>1676</v>
      </c>
      <c r="H6" s="3754"/>
      <c r="I6" s="3753" t="s">
        <v>1676</v>
      </c>
      <c r="J6" s="3754"/>
      <c r="K6" s="1890" t="s">
        <v>1677</v>
      </c>
      <c r="L6" s="2713"/>
      <c r="M6" s="2714"/>
      <c r="N6" s="2714"/>
      <c r="O6" s="2714"/>
      <c r="P6" s="3744"/>
      <c r="Q6" s="3745"/>
      <c r="R6" s="3748"/>
      <c r="S6" s="3749"/>
      <c r="T6" s="3750"/>
      <c r="U6" s="3751"/>
      <c r="V6" s="3752"/>
      <c r="W6" s="3752"/>
      <c r="X6" s="1355"/>
      <c r="Y6" s="3750"/>
      <c r="Z6" s="3751"/>
      <c r="AA6" s="3735"/>
      <c r="AB6" s="3735"/>
      <c r="AC6" s="3735"/>
    </row>
    <row r="7" spans="1:29" s="108" customFormat="1" ht="15.75" thickBot="1">
      <c r="A7" s="362" t="s">
        <v>1678</v>
      </c>
      <c r="B7" s="363"/>
      <c r="C7" s="364">
        <f>'数据-取费表'!B2</f>
        <v>45051</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57" t="s">
        <v>1679</v>
      </c>
      <c r="Q7" s="3759"/>
      <c r="R7" s="701" t="s">
        <v>20</v>
      </c>
      <c r="S7" s="702">
        <f t="shared" ref="S7:S15" si="0">F7</f>
        <v>0</v>
      </c>
      <c r="T7" s="701" t="s">
        <v>20</v>
      </c>
      <c r="U7" s="702">
        <f t="shared" ref="U7:U15" si="1">H7</f>
        <v>0</v>
      </c>
      <c r="V7" s="701" t="s">
        <v>20</v>
      </c>
      <c r="W7" s="702">
        <f t="shared" ref="W7:W15" si="2">J7</f>
        <v>0</v>
      </c>
      <c r="X7" s="703"/>
      <c r="Y7" s="3757" t="s">
        <v>1679</v>
      </c>
      <c r="Z7" s="3758"/>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57" t="s">
        <v>1682</v>
      </c>
      <c r="Q8" s="3758"/>
      <c r="R8" s="701" t="s">
        <v>20</v>
      </c>
      <c r="S8" s="702">
        <f t="shared" si="0"/>
        <v>100</v>
      </c>
      <c r="T8" s="701" t="s">
        <v>20</v>
      </c>
      <c r="U8" s="702">
        <f t="shared" si="1"/>
        <v>100</v>
      </c>
      <c r="V8" s="701" t="s">
        <v>20</v>
      </c>
      <c r="W8" s="702">
        <f t="shared" si="2"/>
        <v>100</v>
      </c>
      <c r="X8" s="703"/>
      <c r="Y8" s="3757" t="s">
        <v>1682</v>
      </c>
      <c r="Z8" s="3758"/>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32" t="s">
        <v>1685</v>
      </c>
      <c r="Q9" s="1343" t="str">
        <f t="shared" ref="Q9:Q15" si="6">B9</f>
        <v>用途</v>
      </c>
      <c r="R9" s="701" t="s">
        <v>14</v>
      </c>
      <c r="S9" s="702">
        <f t="shared" si="0"/>
        <v>100</v>
      </c>
      <c r="T9" s="701" t="s">
        <v>14</v>
      </c>
      <c r="U9" s="702">
        <f t="shared" si="1"/>
        <v>100</v>
      </c>
      <c r="V9" s="701" t="s">
        <v>14</v>
      </c>
      <c r="W9" s="702">
        <f t="shared" si="2"/>
        <v>100</v>
      </c>
      <c r="X9" s="703"/>
      <c r="Y9" s="3577"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32"/>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32"/>
      <c r="Q11" s="1343" t="str">
        <f t="shared" si="6"/>
        <v>容积率</v>
      </c>
      <c r="R11" s="701" t="s">
        <v>18</v>
      </c>
      <c r="S11" s="702" t="e">
        <f t="shared" si="0"/>
        <v>#N/A</v>
      </c>
      <c r="T11" s="701" t="s">
        <v>18</v>
      </c>
      <c r="U11" s="702" t="e">
        <f t="shared" si="1"/>
        <v>#N/A</v>
      </c>
      <c r="V11" s="701" t="s">
        <v>18</v>
      </c>
      <c r="W11" s="702" t="e">
        <f t="shared" si="2"/>
        <v>#N/A</v>
      </c>
      <c r="X11" s="703"/>
      <c r="Y11" s="357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32"/>
      <c r="Q12" s="1343">
        <f t="shared" si="6"/>
        <v>111</v>
      </c>
      <c r="R12" s="701" t="s">
        <v>18</v>
      </c>
      <c r="S12" s="702">
        <f t="shared" si="0"/>
        <v>100</v>
      </c>
      <c r="T12" s="701" t="s">
        <v>18</v>
      </c>
      <c r="U12" s="702">
        <f t="shared" si="1"/>
        <v>100</v>
      </c>
      <c r="V12" s="701" t="s">
        <v>18</v>
      </c>
      <c r="W12" s="702">
        <f t="shared" si="2"/>
        <v>100</v>
      </c>
      <c r="X12" s="703"/>
      <c r="Y12" s="35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32"/>
      <c r="Q13" s="1343">
        <f t="shared" si="6"/>
        <v>111</v>
      </c>
      <c r="R13" s="701" t="s">
        <v>18</v>
      </c>
      <c r="S13" s="702">
        <f t="shared" si="0"/>
        <v>100</v>
      </c>
      <c r="T13" s="701" t="s">
        <v>18</v>
      </c>
      <c r="U13" s="702">
        <f t="shared" si="1"/>
        <v>100</v>
      </c>
      <c r="V13" s="701" t="s">
        <v>18</v>
      </c>
      <c r="W13" s="702">
        <f t="shared" si="2"/>
        <v>100</v>
      </c>
      <c r="X13" s="703"/>
      <c r="Y13" s="357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32"/>
      <c r="Q14" s="1343">
        <f t="shared" si="6"/>
        <v>111</v>
      </c>
      <c r="R14" s="701" t="s">
        <v>18</v>
      </c>
      <c r="S14" s="702">
        <f t="shared" si="0"/>
        <v>100</v>
      </c>
      <c r="T14" s="701" t="s">
        <v>18</v>
      </c>
      <c r="U14" s="702">
        <f t="shared" si="1"/>
        <v>100</v>
      </c>
      <c r="V14" s="701" t="s">
        <v>18</v>
      </c>
      <c r="W14" s="702">
        <f t="shared" si="2"/>
        <v>100</v>
      </c>
      <c r="X14" s="703"/>
      <c r="Y14" s="3577"/>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0" t="s">
        <v>1690</v>
      </c>
      <c r="Q15" s="1352" t="str">
        <f t="shared" si="6"/>
        <v>居住社区成熟度</v>
      </c>
      <c r="R15" s="705" t="s">
        <v>18</v>
      </c>
      <c r="S15" s="706">
        <f t="shared" si="0"/>
        <v>100</v>
      </c>
      <c r="T15" s="705" t="s">
        <v>18</v>
      </c>
      <c r="U15" s="706">
        <f t="shared" si="1"/>
        <v>100</v>
      </c>
      <c r="V15" s="705" t="s">
        <v>18</v>
      </c>
      <c r="W15" s="706">
        <f t="shared" si="2"/>
        <v>100</v>
      </c>
      <c r="X15" s="1355"/>
      <c r="Y15" s="3723"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31"/>
      <c r="Q16" s="1352"/>
      <c r="R16" s="705"/>
      <c r="S16" s="706"/>
      <c r="T16" s="705"/>
      <c r="U16" s="706"/>
      <c r="V16" s="705"/>
      <c r="W16" s="706"/>
      <c r="X16" s="1355"/>
      <c r="Y16" s="3724"/>
      <c r="Z16" s="1356"/>
      <c r="AA16" s="1353">
        <v>1</v>
      </c>
      <c r="AB16" s="1353">
        <v>1</v>
      </c>
      <c r="AC16" s="1353">
        <v>1</v>
      </c>
    </row>
    <row r="17" spans="1:29" ht="85.5">
      <c r="A17" s="379"/>
      <c r="B17" s="402" t="s">
        <v>1258</v>
      </c>
      <c r="C17" s="1900" t="str">
        <f>估价对象房地状况!C6</f>
        <v>周边有75、110、420路及地铁2号、6号线，周边道路密集，停车便捷程度，综合评价交通便捷度好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1"/>
      <c r="Q17" s="1352" t="str">
        <f>B17</f>
        <v>交通便捷度</v>
      </c>
      <c r="R17" s="705" t="s">
        <v>18</v>
      </c>
      <c r="S17" s="706">
        <f>F17</f>
        <v>100</v>
      </c>
      <c r="T17" s="705" t="s">
        <v>18</v>
      </c>
      <c r="U17" s="706">
        <f>H17</f>
        <v>100</v>
      </c>
      <c r="V17" s="705" t="s">
        <v>18</v>
      </c>
      <c r="W17" s="706">
        <f>J17</f>
        <v>100</v>
      </c>
      <c r="X17" s="1355"/>
      <c r="Y17" s="372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31"/>
      <c r="Q18" s="1352"/>
      <c r="R18" s="705"/>
      <c r="S18" s="706"/>
      <c r="T18" s="705"/>
      <c r="U18" s="706"/>
      <c r="V18" s="705"/>
      <c r="W18" s="706"/>
      <c r="X18" s="1355"/>
      <c r="Y18" s="3724"/>
      <c r="Z18" s="1356"/>
      <c r="AA18" s="1353">
        <v>1</v>
      </c>
      <c r="AB18" s="1353">
        <v>1</v>
      </c>
      <c r="AC18" s="1353">
        <v>1</v>
      </c>
    </row>
    <row r="19" spans="1:29" ht="85.5">
      <c r="A19" s="379"/>
      <c r="B19" s="402" t="s">
        <v>1257</v>
      </c>
      <c r="C19" s="1900" t="str">
        <f>估价对象房地状况!C7</f>
        <v>估价对象所在区域银行、购物场所、学校等公共配套设施齐备，综合评价公共配套设施水平好。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1"/>
      <c r="Q19" s="1352" t="str">
        <f>B19</f>
        <v>公共配套设施</v>
      </c>
      <c r="R19" s="705" t="s">
        <v>18</v>
      </c>
      <c r="S19" s="706">
        <f>F19</f>
        <v>100</v>
      </c>
      <c r="T19" s="705" t="s">
        <v>18</v>
      </c>
      <c r="U19" s="706">
        <f>H19</f>
        <v>100</v>
      </c>
      <c r="V19" s="705" t="s">
        <v>18</v>
      </c>
      <c r="W19" s="706">
        <f>J19</f>
        <v>100</v>
      </c>
      <c r="X19" s="1355"/>
      <c r="Y19" s="372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31"/>
      <c r="Q20" s="1352"/>
      <c r="R20" s="705"/>
      <c r="S20" s="706"/>
      <c r="T20" s="705"/>
      <c r="U20" s="706"/>
      <c r="V20" s="705"/>
      <c r="W20" s="706"/>
      <c r="X20" s="1355"/>
      <c r="Y20" s="3724"/>
      <c r="Z20" s="1356"/>
      <c r="AA20" s="1353">
        <v>1</v>
      </c>
      <c r="AB20" s="1353">
        <v>1</v>
      </c>
      <c r="AC20" s="1353">
        <v>1</v>
      </c>
    </row>
    <row r="21" spans="1:29" ht="42.75">
      <c r="A21" s="379"/>
      <c r="B21" s="1131" t="s">
        <v>1259</v>
      </c>
      <c r="C21" s="1900" t="str">
        <f>估价对象房地状况!C8</f>
        <v>估价对象所在区域基础设施水平“七通一平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1"/>
      <c r="Q21" s="1352" t="str">
        <f>B21</f>
        <v>基础设施水平</v>
      </c>
      <c r="R21" s="705" t="s">
        <v>14</v>
      </c>
      <c r="S21" s="706">
        <f>F21</f>
        <v>100</v>
      </c>
      <c r="T21" s="705" t="s">
        <v>14</v>
      </c>
      <c r="U21" s="706">
        <f>H21</f>
        <v>100</v>
      </c>
      <c r="V21" s="705" t="s">
        <v>14</v>
      </c>
      <c r="W21" s="706">
        <f>J21</f>
        <v>100</v>
      </c>
      <c r="X21" s="1355"/>
      <c r="Y21" s="372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31"/>
      <c r="Q22" s="1352"/>
      <c r="R22" s="705"/>
      <c r="S22" s="706"/>
      <c r="T22" s="705"/>
      <c r="U22" s="706"/>
      <c r="V22" s="705"/>
      <c r="W22" s="706"/>
      <c r="X22" s="1355"/>
      <c r="Y22" s="3724"/>
      <c r="Z22" s="1356"/>
      <c r="AA22" s="1353">
        <v>1</v>
      </c>
      <c r="AB22" s="1353">
        <v>1</v>
      </c>
      <c r="AC22" s="1353">
        <v>1</v>
      </c>
    </row>
    <row r="23" spans="1:29" ht="85.5">
      <c r="A23" s="379"/>
      <c r="B23" s="402" t="s">
        <v>1260</v>
      </c>
      <c r="C23" s="1900" t="str">
        <f>估价对象房地状况!C9</f>
        <v>区域内有东城职业大学、日坛公园、富国海底世界等自然及人文环境，综合评价自然及人文环境状况较好。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1"/>
      <c r="Q23" s="1352" t="str">
        <f>B23</f>
        <v>自然及人文环境</v>
      </c>
      <c r="R23" s="705" t="s">
        <v>18</v>
      </c>
      <c r="S23" s="706">
        <f>F23</f>
        <v>100</v>
      </c>
      <c r="T23" s="705" t="s">
        <v>18</v>
      </c>
      <c r="U23" s="706">
        <f>H23</f>
        <v>100</v>
      </c>
      <c r="V23" s="705" t="s">
        <v>18</v>
      </c>
      <c r="W23" s="706">
        <f>J23</f>
        <v>100</v>
      </c>
      <c r="X23" s="1355"/>
      <c r="Y23" s="372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31"/>
      <c r="Q24" s="1352"/>
      <c r="R24" s="705"/>
      <c r="S24" s="706"/>
      <c r="T24" s="705"/>
      <c r="U24" s="706"/>
      <c r="V24" s="705"/>
      <c r="W24" s="706"/>
      <c r="X24" s="1355"/>
      <c r="Y24" s="3724"/>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3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4"/>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31"/>
      <c r="Q26" s="1352" t="str">
        <f t="shared" si="11"/>
        <v>朝向</v>
      </c>
      <c r="R26" s="705" t="s">
        <v>18</v>
      </c>
      <c r="S26" s="706">
        <f t="shared" si="12"/>
        <v>100</v>
      </c>
      <c r="T26" s="705" t="s">
        <v>18</v>
      </c>
      <c r="U26" s="706">
        <f t="shared" si="13"/>
        <v>100</v>
      </c>
      <c r="V26" s="705" t="s">
        <v>18</v>
      </c>
      <c r="W26" s="706">
        <f t="shared" si="14"/>
        <v>100</v>
      </c>
      <c r="X26" s="1355"/>
      <c r="Y26" s="372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31"/>
      <c r="Q27" s="1343">
        <f t="shared" si="11"/>
        <v>111</v>
      </c>
      <c r="R27" s="701" t="s">
        <v>18</v>
      </c>
      <c r="S27" s="702">
        <f t="shared" si="12"/>
        <v>100</v>
      </c>
      <c r="T27" s="701" t="s">
        <v>18</v>
      </c>
      <c r="U27" s="702">
        <f t="shared" si="13"/>
        <v>100</v>
      </c>
      <c r="V27" s="701" t="s">
        <v>18</v>
      </c>
      <c r="W27" s="702">
        <f t="shared" si="14"/>
        <v>100</v>
      </c>
      <c r="X27" s="703"/>
      <c r="Y27" s="372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31"/>
      <c r="Q28" s="1352">
        <f t="shared" si="11"/>
        <v>111</v>
      </c>
      <c r="R28" s="705" t="s">
        <v>18</v>
      </c>
      <c r="S28" s="706">
        <f t="shared" si="12"/>
        <v>100</v>
      </c>
      <c r="T28" s="705" t="s">
        <v>18</v>
      </c>
      <c r="U28" s="706">
        <f t="shared" si="13"/>
        <v>100</v>
      </c>
      <c r="V28" s="705" t="s">
        <v>18</v>
      </c>
      <c r="W28" s="706">
        <f t="shared" si="14"/>
        <v>100</v>
      </c>
      <c r="X28" s="1355"/>
      <c r="Y28" s="372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31"/>
      <c r="Q29" s="1352">
        <f t="shared" si="11"/>
        <v>111</v>
      </c>
      <c r="R29" s="705" t="s">
        <v>18</v>
      </c>
      <c r="S29" s="706">
        <f t="shared" si="12"/>
        <v>100</v>
      </c>
      <c r="T29" s="705" t="s">
        <v>18</v>
      </c>
      <c r="U29" s="706">
        <f t="shared" si="13"/>
        <v>100</v>
      </c>
      <c r="V29" s="705" t="s">
        <v>18</v>
      </c>
      <c r="W29" s="706">
        <f t="shared" si="14"/>
        <v>100</v>
      </c>
      <c r="X29" s="1355"/>
      <c r="Y29" s="372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31"/>
      <c r="Q30" s="1352">
        <f t="shared" si="11"/>
        <v>111</v>
      </c>
      <c r="R30" s="705" t="s">
        <v>18</v>
      </c>
      <c r="S30" s="706">
        <f t="shared" si="12"/>
        <v>100</v>
      </c>
      <c r="T30" s="705" t="s">
        <v>18</v>
      </c>
      <c r="U30" s="706">
        <f t="shared" si="13"/>
        <v>100</v>
      </c>
      <c r="V30" s="705" t="s">
        <v>18</v>
      </c>
      <c r="W30" s="706">
        <f t="shared" si="14"/>
        <v>100</v>
      </c>
      <c r="X30" s="1355"/>
      <c r="Y30" s="372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31"/>
      <c r="Q31" s="1352">
        <f t="shared" si="11"/>
        <v>111</v>
      </c>
      <c r="R31" s="705" t="s">
        <v>18</v>
      </c>
      <c r="S31" s="706">
        <f t="shared" si="12"/>
        <v>100</v>
      </c>
      <c r="T31" s="705" t="s">
        <v>18</v>
      </c>
      <c r="U31" s="706">
        <f t="shared" si="13"/>
        <v>100</v>
      </c>
      <c r="V31" s="705" t="s">
        <v>18</v>
      </c>
      <c r="W31" s="706">
        <f t="shared" si="14"/>
        <v>100</v>
      </c>
      <c r="X31" s="1355"/>
      <c r="Y31" s="3724"/>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25" t="s">
        <v>1695</v>
      </c>
      <c r="Q32" s="1352" t="str">
        <f t="shared" si="11"/>
        <v>建筑类型</v>
      </c>
      <c r="R32" s="705" t="s">
        <v>18</v>
      </c>
      <c r="S32" s="706">
        <f t="shared" si="12"/>
        <v>100</v>
      </c>
      <c r="T32" s="705" t="s">
        <v>18</v>
      </c>
      <c r="U32" s="706">
        <f t="shared" si="13"/>
        <v>100</v>
      </c>
      <c r="V32" s="705" t="s">
        <v>18</v>
      </c>
      <c r="W32" s="706">
        <f t="shared" si="14"/>
        <v>100</v>
      </c>
      <c r="X32" s="1355"/>
      <c r="Y32" s="3728"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26"/>
      <c r="Q33" s="707" t="str">
        <f t="shared" si="11"/>
        <v>项目建筑规模</v>
      </c>
      <c r="R33" s="708" t="s">
        <v>18</v>
      </c>
      <c r="S33" s="709" t="e">
        <f t="shared" si="12"/>
        <v>#N/A</v>
      </c>
      <c r="T33" s="708" t="s">
        <v>18</v>
      </c>
      <c r="U33" s="709" t="e">
        <f t="shared" si="13"/>
        <v>#N/A</v>
      </c>
      <c r="V33" s="708" t="s">
        <v>18</v>
      </c>
      <c r="W33" s="709" t="e">
        <f t="shared" si="14"/>
        <v>#N/A</v>
      </c>
      <c r="X33" s="710"/>
      <c r="Y33" s="3728"/>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26"/>
      <c r="Q34" s="1352" t="str">
        <f t="shared" si="11"/>
        <v>建筑结构</v>
      </c>
      <c r="R34" s="705" t="s">
        <v>18</v>
      </c>
      <c r="S34" s="706">
        <f t="shared" si="12"/>
        <v>100</v>
      </c>
      <c r="T34" s="705" t="s">
        <v>18</v>
      </c>
      <c r="U34" s="706">
        <f t="shared" si="13"/>
        <v>100</v>
      </c>
      <c r="V34" s="705" t="s">
        <v>18</v>
      </c>
      <c r="W34" s="706">
        <f t="shared" si="14"/>
        <v>100</v>
      </c>
      <c r="X34" s="1355"/>
      <c r="Y34" s="3728"/>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6"/>
      <c r="Q35" s="1352" t="str">
        <f t="shared" si="11"/>
        <v>建筑品质</v>
      </c>
      <c r="R35" s="705" t="s">
        <v>18</v>
      </c>
      <c r="S35" s="706">
        <f t="shared" si="12"/>
        <v>100</v>
      </c>
      <c r="T35" s="705" t="s">
        <v>18</v>
      </c>
      <c r="U35" s="706">
        <f t="shared" si="13"/>
        <v>100</v>
      </c>
      <c r="V35" s="705" t="s">
        <v>18</v>
      </c>
      <c r="W35" s="706">
        <f t="shared" si="14"/>
        <v>100</v>
      </c>
      <c r="X35" s="1355"/>
      <c r="Y35" s="3728"/>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26"/>
      <c r="Q36" s="1352" t="str">
        <f t="shared" si="11"/>
        <v>公共部分装修</v>
      </c>
      <c r="R36" s="705" t="s">
        <v>18</v>
      </c>
      <c r="S36" s="706">
        <f t="shared" si="12"/>
        <v>100</v>
      </c>
      <c r="T36" s="705" t="s">
        <v>18</v>
      </c>
      <c r="U36" s="706">
        <f t="shared" si="13"/>
        <v>100</v>
      </c>
      <c r="V36" s="705" t="s">
        <v>18</v>
      </c>
      <c r="W36" s="706">
        <f t="shared" si="14"/>
        <v>100</v>
      </c>
      <c r="X36" s="1355"/>
      <c r="Y36" s="3728"/>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6"/>
      <c r="Q37" s="1343" t="str">
        <f t="shared" si="11"/>
        <v>成新度</v>
      </c>
      <c r="R37" s="701" t="s">
        <v>18</v>
      </c>
      <c r="S37" s="702" t="e">
        <f t="shared" si="12"/>
        <v>#N/A</v>
      </c>
      <c r="T37" s="701" t="s">
        <v>18</v>
      </c>
      <c r="U37" s="702" t="e">
        <f t="shared" si="13"/>
        <v>#N/A</v>
      </c>
      <c r="V37" s="701" t="s">
        <v>18</v>
      </c>
      <c r="W37" s="702" t="e">
        <f t="shared" si="14"/>
        <v>#N/A</v>
      </c>
      <c r="X37" s="703"/>
      <c r="Y37" s="3728"/>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6" t="s">
        <v>1695</v>
      </c>
      <c r="Q38" s="1352" t="str">
        <f t="shared" si="11"/>
        <v>物业管理</v>
      </c>
      <c r="R38" s="705" t="s">
        <v>18</v>
      </c>
      <c r="S38" s="706">
        <f t="shared" si="12"/>
        <v>100</v>
      </c>
      <c r="T38" s="705" t="s">
        <v>18</v>
      </c>
      <c r="U38" s="706">
        <f t="shared" si="13"/>
        <v>100</v>
      </c>
      <c r="V38" s="705" t="s">
        <v>18</v>
      </c>
      <c r="W38" s="706">
        <f t="shared" si="14"/>
        <v>100</v>
      </c>
      <c r="X38" s="1355"/>
      <c r="Y38" s="3728"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6"/>
      <c r="Q39" s="1352" t="str">
        <f t="shared" si="11"/>
        <v>市政基础设施</v>
      </c>
      <c r="R39" s="705" t="s">
        <v>18</v>
      </c>
      <c r="S39" s="706">
        <f t="shared" si="12"/>
        <v>100</v>
      </c>
      <c r="T39" s="705" t="s">
        <v>18</v>
      </c>
      <c r="U39" s="706">
        <f t="shared" si="13"/>
        <v>100</v>
      </c>
      <c r="V39" s="705" t="s">
        <v>18</v>
      </c>
      <c r="W39" s="706">
        <f t="shared" si="14"/>
        <v>100</v>
      </c>
      <c r="X39" s="1355"/>
      <c r="Y39" s="3728"/>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6"/>
      <c r="Q40" s="1352" t="str">
        <f t="shared" si="11"/>
        <v>房型</v>
      </c>
      <c r="R40" s="705" t="s">
        <v>18</v>
      </c>
      <c r="S40" s="706">
        <f t="shared" si="12"/>
        <v>100</v>
      </c>
      <c r="T40" s="705" t="s">
        <v>18</v>
      </c>
      <c r="U40" s="706">
        <f t="shared" si="13"/>
        <v>100</v>
      </c>
      <c r="V40" s="705" t="s">
        <v>18</v>
      </c>
      <c r="W40" s="706">
        <f t="shared" si="14"/>
        <v>100</v>
      </c>
      <c r="X40" s="1355"/>
      <c r="Y40" s="3728"/>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6"/>
      <c r="Q41" s="707" t="str">
        <f t="shared" si="11"/>
        <v>单套/主力户型建筑面积</v>
      </c>
      <c r="R41" s="708" t="s">
        <v>18</v>
      </c>
      <c r="S41" s="709">
        <f t="shared" si="12"/>
        <v>100</v>
      </c>
      <c r="T41" s="708" t="s">
        <v>18</v>
      </c>
      <c r="U41" s="709">
        <f t="shared" si="13"/>
        <v>100</v>
      </c>
      <c r="V41" s="708" t="s">
        <v>18</v>
      </c>
      <c r="W41" s="709">
        <f t="shared" si="14"/>
        <v>100</v>
      </c>
      <c r="X41" s="710"/>
      <c r="Y41" s="3728"/>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6"/>
      <c r="Q42" s="1352" t="str">
        <f t="shared" si="11"/>
        <v>内部装修</v>
      </c>
      <c r="R42" s="705" t="s">
        <v>18</v>
      </c>
      <c r="S42" s="706">
        <f t="shared" si="12"/>
        <v>100</v>
      </c>
      <c r="T42" s="705" t="s">
        <v>18</v>
      </c>
      <c r="U42" s="706">
        <f t="shared" si="13"/>
        <v>100</v>
      </c>
      <c r="V42" s="705" t="s">
        <v>18</v>
      </c>
      <c r="W42" s="706">
        <f t="shared" si="14"/>
        <v>100</v>
      </c>
      <c r="X42" s="1355"/>
      <c r="Y42" s="3728"/>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6"/>
      <c r="Q43" s="1352" t="str">
        <f t="shared" si="11"/>
        <v>内部装修维护情况</v>
      </c>
      <c r="R43" s="705" t="s">
        <v>18</v>
      </c>
      <c r="S43" s="706">
        <f t="shared" si="12"/>
        <v>100</v>
      </c>
      <c r="T43" s="705" t="s">
        <v>18</v>
      </c>
      <c r="U43" s="706">
        <f t="shared" si="13"/>
        <v>100</v>
      </c>
      <c r="V43" s="705" t="s">
        <v>18</v>
      </c>
      <c r="W43" s="706">
        <f t="shared" si="14"/>
        <v>100</v>
      </c>
      <c r="X43" s="1355"/>
      <c r="Y43" s="372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6"/>
      <c r="Q44" s="1343">
        <f t="shared" si="11"/>
        <v>111</v>
      </c>
      <c r="R44" s="701" t="s">
        <v>18</v>
      </c>
      <c r="S44" s="702">
        <f t="shared" si="12"/>
        <v>100</v>
      </c>
      <c r="T44" s="701" t="s">
        <v>18</v>
      </c>
      <c r="U44" s="702">
        <f t="shared" si="13"/>
        <v>100</v>
      </c>
      <c r="V44" s="701" t="s">
        <v>18</v>
      </c>
      <c r="W44" s="702">
        <f t="shared" si="14"/>
        <v>100</v>
      </c>
      <c r="X44" s="703"/>
      <c r="Y44" s="372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6"/>
      <c r="Q45" s="1352">
        <f t="shared" si="11"/>
        <v>111</v>
      </c>
      <c r="R45" s="705" t="s">
        <v>18</v>
      </c>
      <c r="S45" s="706">
        <f t="shared" si="12"/>
        <v>100</v>
      </c>
      <c r="T45" s="705" t="s">
        <v>18</v>
      </c>
      <c r="U45" s="706">
        <f t="shared" si="13"/>
        <v>100</v>
      </c>
      <c r="V45" s="705" t="s">
        <v>18</v>
      </c>
      <c r="W45" s="706">
        <f t="shared" si="14"/>
        <v>100</v>
      </c>
      <c r="X45" s="1355"/>
      <c r="Y45" s="372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7"/>
      <c r="Q46" s="1352">
        <f t="shared" si="11"/>
        <v>111</v>
      </c>
      <c r="R46" s="705" t="s">
        <v>17</v>
      </c>
      <c r="S46" s="706">
        <f t="shared" si="12"/>
        <v>100</v>
      </c>
      <c r="T46" s="705" t="s">
        <v>17</v>
      </c>
      <c r="U46" s="706">
        <f t="shared" si="13"/>
        <v>100</v>
      </c>
      <c r="V46" s="705" t="s">
        <v>17</v>
      </c>
      <c r="W46" s="706">
        <f t="shared" si="14"/>
        <v>100</v>
      </c>
      <c r="X46" s="1355"/>
      <c r="Y46" s="3729"/>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721" t="str">
        <f>A47</f>
        <v>成交单价（元/平方米）</v>
      </c>
      <c r="Q47" s="3721"/>
      <c r="R47" s="3722">
        <f>E47</f>
        <v>0</v>
      </c>
      <c r="S47" s="3722"/>
      <c r="T47" s="3722">
        <f>G47</f>
        <v>0</v>
      </c>
      <c r="U47" s="3722"/>
      <c r="V47" s="3722">
        <f>I47</f>
        <v>0</v>
      </c>
      <c r="W47" s="3722"/>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2"/>
      <c r="M48" s="2723"/>
      <c r="N48" s="2723"/>
      <c r="O48" s="2723"/>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718" t="str">
        <f>A49</f>
        <v>估价对象XX用房的比较价值（楼面单价，元/平方米）</v>
      </c>
      <c r="Q49" s="3719"/>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4"/>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6547.83</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736" t="s">
        <v>1769</v>
      </c>
      <c r="D4" s="3737"/>
      <c r="E4" s="3738" t="s">
        <v>1770</v>
      </c>
      <c r="F4" s="3739"/>
      <c r="G4" s="3736" t="s">
        <v>1771</v>
      </c>
      <c r="H4" s="3737"/>
      <c r="I4" s="3736" t="s">
        <v>1772</v>
      </c>
      <c r="J4" s="3737"/>
      <c r="K4" s="559" t="s">
        <v>1773</v>
      </c>
      <c r="L4" s="2713"/>
      <c r="M4" s="2714"/>
      <c r="N4" s="2714"/>
      <c r="O4" s="2714"/>
      <c r="P4" s="3740" t="s">
        <v>1774</v>
      </c>
      <c r="Q4" s="3741"/>
      <c r="R4" s="3746" t="s">
        <v>1770</v>
      </c>
      <c r="S4" s="3747"/>
      <c r="T4" s="3746" t="s">
        <v>1771</v>
      </c>
      <c r="U4" s="3747"/>
      <c r="V4" s="3752" t="s">
        <v>1772</v>
      </c>
      <c r="W4" s="3752"/>
      <c r="X4" s="1355"/>
      <c r="Y4" s="3746" t="s">
        <v>1774</v>
      </c>
      <c r="Z4" s="3747"/>
      <c r="AA4" s="3733" t="s">
        <v>1770</v>
      </c>
      <c r="AB4" s="3752" t="s">
        <v>1771</v>
      </c>
      <c r="AC4" s="3733" t="s">
        <v>1772</v>
      </c>
    </row>
    <row r="5" spans="1:29" ht="15">
      <c r="A5" s="358"/>
      <c r="B5" s="359"/>
      <c r="C5" s="3755" t="s">
        <v>1672</v>
      </c>
      <c r="D5" s="3756"/>
      <c r="E5" s="3762" t="s">
        <v>1673</v>
      </c>
      <c r="F5" s="3763"/>
      <c r="G5" s="3755" t="s">
        <v>1674</v>
      </c>
      <c r="H5" s="3756"/>
      <c r="I5" s="3755" t="s">
        <v>1675</v>
      </c>
      <c r="J5" s="3756"/>
      <c r="K5" s="559"/>
      <c r="L5" s="2713"/>
      <c r="M5" s="2714"/>
      <c r="N5" s="2714"/>
      <c r="O5" s="2714"/>
      <c r="P5" s="3742"/>
      <c r="Q5" s="3743"/>
      <c r="R5" s="3748"/>
      <c r="S5" s="3749"/>
      <c r="T5" s="3748"/>
      <c r="U5" s="3749"/>
      <c r="V5" s="3752"/>
      <c r="W5" s="3752"/>
      <c r="X5" s="1355"/>
      <c r="Y5" s="3748"/>
      <c r="Z5" s="3749"/>
      <c r="AA5" s="3734"/>
      <c r="AB5" s="3752"/>
      <c r="AC5" s="3734"/>
    </row>
    <row r="6" spans="1:29" ht="15.75" thickBot="1">
      <c r="A6" s="360"/>
      <c r="B6" s="361"/>
      <c r="C6" s="3753" t="s">
        <v>1676</v>
      </c>
      <c r="D6" s="3754"/>
      <c r="E6" s="3760" t="s">
        <v>1676</v>
      </c>
      <c r="F6" s="3761"/>
      <c r="G6" s="3753" t="s">
        <v>1676</v>
      </c>
      <c r="H6" s="3754"/>
      <c r="I6" s="3753" t="s">
        <v>1676</v>
      </c>
      <c r="J6" s="3754"/>
      <c r="K6" s="559" t="s">
        <v>1677</v>
      </c>
      <c r="L6" s="2713"/>
      <c r="M6" s="2714"/>
      <c r="N6" s="2714"/>
      <c r="O6" s="2714"/>
      <c r="P6" s="3744"/>
      <c r="Q6" s="3745"/>
      <c r="R6" s="3748"/>
      <c r="S6" s="3749"/>
      <c r="T6" s="3750"/>
      <c r="U6" s="3751"/>
      <c r="V6" s="3752"/>
      <c r="W6" s="3752"/>
      <c r="X6" s="1355"/>
      <c r="Y6" s="3750"/>
      <c r="Z6" s="3751"/>
      <c r="AA6" s="3735"/>
      <c r="AB6" s="3752"/>
      <c r="AC6" s="3735"/>
    </row>
    <row r="7" spans="1:29" s="108" customFormat="1" ht="15.75" thickBot="1">
      <c r="A7" s="362" t="s">
        <v>1678</v>
      </c>
      <c r="B7" s="363"/>
      <c r="C7" s="364">
        <f>'数据-取费表'!B2</f>
        <v>45051</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57" t="s">
        <v>1679</v>
      </c>
      <c r="Q7" s="3759"/>
      <c r="R7" s="701" t="s">
        <v>14</v>
      </c>
      <c r="S7" s="702">
        <f t="shared" ref="S7:S15" si="0">F7</f>
        <v>0</v>
      </c>
      <c r="T7" s="701" t="s">
        <v>14</v>
      </c>
      <c r="U7" s="702">
        <f t="shared" ref="U7:U15" si="1">H7</f>
        <v>0</v>
      </c>
      <c r="V7" s="701" t="s">
        <v>14</v>
      </c>
      <c r="W7" s="702">
        <f t="shared" ref="W7:W15" si="2">J7</f>
        <v>0</v>
      </c>
      <c r="X7" s="703"/>
      <c r="Y7" s="3757" t="s">
        <v>1679</v>
      </c>
      <c r="Z7" s="3758"/>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57" t="s">
        <v>1682</v>
      </c>
      <c r="Q8" s="3758"/>
      <c r="R8" s="701" t="s">
        <v>14</v>
      </c>
      <c r="S8" s="702">
        <f t="shared" si="0"/>
        <v>100</v>
      </c>
      <c r="T8" s="701" t="s">
        <v>14</v>
      </c>
      <c r="U8" s="702">
        <f t="shared" si="1"/>
        <v>100</v>
      </c>
      <c r="V8" s="701" t="s">
        <v>14</v>
      </c>
      <c r="W8" s="702">
        <f t="shared" si="2"/>
        <v>100</v>
      </c>
      <c r="X8" s="703"/>
      <c r="Y8" s="3757" t="s">
        <v>1682</v>
      </c>
      <c r="Z8" s="3758"/>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32" t="s">
        <v>1685</v>
      </c>
      <c r="Q9" s="1343" t="str">
        <f t="shared" ref="Q9:Q15" si="6">B9</f>
        <v>用途</v>
      </c>
      <c r="R9" s="701" t="s">
        <v>14</v>
      </c>
      <c r="S9" s="702">
        <f t="shared" si="0"/>
        <v>100</v>
      </c>
      <c r="T9" s="701" t="s">
        <v>14</v>
      </c>
      <c r="U9" s="702">
        <f t="shared" si="1"/>
        <v>100</v>
      </c>
      <c r="V9" s="701" t="s">
        <v>14</v>
      </c>
      <c r="W9" s="702">
        <f t="shared" si="2"/>
        <v>100</v>
      </c>
      <c r="X9" s="703"/>
      <c r="Y9" s="3577"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32"/>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32"/>
      <c r="Q11" s="1343" t="str">
        <f t="shared" si="6"/>
        <v>容积率</v>
      </c>
      <c r="R11" s="701" t="s">
        <v>14</v>
      </c>
      <c r="S11" s="702" t="e">
        <f t="shared" si="0"/>
        <v>#N/A</v>
      </c>
      <c r="T11" s="701" t="s">
        <v>14</v>
      </c>
      <c r="U11" s="702" t="e">
        <f t="shared" si="1"/>
        <v>#N/A</v>
      </c>
      <c r="V11" s="701" t="s">
        <v>14</v>
      </c>
      <c r="W11" s="702" t="e">
        <f t="shared" si="2"/>
        <v>#N/A</v>
      </c>
      <c r="X11" s="703"/>
      <c r="Y11" s="357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32"/>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32"/>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32"/>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114">
      <c r="A15" s="391" t="s">
        <v>1689</v>
      </c>
      <c r="B15" s="61" t="s">
        <v>1776</v>
      </c>
      <c r="C15" s="1896" t="str">
        <f>估价对象房地状况!C4</f>
        <v>估价对象位于朝阳门商圈，周边商业氛围成熟，有悠唐购物中心、银河SOHO等购物中心，人流量大，商业繁华度好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0" t="s">
        <v>1690</v>
      </c>
      <c r="Q15" s="1352" t="str">
        <f t="shared" si="6"/>
        <v>商业繁华度</v>
      </c>
      <c r="R15" s="705" t="s">
        <v>14</v>
      </c>
      <c r="S15" s="706">
        <f t="shared" si="0"/>
        <v>100</v>
      </c>
      <c r="T15" s="705" t="s">
        <v>14</v>
      </c>
      <c r="U15" s="706">
        <f t="shared" si="1"/>
        <v>100</v>
      </c>
      <c r="V15" s="705" t="s">
        <v>14</v>
      </c>
      <c r="W15" s="706">
        <f t="shared" si="2"/>
        <v>100</v>
      </c>
      <c r="X15" s="1355"/>
      <c r="Y15" s="3723"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31"/>
      <c r="Q16" s="1352"/>
      <c r="R16" s="705"/>
      <c r="S16" s="706"/>
      <c r="T16" s="705"/>
      <c r="U16" s="706"/>
      <c r="V16" s="705"/>
      <c r="W16" s="706"/>
      <c r="X16" s="1355"/>
      <c r="Y16" s="3724"/>
      <c r="Z16" s="1356"/>
      <c r="AA16" s="1353">
        <v>1</v>
      </c>
      <c r="AB16" s="1353">
        <v>1</v>
      </c>
      <c r="AC16" s="1353">
        <v>1</v>
      </c>
    </row>
    <row r="17" spans="1:29" ht="85.5">
      <c r="A17" s="379"/>
      <c r="B17" s="402" t="s">
        <v>1258</v>
      </c>
      <c r="C17" s="1900" t="str">
        <f>估价对象房地状况!C6</f>
        <v>周边有75、110、420路及地铁2号、6号线，周边道路密集，停车便捷程度，综合评价交通便捷度好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1"/>
      <c r="Q17" s="1352" t="str">
        <f>B17</f>
        <v>交通便捷度</v>
      </c>
      <c r="R17" s="705" t="s">
        <v>14</v>
      </c>
      <c r="S17" s="706">
        <f>F17</f>
        <v>100</v>
      </c>
      <c r="T17" s="705" t="s">
        <v>14</v>
      </c>
      <c r="U17" s="706">
        <f>H17</f>
        <v>100</v>
      </c>
      <c r="V17" s="705" t="s">
        <v>14</v>
      </c>
      <c r="W17" s="706">
        <f>J17</f>
        <v>100</v>
      </c>
      <c r="X17" s="1355"/>
      <c r="Y17" s="372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31"/>
      <c r="Q18" s="1352"/>
      <c r="R18" s="705"/>
      <c r="S18" s="706"/>
      <c r="T18" s="705"/>
      <c r="U18" s="706"/>
      <c r="V18" s="705"/>
      <c r="W18" s="706"/>
      <c r="X18" s="1355"/>
      <c r="Y18" s="3724"/>
      <c r="Z18" s="1356"/>
      <c r="AA18" s="1353">
        <v>1</v>
      </c>
      <c r="AB18" s="1353">
        <v>1</v>
      </c>
      <c r="AC18" s="1353">
        <v>1</v>
      </c>
    </row>
    <row r="19" spans="1:29" ht="85.5">
      <c r="A19" s="379"/>
      <c r="B19" s="402" t="s">
        <v>1777</v>
      </c>
      <c r="C19" s="1900" t="str">
        <f>估价对象房地状况!C7</f>
        <v>估价对象所在区域银行、购物场所、学校等公共配套设施齐备，综合评价公共配套设施水平好。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1"/>
      <c r="Q19" s="1352" t="str">
        <f>B19</f>
        <v>公共配套设施</v>
      </c>
      <c r="R19" s="705" t="s">
        <v>14</v>
      </c>
      <c r="S19" s="706">
        <f>F19</f>
        <v>100</v>
      </c>
      <c r="T19" s="705" t="s">
        <v>14</v>
      </c>
      <c r="U19" s="706">
        <f>H19</f>
        <v>100</v>
      </c>
      <c r="V19" s="705" t="s">
        <v>14</v>
      </c>
      <c r="W19" s="706">
        <f>J19</f>
        <v>100</v>
      </c>
      <c r="X19" s="1355"/>
      <c r="Y19" s="372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31"/>
      <c r="Q20" s="1352"/>
      <c r="R20" s="705"/>
      <c r="S20" s="706"/>
      <c r="T20" s="705"/>
      <c r="U20" s="706"/>
      <c r="V20" s="705"/>
      <c r="W20" s="706"/>
      <c r="X20" s="1355"/>
      <c r="Y20" s="3724"/>
      <c r="Z20" s="1356"/>
      <c r="AA20" s="1353">
        <v>1</v>
      </c>
      <c r="AB20" s="1353">
        <v>1</v>
      </c>
      <c r="AC20" s="1353">
        <v>1</v>
      </c>
    </row>
    <row r="21" spans="1:29" ht="42.75">
      <c r="A21" s="379"/>
      <c r="B21" s="1131" t="s">
        <v>1778</v>
      </c>
      <c r="C21" s="1900"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1"/>
      <c r="Q21" s="1352" t="str">
        <f>B21</f>
        <v>基础设施水平</v>
      </c>
      <c r="R21" s="705" t="s">
        <v>14</v>
      </c>
      <c r="S21" s="706">
        <f>F21</f>
        <v>100</v>
      </c>
      <c r="T21" s="705" t="s">
        <v>14</v>
      </c>
      <c r="U21" s="706">
        <f>H21</f>
        <v>100</v>
      </c>
      <c r="V21" s="705" t="s">
        <v>14</v>
      </c>
      <c r="W21" s="706">
        <f>J21</f>
        <v>100</v>
      </c>
      <c r="X21" s="1355"/>
      <c r="Y21" s="372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31"/>
      <c r="Q22" s="1352"/>
      <c r="R22" s="705"/>
      <c r="S22" s="706"/>
      <c r="T22" s="705"/>
      <c r="U22" s="706"/>
      <c r="V22" s="705"/>
      <c r="W22" s="706"/>
      <c r="X22" s="1355"/>
      <c r="Y22" s="3724"/>
      <c r="Z22" s="1356"/>
      <c r="AA22" s="1353">
        <v>1</v>
      </c>
      <c r="AB22" s="1353">
        <v>1</v>
      </c>
      <c r="AC22" s="1353">
        <v>1</v>
      </c>
    </row>
    <row r="23" spans="1:29" ht="99.75">
      <c r="A23" s="379"/>
      <c r="B23" s="402" t="s">
        <v>1260</v>
      </c>
      <c r="C23" s="1955" t="str">
        <f>估价对象房地状况!C9</f>
        <v>区域内有东城职业大学、日坛公园、富国海底世界等自然及人文环境，综合评价自然及人文环境状况较好。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1"/>
      <c r="Q23" s="1352" t="str">
        <f>B23</f>
        <v>自然及人文环境</v>
      </c>
      <c r="R23" s="705" t="s">
        <v>14</v>
      </c>
      <c r="S23" s="706">
        <f>F23</f>
        <v>100</v>
      </c>
      <c r="T23" s="705" t="s">
        <v>14</v>
      </c>
      <c r="U23" s="706">
        <f>H23</f>
        <v>100</v>
      </c>
      <c r="V23" s="705" t="s">
        <v>14</v>
      </c>
      <c r="W23" s="706">
        <f>J23</f>
        <v>100</v>
      </c>
      <c r="X23" s="1355"/>
      <c r="Y23" s="372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31"/>
      <c r="Q24" s="1352"/>
      <c r="R24" s="705"/>
      <c r="S24" s="706"/>
      <c r="T24" s="705"/>
      <c r="U24" s="706"/>
      <c r="V24" s="705"/>
      <c r="W24" s="706"/>
      <c r="X24" s="1355"/>
      <c r="Y24" s="3724"/>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1"/>
      <c r="Q25" s="1352" t="str">
        <f t="shared" ref="Q25:Q46" si="11">B25</f>
        <v>临街状况</v>
      </c>
      <c r="R25" s="705" t="s">
        <v>14</v>
      </c>
      <c r="S25" s="706">
        <f>F25</f>
        <v>100</v>
      </c>
      <c r="T25" s="705" t="s">
        <v>14</v>
      </c>
      <c r="U25" s="706">
        <f>H25</f>
        <v>100</v>
      </c>
      <c r="V25" s="705" t="s">
        <v>14</v>
      </c>
      <c r="W25" s="706">
        <f>J25</f>
        <v>100</v>
      </c>
      <c r="X25" s="1355"/>
      <c r="Y25" s="3724"/>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1"/>
      <c r="Q26" s="1352" t="str">
        <f t="shared" si="11"/>
        <v>平面位置/可视性</v>
      </c>
      <c r="R26" s="705" t="s">
        <v>14</v>
      </c>
      <c r="S26" s="706">
        <f>F26</f>
        <v>100</v>
      </c>
      <c r="T26" s="705" t="s">
        <v>14</v>
      </c>
      <c r="U26" s="706">
        <f>H26</f>
        <v>100</v>
      </c>
      <c r="V26" s="705" t="s">
        <v>14</v>
      </c>
      <c r="W26" s="706">
        <f>J26</f>
        <v>100</v>
      </c>
      <c r="X26" s="1355"/>
      <c r="Y26" s="3724"/>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31"/>
      <c r="Q27" s="1343" t="str">
        <f t="shared" si="11"/>
        <v>人流量</v>
      </c>
      <c r="R27" s="701" t="s">
        <v>14</v>
      </c>
      <c r="S27" s="702">
        <f>F27</f>
        <v>100</v>
      </c>
      <c r="T27" s="701" t="s">
        <v>14</v>
      </c>
      <c r="U27" s="702">
        <f>H27</f>
        <v>100</v>
      </c>
      <c r="V27" s="701" t="s">
        <v>14</v>
      </c>
      <c r="W27" s="702">
        <f>J27</f>
        <v>100</v>
      </c>
      <c r="X27" s="703"/>
      <c r="Y27" s="3724"/>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1"/>
      <c r="Q29" s="1352">
        <f t="shared" si="11"/>
        <v>111</v>
      </c>
      <c r="R29" s="705" t="s">
        <v>14</v>
      </c>
      <c r="S29" s="706">
        <f t="shared" si="12"/>
        <v>100</v>
      </c>
      <c r="T29" s="705" t="s">
        <v>14</v>
      </c>
      <c r="U29" s="706">
        <f t="shared" si="13"/>
        <v>100</v>
      </c>
      <c r="V29" s="705" t="s">
        <v>14</v>
      </c>
      <c r="W29" s="706">
        <f t="shared" si="14"/>
        <v>100</v>
      </c>
      <c r="X29" s="1355"/>
      <c r="Y29" s="372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1"/>
      <c r="Q30" s="1352">
        <f t="shared" si="11"/>
        <v>111</v>
      </c>
      <c r="R30" s="705" t="s">
        <v>14</v>
      </c>
      <c r="S30" s="706">
        <f t="shared" si="12"/>
        <v>100</v>
      </c>
      <c r="T30" s="705" t="s">
        <v>14</v>
      </c>
      <c r="U30" s="706">
        <f t="shared" si="13"/>
        <v>100</v>
      </c>
      <c r="V30" s="705" t="s">
        <v>14</v>
      </c>
      <c r="W30" s="706">
        <f t="shared" si="14"/>
        <v>100</v>
      </c>
      <c r="X30" s="1355"/>
      <c r="Y30" s="372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1"/>
      <c r="Q31" s="1352">
        <f t="shared" si="11"/>
        <v>111</v>
      </c>
      <c r="R31" s="705" t="s">
        <v>14</v>
      </c>
      <c r="S31" s="706">
        <f t="shared" si="12"/>
        <v>100</v>
      </c>
      <c r="T31" s="705" t="s">
        <v>14</v>
      </c>
      <c r="U31" s="706">
        <f t="shared" si="13"/>
        <v>100</v>
      </c>
      <c r="V31" s="705" t="s">
        <v>14</v>
      </c>
      <c r="W31" s="706">
        <f t="shared" si="14"/>
        <v>100</v>
      </c>
      <c r="X31" s="1355"/>
      <c r="Y31" s="3724"/>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5" t="s">
        <v>1695</v>
      </c>
      <c r="Q32" s="1352" t="str">
        <f t="shared" si="11"/>
        <v>商业类型</v>
      </c>
      <c r="R32" s="705" t="s">
        <v>14</v>
      </c>
      <c r="S32" s="706">
        <f t="shared" si="12"/>
        <v>100</v>
      </c>
      <c r="T32" s="705" t="s">
        <v>14</v>
      </c>
      <c r="U32" s="706">
        <f t="shared" si="13"/>
        <v>100</v>
      </c>
      <c r="V32" s="705" t="s">
        <v>14</v>
      </c>
      <c r="W32" s="706">
        <f t="shared" si="14"/>
        <v>100</v>
      </c>
      <c r="X32" s="1355"/>
      <c r="Y32" s="3728"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6"/>
      <c r="Q33" s="707" t="str">
        <f t="shared" si="11"/>
        <v>项目建筑规模</v>
      </c>
      <c r="R33" s="708" t="s">
        <v>14</v>
      </c>
      <c r="S33" s="709" t="e">
        <f t="shared" si="12"/>
        <v>#N/A</v>
      </c>
      <c r="T33" s="708" t="s">
        <v>14</v>
      </c>
      <c r="U33" s="709" t="e">
        <f t="shared" si="13"/>
        <v>#N/A</v>
      </c>
      <c r="V33" s="708" t="s">
        <v>14</v>
      </c>
      <c r="W33" s="709" t="e">
        <f t="shared" si="14"/>
        <v>#N/A</v>
      </c>
      <c r="X33" s="710"/>
      <c r="Y33" s="3728"/>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26"/>
      <c r="Q34" s="1352" t="str">
        <f t="shared" si="11"/>
        <v>建筑结构</v>
      </c>
      <c r="R34" s="705" t="s">
        <v>14</v>
      </c>
      <c r="S34" s="706">
        <f t="shared" si="12"/>
        <v>100</v>
      </c>
      <c r="T34" s="705" t="s">
        <v>14</v>
      </c>
      <c r="U34" s="706">
        <f t="shared" si="13"/>
        <v>100</v>
      </c>
      <c r="V34" s="705" t="s">
        <v>14</v>
      </c>
      <c r="W34" s="706">
        <f t="shared" si="14"/>
        <v>100</v>
      </c>
      <c r="X34" s="1355"/>
      <c r="Y34" s="3728"/>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6"/>
      <c r="Q35" s="1352" t="str">
        <f t="shared" si="11"/>
        <v>公共部分装修</v>
      </c>
      <c r="R35" s="705" t="s">
        <v>14</v>
      </c>
      <c r="S35" s="706">
        <f t="shared" si="12"/>
        <v>100</v>
      </c>
      <c r="T35" s="705" t="s">
        <v>14</v>
      </c>
      <c r="U35" s="706">
        <f t="shared" si="13"/>
        <v>100</v>
      </c>
      <c r="V35" s="705" t="s">
        <v>14</v>
      </c>
      <c r="W35" s="706">
        <f t="shared" si="14"/>
        <v>100</v>
      </c>
      <c r="X35" s="1355"/>
      <c r="Y35" s="3728"/>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6"/>
      <c r="Q36" s="1352" t="str">
        <f t="shared" si="11"/>
        <v>成新度</v>
      </c>
      <c r="R36" s="705" t="s">
        <v>14</v>
      </c>
      <c r="S36" s="706" t="e">
        <f t="shared" si="12"/>
        <v>#N/A</v>
      </c>
      <c r="T36" s="705" t="s">
        <v>14</v>
      </c>
      <c r="U36" s="706" t="e">
        <f t="shared" si="13"/>
        <v>#N/A</v>
      </c>
      <c r="V36" s="705" t="s">
        <v>14</v>
      </c>
      <c r="W36" s="706" t="e">
        <f t="shared" si="14"/>
        <v>#N/A</v>
      </c>
      <c r="X36" s="1355"/>
      <c r="Y36" s="3728"/>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6"/>
      <c r="Q37" s="1343" t="str">
        <f t="shared" si="11"/>
        <v>市政基础设施</v>
      </c>
      <c r="R37" s="701" t="s">
        <v>14</v>
      </c>
      <c r="S37" s="702">
        <f t="shared" si="12"/>
        <v>100</v>
      </c>
      <c r="T37" s="701" t="s">
        <v>14</v>
      </c>
      <c r="U37" s="702">
        <f t="shared" si="13"/>
        <v>100</v>
      </c>
      <c r="V37" s="701" t="s">
        <v>14</v>
      </c>
      <c r="W37" s="702">
        <f t="shared" si="14"/>
        <v>100</v>
      </c>
      <c r="X37" s="703"/>
      <c r="Y37" s="3728"/>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6" t="s">
        <v>1695</v>
      </c>
      <c r="Q38" s="1352" t="str">
        <f t="shared" si="11"/>
        <v>业态</v>
      </c>
      <c r="R38" s="705" t="s">
        <v>14</v>
      </c>
      <c r="S38" s="706">
        <f t="shared" si="12"/>
        <v>100</v>
      </c>
      <c r="T38" s="705" t="s">
        <v>14</v>
      </c>
      <c r="U38" s="706">
        <f t="shared" si="13"/>
        <v>100</v>
      </c>
      <c r="V38" s="705" t="s">
        <v>14</v>
      </c>
      <c r="W38" s="706">
        <f t="shared" si="14"/>
        <v>100</v>
      </c>
      <c r="X38" s="1355"/>
      <c r="Y38" s="3728"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6"/>
      <c r="Q39" s="1352" t="str">
        <f t="shared" si="11"/>
        <v>层高</v>
      </c>
      <c r="R39" s="705" t="s">
        <v>14</v>
      </c>
      <c r="S39" s="706">
        <f t="shared" si="12"/>
        <v>100</v>
      </c>
      <c r="T39" s="705" t="s">
        <v>14</v>
      </c>
      <c r="U39" s="706">
        <f t="shared" si="13"/>
        <v>100</v>
      </c>
      <c r="V39" s="705" t="s">
        <v>14</v>
      </c>
      <c r="W39" s="706">
        <f t="shared" si="14"/>
        <v>100</v>
      </c>
      <c r="X39" s="1355"/>
      <c r="Y39" s="3728"/>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6"/>
      <c r="Q40" s="1352" t="str">
        <f t="shared" si="11"/>
        <v>单套建筑面积</v>
      </c>
      <c r="R40" s="705" t="s">
        <v>14</v>
      </c>
      <c r="S40" s="706">
        <f t="shared" si="12"/>
        <v>100</v>
      </c>
      <c r="T40" s="705" t="s">
        <v>14</v>
      </c>
      <c r="U40" s="706">
        <f t="shared" si="13"/>
        <v>100</v>
      </c>
      <c r="V40" s="705" t="s">
        <v>14</v>
      </c>
      <c r="W40" s="706">
        <f t="shared" si="14"/>
        <v>100</v>
      </c>
      <c r="X40" s="1355"/>
      <c r="Y40" s="3728"/>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6"/>
      <c r="Q41" s="707" t="str">
        <f t="shared" si="11"/>
        <v>进深比</v>
      </c>
      <c r="R41" s="708" t="s">
        <v>14</v>
      </c>
      <c r="S41" s="709">
        <f t="shared" si="12"/>
        <v>100</v>
      </c>
      <c r="T41" s="708" t="s">
        <v>14</v>
      </c>
      <c r="U41" s="709">
        <f t="shared" si="13"/>
        <v>100</v>
      </c>
      <c r="V41" s="708" t="s">
        <v>14</v>
      </c>
      <c r="W41" s="709">
        <f t="shared" si="14"/>
        <v>100</v>
      </c>
      <c r="X41" s="710"/>
      <c r="Y41" s="3728"/>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6"/>
      <c r="Q42" s="1352" t="str">
        <f t="shared" si="11"/>
        <v>内部装修</v>
      </c>
      <c r="R42" s="705" t="s">
        <v>14</v>
      </c>
      <c r="S42" s="706">
        <f t="shared" si="12"/>
        <v>100</v>
      </c>
      <c r="T42" s="705" t="s">
        <v>14</v>
      </c>
      <c r="U42" s="706">
        <f t="shared" si="13"/>
        <v>100</v>
      </c>
      <c r="V42" s="705" t="s">
        <v>14</v>
      </c>
      <c r="W42" s="706">
        <f t="shared" si="14"/>
        <v>100</v>
      </c>
      <c r="X42" s="1355"/>
      <c r="Y42" s="3728"/>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6"/>
      <c r="Q43" s="1352" t="str">
        <f t="shared" si="11"/>
        <v>内部装修维护情况</v>
      </c>
      <c r="R43" s="705" t="s">
        <v>14</v>
      </c>
      <c r="S43" s="706">
        <f t="shared" si="12"/>
        <v>100</v>
      </c>
      <c r="T43" s="705" t="s">
        <v>14</v>
      </c>
      <c r="U43" s="706">
        <f t="shared" si="13"/>
        <v>100</v>
      </c>
      <c r="V43" s="705" t="s">
        <v>14</v>
      </c>
      <c r="W43" s="706">
        <f t="shared" si="14"/>
        <v>100</v>
      </c>
      <c r="X43" s="1355"/>
      <c r="Y43" s="372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6"/>
      <c r="Q44" s="1343">
        <f t="shared" si="11"/>
        <v>111</v>
      </c>
      <c r="R44" s="701" t="s">
        <v>14</v>
      </c>
      <c r="S44" s="702">
        <f t="shared" si="12"/>
        <v>100</v>
      </c>
      <c r="T44" s="701" t="s">
        <v>14</v>
      </c>
      <c r="U44" s="702">
        <f t="shared" si="13"/>
        <v>100</v>
      </c>
      <c r="V44" s="701" t="s">
        <v>14</v>
      </c>
      <c r="W44" s="702">
        <f t="shared" si="14"/>
        <v>100</v>
      </c>
      <c r="X44" s="703"/>
      <c r="Y44" s="372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6"/>
      <c r="Q45" s="1352">
        <f t="shared" si="11"/>
        <v>111</v>
      </c>
      <c r="R45" s="705" t="s">
        <v>14</v>
      </c>
      <c r="S45" s="706">
        <f t="shared" si="12"/>
        <v>100</v>
      </c>
      <c r="T45" s="705" t="s">
        <v>14</v>
      </c>
      <c r="U45" s="706">
        <f t="shared" si="13"/>
        <v>100</v>
      </c>
      <c r="V45" s="705" t="s">
        <v>14</v>
      </c>
      <c r="W45" s="706">
        <f t="shared" si="14"/>
        <v>100</v>
      </c>
      <c r="X45" s="1355"/>
      <c r="Y45" s="372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7"/>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721" t="str">
        <f>A47</f>
        <v>成交单价（元/平方米）</v>
      </c>
      <c r="Q47" s="3721"/>
      <c r="R47" s="3752">
        <f>E47</f>
        <v>0</v>
      </c>
      <c r="S47" s="3752"/>
      <c r="T47" s="3752">
        <f>G47</f>
        <v>0</v>
      </c>
      <c r="U47" s="3752"/>
      <c r="V47" s="3752">
        <f>I47</f>
        <v>0</v>
      </c>
      <c r="W47" s="3752"/>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718" t="str">
        <f>A49</f>
        <v>估价对象XX用房的比较价值（楼面单价，元/平方米）</v>
      </c>
      <c r="Q49" s="3719"/>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中行商务区支行：</v>
      </c>
    </row>
    <row r="4" spans="1:1" ht="36">
      <c r="A4" s="1480" t="str">
        <f>"受贵公司委托，我公司对"&amp;项目基本情况!S1&amp;"进行了预评估。"</f>
        <v>受贵公司委托，我公司对北京市朝阳区朝阳区门外大街18号房地产抵押价值进行了预评估。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估价对象为北京市朝阳区朝阳区门外大街18号房地产，为北京丰联广场商业有限公司所有。根据《国有土地使用证》[]，估价对象（分摊）出让国有建设用地使用权面积为750.35平方米，建筑面积为6547.83平方米。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区门外大街18号房地产,为北京丰联广场商业有限公司开发建设的综合项目（商业、办公），该项目尚在开发建设中。根据《国有土地使用证》[]，估价对象（分摊）出让国有建设用地使用权面积为750.35平方米，规划建筑面积为6547.83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朝阳区门外大街18号房地产作为抵押担保物，向中行商务区支行办理贷款手续。中行商务区支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6547.83</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36" t="s">
        <v>1769</v>
      </c>
      <c r="D4" s="3737"/>
      <c r="E4" s="3738" t="s">
        <v>1770</v>
      </c>
      <c r="F4" s="3739"/>
      <c r="G4" s="3736" t="s">
        <v>1771</v>
      </c>
      <c r="H4" s="3737"/>
      <c r="I4" s="3736" t="s">
        <v>1772</v>
      </c>
      <c r="J4" s="3737"/>
      <c r="K4" s="559" t="s">
        <v>1773</v>
      </c>
      <c r="L4" s="2713"/>
      <c r="M4" s="2714"/>
      <c r="N4" s="2714"/>
      <c r="O4" s="2714"/>
      <c r="P4" s="3770" t="s">
        <v>1774</v>
      </c>
      <c r="Q4" s="3771"/>
      <c r="R4" s="3774" t="s">
        <v>1770</v>
      </c>
      <c r="S4" s="3775"/>
      <c r="T4" s="3774" t="s">
        <v>1771</v>
      </c>
      <c r="U4" s="3775"/>
      <c r="V4" s="3776" t="s">
        <v>1772</v>
      </c>
      <c r="W4" s="3776"/>
      <c r="X4" s="1958"/>
      <c r="Y4" s="3774" t="s">
        <v>1774</v>
      </c>
      <c r="Z4" s="3775"/>
      <c r="AA4" s="3778" t="s">
        <v>1770</v>
      </c>
      <c r="AB4" s="3778" t="s">
        <v>1771</v>
      </c>
      <c r="AC4" s="3767" t="s">
        <v>1772</v>
      </c>
    </row>
    <row r="5" spans="1:29" ht="15">
      <c r="A5" s="358"/>
      <c r="B5" s="359"/>
      <c r="C5" s="3755" t="s">
        <v>1672</v>
      </c>
      <c r="D5" s="3756"/>
      <c r="E5" s="3762" t="s">
        <v>1673</v>
      </c>
      <c r="F5" s="3763"/>
      <c r="G5" s="3755" t="s">
        <v>1674</v>
      </c>
      <c r="H5" s="3756"/>
      <c r="I5" s="3755" t="s">
        <v>1675</v>
      </c>
      <c r="J5" s="3756"/>
      <c r="K5" s="559"/>
      <c r="L5" s="2713"/>
      <c r="M5" s="2714"/>
      <c r="N5" s="2714"/>
      <c r="O5" s="2714"/>
      <c r="P5" s="3772"/>
      <c r="Q5" s="3743"/>
      <c r="R5" s="3748"/>
      <c r="S5" s="3749"/>
      <c r="T5" s="3748"/>
      <c r="U5" s="3749"/>
      <c r="V5" s="3752"/>
      <c r="W5" s="3752"/>
      <c r="X5" s="1355"/>
      <c r="Y5" s="3748"/>
      <c r="Z5" s="3749"/>
      <c r="AA5" s="3734"/>
      <c r="AB5" s="3734"/>
      <c r="AC5" s="3768"/>
    </row>
    <row r="6" spans="1:29" ht="15.75" thickBot="1">
      <c r="A6" s="360"/>
      <c r="B6" s="361"/>
      <c r="C6" s="3753" t="s">
        <v>1676</v>
      </c>
      <c r="D6" s="3754"/>
      <c r="E6" s="3760" t="s">
        <v>1676</v>
      </c>
      <c r="F6" s="3761"/>
      <c r="G6" s="3753" t="s">
        <v>1676</v>
      </c>
      <c r="H6" s="3754"/>
      <c r="I6" s="3753" t="s">
        <v>1676</v>
      </c>
      <c r="J6" s="3754"/>
      <c r="K6" s="559" t="s">
        <v>1677</v>
      </c>
      <c r="L6" s="2713"/>
      <c r="M6" s="2714"/>
      <c r="N6" s="2714"/>
      <c r="O6" s="2714"/>
      <c r="P6" s="3773"/>
      <c r="Q6" s="3745"/>
      <c r="R6" s="3748"/>
      <c r="S6" s="3749"/>
      <c r="T6" s="3750"/>
      <c r="U6" s="3751"/>
      <c r="V6" s="3752"/>
      <c r="W6" s="3752"/>
      <c r="X6" s="1355"/>
      <c r="Y6" s="3750"/>
      <c r="Z6" s="3751"/>
      <c r="AA6" s="3735"/>
      <c r="AB6" s="3735"/>
      <c r="AC6" s="3769"/>
    </row>
    <row r="7" spans="1:29" s="108" customFormat="1" ht="15.75" thickBot="1">
      <c r="A7" s="362" t="s">
        <v>1678</v>
      </c>
      <c r="B7" s="363"/>
      <c r="C7" s="364">
        <f>'数据-取费表'!B2</f>
        <v>45051</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7" t="s">
        <v>1679</v>
      </c>
      <c r="Q7" s="3759"/>
      <c r="R7" s="701" t="s">
        <v>14</v>
      </c>
      <c r="S7" s="702">
        <f t="shared" ref="S7:S15" si="0">F7</f>
        <v>0</v>
      </c>
      <c r="T7" s="701" t="s">
        <v>14</v>
      </c>
      <c r="U7" s="702">
        <f t="shared" ref="U7:U15" si="1">H7</f>
        <v>0</v>
      </c>
      <c r="V7" s="701" t="s">
        <v>14</v>
      </c>
      <c r="W7" s="702">
        <f t="shared" ref="W7:W15" si="2">J7</f>
        <v>0</v>
      </c>
      <c r="X7" s="703"/>
      <c r="Y7" s="3757" t="s">
        <v>1679</v>
      </c>
      <c r="Z7" s="3758"/>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7" t="s">
        <v>1682</v>
      </c>
      <c r="Q8" s="3758"/>
      <c r="R8" s="701" t="s">
        <v>14</v>
      </c>
      <c r="S8" s="702">
        <f t="shared" si="0"/>
        <v>100</v>
      </c>
      <c r="T8" s="701" t="s">
        <v>14</v>
      </c>
      <c r="U8" s="702">
        <f t="shared" si="1"/>
        <v>100</v>
      </c>
      <c r="V8" s="701" t="s">
        <v>14</v>
      </c>
      <c r="W8" s="702">
        <f t="shared" si="2"/>
        <v>100</v>
      </c>
      <c r="X8" s="703"/>
      <c r="Y8" s="3757" t="s">
        <v>1682</v>
      </c>
      <c r="Z8" s="3758"/>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32" t="s">
        <v>1685</v>
      </c>
      <c r="Q9" s="1343" t="str">
        <f t="shared" ref="Q9:Q15" si="6">B9</f>
        <v>用途</v>
      </c>
      <c r="R9" s="701" t="s">
        <v>14</v>
      </c>
      <c r="S9" s="702">
        <f t="shared" si="0"/>
        <v>100</v>
      </c>
      <c r="T9" s="701" t="s">
        <v>14</v>
      </c>
      <c r="U9" s="702">
        <f t="shared" si="1"/>
        <v>100</v>
      </c>
      <c r="V9" s="701" t="s">
        <v>14</v>
      </c>
      <c r="W9" s="702">
        <f t="shared" si="2"/>
        <v>100</v>
      </c>
      <c r="X9" s="703"/>
      <c r="Y9" s="3577"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32"/>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32"/>
      <c r="Q11" s="1343"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32"/>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32"/>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32"/>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1959">
        <f t="shared" si="5"/>
        <v>1</v>
      </c>
    </row>
    <row r="15" spans="1:29" ht="15">
      <c r="A15" s="391" t="s">
        <v>1689</v>
      </c>
      <c r="B15" s="577" t="s">
        <v>1810</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0" t="s">
        <v>1690</v>
      </c>
      <c r="Q15" s="1352" t="str">
        <f t="shared" si="6"/>
        <v>办公集聚程度</v>
      </c>
      <c r="R15" s="705" t="s">
        <v>14</v>
      </c>
      <c r="S15" s="706">
        <f t="shared" si="0"/>
        <v>100</v>
      </c>
      <c r="T15" s="705" t="s">
        <v>14</v>
      </c>
      <c r="U15" s="706">
        <f t="shared" si="1"/>
        <v>100</v>
      </c>
      <c r="V15" s="705" t="s">
        <v>14</v>
      </c>
      <c r="W15" s="706">
        <f t="shared" si="2"/>
        <v>100</v>
      </c>
      <c r="X15" s="1355"/>
      <c r="Y15" s="3723"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31"/>
      <c r="Q16" s="1352"/>
      <c r="R16" s="705"/>
      <c r="S16" s="706"/>
      <c r="T16" s="705"/>
      <c r="U16" s="706"/>
      <c r="V16" s="705"/>
      <c r="W16" s="706"/>
      <c r="X16" s="1355"/>
      <c r="Y16" s="3724"/>
      <c r="Z16" s="1356"/>
      <c r="AA16" s="1353">
        <v>1</v>
      </c>
      <c r="AB16" s="1353">
        <v>1</v>
      </c>
      <c r="AC16" s="1962">
        <v>1</v>
      </c>
    </row>
    <row r="17" spans="1:29" ht="85.5">
      <c r="A17" s="379"/>
      <c r="B17" s="579" t="s">
        <v>1258</v>
      </c>
      <c r="C17" s="1963" t="str">
        <f>估价对象房地状况!C6</f>
        <v>周边有75、110、420路及地铁2号、6号线，周边道路密集，停车便捷程度，综合评价交通便捷度好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1"/>
      <c r="Q17" s="1352" t="str">
        <f>B17</f>
        <v>交通便捷度</v>
      </c>
      <c r="R17" s="705" t="s">
        <v>14</v>
      </c>
      <c r="S17" s="706">
        <f>F17</f>
        <v>100</v>
      </c>
      <c r="T17" s="705" t="s">
        <v>14</v>
      </c>
      <c r="U17" s="706">
        <f>H17</f>
        <v>100</v>
      </c>
      <c r="V17" s="705" t="s">
        <v>14</v>
      </c>
      <c r="W17" s="706">
        <f>J17</f>
        <v>100</v>
      </c>
      <c r="X17" s="1355"/>
      <c r="Y17" s="372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31"/>
      <c r="Q18" s="1352"/>
      <c r="R18" s="705"/>
      <c r="S18" s="706"/>
      <c r="T18" s="705"/>
      <c r="U18" s="706"/>
      <c r="V18" s="705"/>
      <c r="W18" s="706"/>
      <c r="X18" s="1355"/>
      <c r="Y18" s="3724"/>
      <c r="Z18" s="1356"/>
      <c r="AA18" s="1353">
        <v>1</v>
      </c>
      <c r="AB18" s="1353">
        <v>1</v>
      </c>
      <c r="AC18" s="1962">
        <v>1</v>
      </c>
    </row>
    <row r="19" spans="1:29" ht="85.5">
      <c r="A19" s="379"/>
      <c r="B19" s="579" t="s">
        <v>1811</v>
      </c>
      <c r="C19" s="1963" t="str">
        <f>估价对象房地状况!C7</f>
        <v>估价对象所在区域银行、购物场所、学校等公共配套设施齐备，综合评价公共配套设施水平好。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1"/>
      <c r="Q19" s="1352" t="str">
        <f>B19</f>
        <v>公共配套设施</v>
      </c>
      <c r="R19" s="705" t="s">
        <v>14</v>
      </c>
      <c r="S19" s="706">
        <f>F19</f>
        <v>100</v>
      </c>
      <c r="T19" s="705" t="s">
        <v>14</v>
      </c>
      <c r="U19" s="706">
        <f>H19</f>
        <v>100</v>
      </c>
      <c r="V19" s="705" t="s">
        <v>14</v>
      </c>
      <c r="W19" s="706">
        <f>J19</f>
        <v>100</v>
      </c>
      <c r="X19" s="1355"/>
      <c r="Y19" s="372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31"/>
      <c r="Q20" s="1352"/>
      <c r="R20" s="705"/>
      <c r="S20" s="706"/>
      <c r="T20" s="705"/>
      <c r="U20" s="706"/>
      <c r="V20" s="705"/>
      <c r="W20" s="706"/>
      <c r="X20" s="1355"/>
      <c r="Y20" s="3724"/>
      <c r="Z20" s="1356"/>
      <c r="AA20" s="1353">
        <v>1</v>
      </c>
      <c r="AB20" s="1353">
        <v>1</v>
      </c>
      <c r="AC20" s="1962">
        <v>1</v>
      </c>
    </row>
    <row r="21" spans="1:29" ht="42.75">
      <c r="A21" s="379"/>
      <c r="B21" s="581" t="s">
        <v>1812</v>
      </c>
      <c r="C21" s="1963" t="str">
        <f>估价对象房地状况!C8</f>
        <v>估价对象所在区域基础设施水平“七通一平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1"/>
      <c r="Q21" s="1352" t="str">
        <f>B21</f>
        <v>基础设施水平</v>
      </c>
      <c r="R21" s="705" t="s">
        <v>14</v>
      </c>
      <c r="S21" s="706">
        <f>F21</f>
        <v>100</v>
      </c>
      <c r="T21" s="705" t="s">
        <v>14</v>
      </c>
      <c r="U21" s="706">
        <f>H21</f>
        <v>100</v>
      </c>
      <c r="V21" s="705" t="s">
        <v>14</v>
      </c>
      <c r="W21" s="706">
        <f>J21</f>
        <v>100</v>
      </c>
      <c r="X21" s="1355"/>
      <c r="Y21" s="372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31"/>
      <c r="Q22" s="1352"/>
      <c r="R22" s="705"/>
      <c r="S22" s="706"/>
      <c r="T22" s="705"/>
      <c r="U22" s="706"/>
      <c r="V22" s="705"/>
      <c r="W22" s="706"/>
      <c r="X22" s="1355"/>
      <c r="Y22" s="3724"/>
      <c r="Z22" s="1356"/>
      <c r="AA22" s="1353">
        <v>1</v>
      </c>
      <c r="AB22" s="1353">
        <v>1</v>
      </c>
      <c r="AC22" s="1962">
        <v>1</v>
      </c>
    </row>
    <row r="23" spans="1:29" ht="85.5">
      <c r="A23" s="379"/>
      <c r="B23" s="579" t="s">
        <v>1813</v>
      </c>
      <c r="C23" s="1963" t="str">
        <f>估价对象房地状况!C9</f>
        <v>区域内有东城职业大学、日坛公园、富国海底世界等自然及人文环境，综合评价自然及人文环境状况较好。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1"/>
      <c r="Q23" s="1352" t="str">
        <f>B23</f>
        <v>环境质量</v>
      </c>
      <c r="R23" s="705" t="s">
        <v>14</v>
      </c>
      <c r="S23" s="706">
        <f>F23</f>
        <v>100</v>
      </c>
      <c r="T23" s="705" t="s">
        <v>14</v>
      </c>
      <c r="U23" s="706">
        <f>H23</f>
        <v>100</v>
      </c>
      <c r="V23" s="705" t="s">
        <v>14</v>
      </c>
      <c r="W23" s="706">
        <f>J23</f>
        <v>100</v>
      </c>
      <c r="X23" s="1355"/>
      <c r="Y23" s="372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31"/>
      <c r="Q24" s="1352"/>
      <c r="R24" s="705"/>
      <c r="S24" s="706"/>
      <c r="T24" s="705"/>
      <c r="U24" s="706"/>
      <c r="V24" s="705"/>
      <c r="W24" s="706"/>
      <c r="X24" s="1355"/>
      <c r="Y24" s="3724"/>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31"/>
      <c r="Q25" s="1352" t="str">
        <f>B25</f>
        <v>毗邻道路的类型与等级</v>
      </c>
      <c r="R25" s="705" t="s">
        <v>14</v>
      </c>
      <c r="S25" s="706">
        <f>F25</f>
        <v>100</v>
      </c>
      <c r="T25" s="705" t="s">
        <v>14</v>
      </c>
      <c r="U25" s="706">
        <f>H25</f>
        <v>100</v>
      </c>
      <c r="V25" s="705" t="s">
        <v>14</v>
      </c>
      <c r="W25" s="706">
        <f>J25</f>
        <v>100</v>
      </c>
      <c r="X25" s="1355"/>
      <c r="Y25" s="372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31"/>
      <c r="Q26" s="1352"/>
      <c r="R26" s="705"/>
      <c r="S26" s="706"/>
      <c r="T26" s="705"/>
      <c r="U26" s="706"/>
      <c r="V26" s="705"/>
      <c r="W26" s="706"/>
      <c r="X26" s="1355"/>
      <c r="Y26" s="3724"/>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1"/>
      <c r="Q27" s="1352" t="str">
        <f t="shared" ref="Q27:Q47" si="11">B27</f>
        <v>楼层</v>
      </c>
      <c r="R27" s="705" t="s">
        <v>14</v>
      </c>
      <c r="S27" s="706">
        <f>F27</f>
        <v>100</v>
      </c>
      <c r="T27" s="705" t="s">
        <v>14</v>
      </c>
      <c r="U27" s="706">
        <f>H27</f>
        <v>100</v>
      </c>
      <c r="V27" s="705" t="s">
        <v>14</v>
      </c>
      <c r="W27" s="706">
        <f>J27</f>
        <v>100</v>
      </c>
      <c r="X27" s="1355"/>
      <c r="Y27" s="3724"/>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31"/>
      <c r="Q28" s="1343" t="str">
        <f t="shared" si="11"/>
        <v>朝向</v>
      </c>
      <c r="R28" s="701" t="s">
        <v>14</v>
      </c>
      <c r="S28" s="702">
        <f>F28</f>
        <v>100</v>
      </c>
      <c r="T28" s="701" t="s">
        <v>14</v>
      </c>
      <c r="U28" s="702">
        <f>H28</f>
        <v>100</v>
      </c>
      <c r="V28" s="701" t="s">
        <v>14</v>
      </c>
      <c r="W28" s="702">
        <f>J28</f>
        <v>100</v>
      </c>
      <c r="X28" s="703"/>
      <c r="Y28" s="372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31"/>
      <c r="Q29" s="1352">
        <f t="shared" si="11"/>
        <v>111</v>
      </c>
      <c r="R29" s="705" t="s">
        <v>14</v>
      </c>
      <c r="S29" s="706">
        <f t="shared" ref="S29:S47" si="12">F29</f>
        <v>100</v>
      </c>
      <c r="T29" s="705" t="s">
        <v>14</v>
      </c>
      <c r="U29" s="706">
        <f t="shared" ref="U29:U47" si="13">H29</f>
        <v>100</v>
      </c>
      <c r="V29" s="705" t="s">
        <v>14</v>
      </c>
      <c r="W29" s="706">
        <f t="shared" ref="W29:W47" si="14">J29</f>
        <v>100</v>
      </c>
      <c r="X29" s="1355"/>
      <c r="Y29" s="372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31"/>
      <c r="Q30" s="1352">
        <f t="shared" si="11"/>
        <v>111</v>
      </c>
      <c r="R30" s="705" t="s">
        <v>14</v>
      </c>
      <c r="S30" s="706">
        <f t="shared" si="12"/>
        <v>100</v>
      </c>
      <c r="T30" s="705" t="s">
        <v>14</v>
      </c>
      <c r="U30" s="706">
        <f t="shared" si="13"/>
        <v>100</v>
      </c>
      <c r="V30" s="705" t="s">
        <v>14</v>
      </c>
      <c r="W30" s="706">
        <f t="shared" si="14"/>
        <v>100</v>
      </c>
      <c r="X30" s="1355"/>
      <c r="Y30" s="372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31"/>
      <c r="Q31" s="1352">
        <f t="shared" si="11"/>
        <v>111</v>
      </c>
      <c r="R31" s="705" t="s">
        <v>14</v>
      </c>
      <c r="S31" s="706">
        <f t="shared" si="12"/>
        <v>100</v>
      </c>
      <c r="T31" s="705" t="s">
        <v>14</v>
      </c>
      <c r="U31" s="706">
        <f t="shared" si="13"/>
        <v>100</v>
      </c>
      <c r="V31" s="705" t="s">
        <v>14</v>
      </c>
      <c r="W31" s="706">
        <f t="shared" si="14"/>
        <v>100</v>
      </c>
      <c r="X31" s="1355"/>
      <c r="Y31" s="372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31"/>
      <c r="Q32" s="1352">
        <f t="shared" si="11"/>
        <v>111</v>
      </c>
      <c r="R32" s="705" t="s">
        <v>14</v>
      </c>
      <c r="S32" s="706">
        <f t="shared" si="12"/>
        <v>100</v>
      </c>
      <c r="T32" s="705" t="s">
        <v>14</v>
      </c>
      <c r="U32" s="706">
        <f t="shared" si="13"/>
        <v>100</v>
      </c>
      <c r="V32" s="705" t="s">
        <v>14</v>
      </c>
      <c r="W32" s="706">
        <f t="shared" si="14"/>
        <v>100</v>
      </c>
      <c r="X32" s="1355"/>
      <c r="Y32" s="3724"/>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25" t="s">
        <v>1695</v>
      </c>
      <c r="Q33" s="1352" t="str">
        <f t="shared" si="11"/>
        <v>建筑类型</v>
      </c>
      <c r="R33" s="705" t="s">
        <v>14</v>
      </c>
      <c r="S33" s="706">
        <f t="shared" si="12"/>
        <v>100</v>
      </c>
      <c r="T33" s="705" t="s">
        <v>14</v>
      </c>
      <c r="U33" s="706">
        <f t="shared" si="13"/>
        <v>100</v>
      </c>
      <c r="V33" s="705" t="s">
        <v>14</v>
      </c>
      <c r="W33" s="706">
        <f t="shared" si="14"/>
        <v>100</v>
      </c>
      <c r="X33" s="1355"/>
      <c r="Y33" s="3728"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6"/>
      <c r="Q34" s="707" t="str">
        <f t="shared" si="11"/>
        <v>项目建筑规模</v>
      </c>
      <c r="R34" s="708" t="s">
        <v>14</v>
      </c>
      <c r="S34" s="709" t="e">
        <f t="shared" si="12"/>
        <v>#N/A</v>
      </c>
      <c r="T34" s="708" t="s">
        <v>14</v>
      </c>
      <c r="U34" s="709" t="e">
        <f t="shared" si="13"/>
        <v>#N/A</v>
      </c>
      <c r="V34" s="708" t="s">
        <v>14</v>
      </c>
      <c r="W34" s="709" t="e">
        <f t="shared" si="14"/>
        <v>#N/A</v>
      </c>
      <c r="X34" s="710"/>
      <c r="Y34" s="3728"/>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6"/>
      <c r="Q35" s="1352" t="str">
        <f t="shared" si="11"/>
        <v>建筑结构</v>
      </c>
      <c r="R35" s="705" t="s">
        <v>14</v>
      </c>
      <c r="S35" s="706">
        <f t="shared" si="12"/>
        <v>100</v>
      </c>
      <c r="T35" s="705" t="s">
        <v>14</v>
      </c>
      <c r="U35" s="706">
        <f t="shared" si="13"/>
        <v>100</v>
      </c>
      <c r="V35" s="705" t="s">
        <v>14</v>
      </c>
      <c r="W35" s="706">
        <f t="shared" si="14"/>
        <v>100</v>
      </c>
      <c r="X35" s="1355"/>
      <c r="Y35" s="3728"/>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6"/>
      <c r="Q36" s="1352" t="str">
        <f t="shared" si="11"/>
        <v>公共部分装修</v>
      </c>
      <c r="R36" s="705" t="s">
        <v>14</v>
      </c>
      <c r="S36" s="706">
        <f t="shared" si="12"/>
        <v>100</v>
      </c>
      <c r="T36" s="705" t="s">
        <v>14</v>
      </c>
      <c r="U36" s="706">
        <f t="shared" si="13"/>
        <v>100</v>
      </c>
      <c r="V36" s="705" t="s">
        <v>14</v>
      </c>
      <c r="W36" s="706">
        <f t="shared" si="14"/>
        <v>100</v>
      </c>
      <c r="X36" s="1355"/>
      <c r="Y36" s="3728"/>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6"/>
      <c r="Q37" s="1352" t="str">
        <f t="shared" si="11"/>
        <v>成新度</v>
      </c>
      <c r="R37" s="705" t="s">
        <v>14</v>
      </c>
      <c r="S37" s="706" t="e">
        <f t="shared" si="12"/>
        <v>#N/A</v>
      </c>
      <c r="T37" s="705" t="s">
        <v>14</v>
      </c>
      <c r="U37" s="706" t="e">
        <f t="shared" si="13"/>
        <v>#N/A</v>
      </c>
      <c r="V37" s="705" t="s">
        <v>14</v>
      </c>
      <c r="W37" s="706" t="e">
        <f t="shared" si="14"/>
        <v>#N/A</v>
      </c>
      <c r="X37" s="1355"/>
      <c r="Y37" s="3728"/>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6"/>
      <c r="Q38" s="1343" t="str">
        <f t="shared" si="11"/>
        <v>写字楼等级</v>
      </c>
      <c r="R38" s="701" t="s">
        <v>14</v>
      </c>
      <c r="S38" s="702">
        <f t="shared" si="12"/>
        <v>100</v>
      </c>
      <c r="T38" s="701" t="s">
        <v>14</v>
      </c>
      <c r="U38" s="702">
        <f t="shared" si="13"/>
        <v>100</v>
      </c>
      <c r="V38" s="701" t="s">
        <v>14</v>
      </c>
      <c r="W38" s="702">
        <f t="shared" si="14"/>
        <v>100</v>
      </c>
      <c r="X38" s="703"/>
      <c r="Y38" s="3728"/>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6" t="s">
        <v>1695</v>
      </c>
      <c r="Q39" s="1352" t="str">
        <f t="shared" si="11"/>
        <v>物业管理</v>
      </c>
      <c r="R39" s="705" t="s">
        <v>14</v>
      </c>
      <c r="S39" s="706">
        <f t="shared" si="12"/>
        <v>100</v>
      </c>
      <c r="T39" s="705" t="s">
        <v>14</v>
      </c>
      <c r="U39" s="706">
        <f t="shared" si="13"/>
        <v>100</v>
      </c>
      <c r="V39" s="705" t="s">
        <v>14</v>
      </c>
      <c r="W39" s="706">
        <f t="shared" si="14"/>
        <v>100</v>
      </c>
      <c r="X39" s="1355"/>
      <c r="Y39" s="3728"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6"/>
      <c r="Q40" s="1352" t="str">
        <f t="shared" si="11"/>
        <v>市政基础设施</v>
      </c>
      <c r="R40" s="705" t="s">
        <v>14</v>
      </c>
      <c r="S40" s="706">
        <f t="shared" si="12"/>
        <v>100</v>
      </c>
      <c r="T40" s="705" t="s">
        <v>14</v>
      </c>
      <c r="U40" s="706">
        <f t="shared" si="13"/>
        <v>100</v>
      </c>
      <c r="V40" s="705" t="s">
        <v>14</v>
      </c>
      <c r="W40" s="706">
        <f t="shared" si="14"/>
        <v>100</v>
      </c>
      <c r="X40" s="1355"/>
      <c r="Y40" s="3728"/>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6"/>
      <c r="Q41" s="1352" t="str">
        <f t="shared" si="11"/>
        <v>层高</v>
      </c>
      <c r="R41" s="705" t="s">
        <v>14</v>
      </c>
      <c r="S41" s="706">
        <f t="shared" si="12"/>
        <v>100</v>
      </c>
      <c r="T41" s="705" t="s">
        <v>14</v>
      </c>
      <c r="U41" s="706">
        <f t="shared" si="13"/>
        <v>100</v>
      </c>
      <c r="V41" s="705" t="s">
        <v>14</v>
      </c>
      <c r="W41" s="706">
        <f t="shared" si="14"/>
        <v>100</v>
      </c>
      <c r="X41" s="1355"/>
      <c r="Y41" s="3728"/>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6"/>
      <c r="Q42" s="707" t="str">
        <f t="shared" si="11"/>
        <v>单套建筑面积</v>
      </c>
      <c r="R42" s="708" t="s">
        <v>14</v>
      </c>
      <c r="S42" s="709">
        <f t="shared" si="12"/>
        <v>100</v>
      </c>
      <c r="T42" s="708" t="s">
        <v>14</v>
      </c>
      <c r="U42" s="709">
        <f t="shared" si="13"/>
        <v>100</v>
      </c>
      <c r="V42" s="708" t="s">
        <v>14</v>
      </c>
      <c r="W42" s="709">
        <f t="shared" si="14"/>
        <v>100</v>
      </c>
      <c r="X42" s="710"/>
      <c r="Y42" s="3728"/>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6"/>
      <c r="Q43" s="1352" t="str">
        <f t="shared" si="11"/>
        <v>内部装修</v>
      </c>
      <c r="R43" s="705" t="s">
        <v>14</v>
      </c>
      <c r="S43" s="706">
        <f t="shared" si="12"/>
        <v>100</v>
      </c>
      <c r="T43" s="705" t="s">
        <v>14</v>
      </c>
      <c r="U43" s="706">
        <f t="shared" si="13"/>
        <v>100</v>
      </c>
      <c r="V43" s="705" t="s">
        <v>14</v>
      </c>
      <c r="W43" s="706">
        <f t="shared" si="14"/>
        <v>100</v>
      </c>
      <c r="X43" s="1355"/>
      <c r="Y43" s="3728"/>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6"/>
      <c r="Q44" s="1352" t="str">
        <f t="shared" si="11"/>
        <v>内部装修维护情况</v>
      </c>
      <c r="R44" s="705" t="s">
        <v>14</v>
      </c>
      <c r="S44" s="706">
        <f t="shared" si="12"/>
        <v>100</v>
      </c>
      <c r="T44" s="705" t="s">
        <v>14</v>
      </c>
      <c r="U44" s="706">
        <f t="shared" si="13"/>
        <v>100</v>
      </c>
      <c r="V44" s="705" t="s">
        <v>14</v>
      </c>
      <c r="W44" s="706">
        <f t="shared" si="14"/>
        <v>100</v>
      </c>
      <c r="X44" s="1355"/>
      <c r="Y44" s="372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6"/>
      <c r="Q45" s="1343">
        <f t="shared" si="11"/>
        <v>111</v>
      </c>
      <c r="R45" s="701" t="s">
        <v>14</v>
      </c>
      <c r="S45" s="702">
        <f t="shared" si="12"/>
        <v>100</v>
      </c>
      <c r="T45" s="701" t="s">
        <v>14</v>
      </c>
      <c r="U45" s="702">
        <f t="shared" si="13"/>
        <v>100</v>
      </c>
      <c r="V45" s="701" t="s">
        <v>14</v>
      </c>
      <c r="W45" s="702">
        <f t="shared" si="14"/>
        <v>100</v>
      </c>
      <c r="X45" s="703"/>
      <c r="Y45" s="372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6"/>
      <c r="Q46" s="1352">
        <f t="shared" si="11"/>
        <v>111</v>
      </c>
      <c r="R46" s="705" t="s">
        <v>14</v>
      </c>
      <c r="S46" s="706">
        <f t="shared" si="12"/>
        <v>100</v>
      </c>
      <c r="T46" s="705" t="s">
        <v>14</v>
      </c>
      <c r="U46" s="706">
        <f t="shared" si="13"/>
        <v>100</v>
      </c>
      <c r="V46" s="705" t="s">
        <v>14</v>
      </c>
      <c r="W46" s="706">
        <f t="shared" si="14"/>
        <v>100</v>
      </c>
      <c r="X46" s="1355"/>
      <c r="Y46" s="372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7"/>
      <c r="Q47" s="1352">
        <f t="shared" si="11"/>
        <v>111</v>
      </c>
      <c r="R47" s="705" t="s">
        <v>14</v>
      </c>
      <c r="S47" s="706">
        <f t="shared" si="12"/>
        <v>100</v>
      </c>
      <c r="T47" s="705" t="s">
        <v>14</v>
      </c>
      <c r="U47" s="706">
        <f t="shared" si="13"/>
        <v>100</v>
      </c>
      <c r="V47" s="705" t="s">
        <v>14</v>
      </c>
      <c r="W47" s="706">
        <f t="shared" si="14"/>
        <v>100</v>
      </c>
      <c r="X47" s="1355"/>
      <c r="Y47" s="3729"/>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732" t="str">
        <f>A48</f>
        <v>成交单价（元/平方米）</v>
      </c>
      <c r="Q48" s="3721"/>
      <c r="R48" s="3722">
        <f>E48</f>
        <v>0</v>
      </c>
      <c r="S48" s="3722"/>
      <c r="T48" s="3722">
        <f>G48</f>
        <v>0</v>
      </c>
      <c r="U48" s="3722"/>
      <c r="V48" s="3722">
        <f>I48</f>
        <v>0</v>
      </c>
      <c r="W48" s="3722"/>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2"/>
      <c r="M49" s="2714"/>
      <c r="N49" s="2714"/>
      <c r="O49" s="2714"/>
      <c r="P49" s="3732" t="str">
        <f>A49</f>
        <v>比较价值（元/平方米）</v>
      </c>
      <c r="Q49" s="3721"/>
      <c r="R49" s="3722" t="e">
        <f>IF(F1="售价",ROUND(PRODUCT(R48,AA7:AA47),0),ROUND(PRODUCT(R48,AA7:AA47),1))</f>
        <v>#DIV/0!</v>
      </c>
      <c r="S49" s="3722"/>
      <c r="T49" s="3722" t="e">
        <f>IF(F1="售价",ROUND(PRODUCT(T48,AB7:AB47),0),ROUND(PRODUCT(T48,AB7:AB47),1))</f>
        <v>#DIV/0!</v>
      </c>
      <c r="U49" s="3722"/>
      <c r="V49" s="3722" t="e">
        <f>IF(F1="售价",ROUND(PRODUCT(V48,AC7:AC47),0),ROUND(PRODUCT(V48,AC7:AC47),1))</f>
        <v>#DIV/0!</v>
      </c>
      <c r="W49" s="3722"/>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6547.83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36" t="s">
        <v>1769</v>
      </c>
      <c r="D4" s="3737"/>
      <c r="E4" s="3738" t="s">
        <v>1770</v>
      </c>
      <c r="F4" s="3739"/>
      <c r="G4" s="3736" t="s">
        <v>1771</v>
      </c>
      <c r="H4" s="3737"/>
      <c r="I4" s="3736" t="s">
        <v>1772</v>
      </c>
      <c r="J4" s="3737"/>
      <c r="K4" s="559" t="s">
        <v>1773</v>
      </c>
      <c r="L4" s="913"/>
      <c r="M4" s="914"/>
      <c r="N4" s="914"/>
      <c r="O4" s="914"/>
      <c r="P4" s="3740" t="s">
        <v>1774</v>
      </c>
      <c r="Q4" s="3741"/>
      <c r="R4" s="3746" t="s">
        <v>1770</v>
      </c>
      <c r="S4" s="3747"/>
      <c r="T4" s="3746" t="s">
        <v>1771</v>
      </c>
      <c r="U4" s="3747"/>
      <c r="V4" s="3752" t="s">
        <v>1772</v>
      </c>
      <c r="W4" s="3752"/>
      <c r="X4" s="1355"/>
      <c r="Y4" s="3746" t="s">
        <v>1774</v>
      </c>
      <c r="Z4" s="3747"/>
      <c r="AA4" s="3733" t="s">
        <v>1770</v>
      </c>
      <c r="AB4" s="3734" t="s">
        <v>1771</v>
      </c>
      <c r="AC4" s="3733" t="s">
        <v>1772</v>
      </c>
    </row>
    <row r="5" spans="1:29" ht="15">
      <c r="A5" s="358"/>
      <c r="B5" s="359"/>
      <c r="C5" s="3755" t="s">
        <v>1672</v>
      </c>
      <c r="D5" s="3756"/>
      <c r="E5" s="3762" t="s">
        <v>1673</v>
      </c>
      <c r="F5" s="3763"/>
      <c r="G5" s="3755" t="s">
        <v>1674</v>
      </c>
      <c r="H5" s="3756"/>
      <c r="I5" s="3755" t="s">
        <v>1675</v>
      </c>
      <c r="J5" s="3756"/>
      <c r="K5" s="559"/>
      <c r="L5" s="913"/>
      <c r="M5" s="914"/>
      <c r="N5" s="914"/>
      <c r="O5" s="914"/>
      <c r="P5" s="3742"/>
      <c r="Q5" s="3743"/>
      <c r="R5" s="3748"/>
      <c r="S5" s="3749"/>
      <c r="T5" s="3748"/>
      <c r="U5" s="3749"/>
      <c r="V5" s="3752"/>
      <c r="W5" s="3752"/>
      <c r="X5" s="1355"/>
      <c r="Y5" s="3748"/>
      <c r="Z5" s="3749"/>
      <c r="AA5" s="3734"/>
      <c r="AB5" s="3734"/>
      <c r="AC5" s="3734"/>
    </row>
    <row r="6" spans="1:29" ht="15.75" thickBot="1">
      <c r="A6" s="360"/>
      <c r="B6" s="361"/>
      <c r="C6" s="3753" t="s">
        <v>1676</v>
      </c>
      <c r="D6" s="3754"/>
      <c r="E6" s="3760" t="s">
        <v>1676</v>
      </c>
      <c r="F6" s="3761"/>
      <c r="G6" s="3753" t="s">
        <v>1676</v>
      </c>
      <c r="H6" s="3754"/>
      <c r="I6" s="3753" t="s">
        <v>1676</v>
      </c>
      <c r="J6" s="3754"/>
      <c r="K6" s="559" t="s">
        <v>1677</v>
      </c>
      <c r="L6" s="913"/>
      <c r="M6" s="914"/>
      <c r="N6" s="914"/>
      <c r="O6" s="914"/>
      <c r="P6" s="3744"/>
      <c r="Q6" s="3745"/>
      <c r="R6" s="3748"/>
      <c r="S6" s="3749"/>
      <c r="T6" s="3750"/>
      <c r="U6" s="3751"/>
      <c r="V6" s="3752"/>
      <c r="W6" s="3752"/>
      <c r="X6" s="1355"/>
      <c r="Y6" s="3750"/>
      <c r="Z6" s="3751"/>
      <c r="AA6" s="3735"/>
      <c r="AB6" s="3735"/>
      <c r="AC6" s="3735"/>
    </row>
    <row r="7" spans="1:29" s="108" customFormat="1" ht="15.75" thickBot="1">
      <c r="A7" s="362" t="s">
        <v>1678</v>
      </c>
      <c r="B7" s="363"/>
      <c r="C7" s="364">
        <f>'数据-取费表'!B2</f>
        <v>45051</v>
      </c>
      <c r="D7" s="365">
        <v>100</v>
      </c>
      <c r="E7" s="366"/>
      <c r="F7" s="367">
        <f>SUMIF(52:52,YEAR(E7)&amp;"-"&amp;MONTH(E7),53:53)</f>
        <v>0</v>
      </c>
      <c r="G7" s="366"/>
      <c r="H7" s="365">
        <f>SUMIF(52:52,YEAR(G7)&amp;"-"&amp;MONTH(G7),53:53)</f>
        <v>0</v>
      </c>
      <c r="I7" s="366"/>
      <c r="J7" s="365">
        <f>SUMIF(52:52,YEAR(I7)&amp;"-"&amp;MONTH(I7),53:53)</f>
        <v>0</v>
      </c>
      <c r="K7" s="560"/>
      <c r="L7" s="915"/>
      <c r="M7" s="916"/>
      <c r="N7" s="916"/>
      <c r="O7" s="916"/>
      <c r="P7" s="3757" t="s">
        <v>1679</v>
      </c>
      <c r="Q7" s="3759"/>
      <c r="R7" s="701" t="s">
        <v>14</v>
      </c>
      <c r="S7" s="702">
        <f t="shared" ref="S7:S15" si="0">F7</f>
        <v>0</v>
      </c>
      <c r="T7" s="701" t="s">
        <v>14</v>
      </c>
      <c r="U7" s="702">
        <f t="shared" ref="U7:U15" si="1">H7</f>
        <v>0</v>
      </c>
      <c r="V7" s="701" t="s">
        <v>14</v>
      </c>
      <c r="W7" s="702">
        <f t="shared" ref="W7:W15" si="2">J7</f>
        <v>0</v>
      </c>
      <c r="X7" s="703"/>
      <c r="Y7" s="3757" t="s">
        <v>1679</v>
      </c>
      <c r="Z7" s="3758"/>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7" t="s">
        <v>1682</v>
      </c>
      <c r="Q8" s="3758"/>
      <c r="R8" s="701" t="s">
        <v>14</v>
      </c>
      <c r="S8" s="702">
        <f t="shared" si="0"/>
        <v>100</v>
      </c>
      <c r="T8" s="701" t="s">
        <v>14</v>
      </c>
      <c r="U8" s="702">
        <f t="shared" si="1"/>
        <v>100</v>
      </c>
      <c r="V8" s="701" t="s">
        <v>14</v>
      </c>
      <c r="W8" s="702">
        <f t="shared" si="2"/>
        <v>100</v>
      </c>
      <c r="X8" s="703"/>
      <c r="Y8" s="3757" t="s">
        <v>1682</v>
      </c>
      <c r="Z8" s="3758"/>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1" t="s">
        <v>1685</v>
      </c>
      <c r="Q9" s="1343" t="str">
        <f t="shared" ref="Q9:Q15" si="6">B9</f>
        <v>用途</v>
      </c>
      <c r="R9" s="701" t="s">
        <v>14</v>
      </c>
      <c r="S9" s="702">
        <f t="shared" si="0"/>
        <v>100</v>
      </c>
      <c r="T9" s="701" t="s">
        <v>14</v>
      </c>
      <c r="U9" s="702">
        <f t="shared" si="1"/>
        <v>100</v>
      </c>
      <c r="V9" s="701" t="s">
        <v>14</v>
      </c>
      <c r="W9" s="702">
        <f t="shared" si="2"/>
        <v>100</v>
      </c>
      <c r="X9" s="703"/>
      <c r="Y9" s="3577"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1"/>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1"/>
      <c r="Q11" s="1343"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1"/>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1"/>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1"/>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3" t="s">
        <v>1690</v>
      </c>
      <c r="Q15" s="1352" t="str">
        <f t="shared" si="6"/>
        <v>产业集聚程度</v>
      </c>
      <c r="R15" s="705" t="s">
        <v>14</v>
      </c>
      <c r="S15" s="706">
        <f t="shared" si="0"/>
        <v>100</v>
      </c>
      <c r="T15" s="705" t="s">
        <v>14</v>
      </c>
      <c r="U15" s="706">
        <f t="shared" si="1"/>
        <v>100</v>
      </c>
      <c r="V15" s="705" t="s">
        <v>14</v>
      </c>
      <c r="W15" s="706">
        <f t="shared" si="2"/>
        <v>100</v>
      </c>
      <c r="X15" s="1355"/>
      <c r="Y15" s="3723"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4"/>
      <c r="Q16" s="1352"/>
      <c r="R16" s="705"/>
      <c r="S16" s="706"/>
      <c r="T16" s="705"/>
      <c r="U16" s="706"/>
      <c r="V16" s="705"/>
      <c r="W16" s="706"/>
      <c r="X16" s="1355"/>
      <c r="Y16" s="3724"/>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4"/>
      <c r="Q17" s="1352" t="str">
        <f>B17</f>
        <v>交通便捷度</v>
      </c>
      <c r="R17" s="705" t="s">
        <v>14</v>
      </c>
      <c r="S17" s="706">
        <f>F17</f>
        <v>100</v>
      </c>
      <c r="T17" s="705" t="s">
        <v>14</v>
      </c>
      <c r="U17" s="706">
        <f>H17</f>
        <v>100</v>
      </c>
      <c r="V17" s="705" t="s">
        <v>14</v>
      </c>
      <c r="W17" s="706">
        <f>J17</f>
        <v>100</v>
      </c>
      <c r="X17" s="1355"/>
      <c r="Y17" s="372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4"/>
      <c r="Q18" s="1352"/>
      <c r="R18" s="705"/>
      <c r="S18" s="706"/>
      <c r="T18" s="705"/>
      <c r="U18" s="706"/>
      <c r="V18" s="705"/>
      <c r="W18" s="706"/>
      <c r="X18" s="1355"/>
      <c r="Y18" s="3724"/>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4"/>
      <c r="Q19" s="1352" t="str">
        <f>B19</f>
        <v>公共配套设施</v>
      </c>
      <c r="R19" s="705" t="s">
        <v>14</v>
      </c>
      <c r="S19" s="706">
        <f>F19</f>
        <v>100</v>
      </c>
      <c r="T19" s="705" t="s">
        <v>14</v>
      </c>
      <c r="U19" s="706">
        <f>H19</f>
        <v>100</v>
      </c>
      <c r="V19" s="705" t="s">
        <v>14</v>
      </c>
      <c r="W19" s="706">
        <f>J19</f>
        <v>100</v>
      </c>
      <c r="X19" s="1355"/>
      <c r="Y19" s="372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4"/>
      <c r="Q20" s="1352"/>
      <c r="R20" s="705"/>
      <c r="S20" s="706"/>
      <c r="T20" s="705"/>
      <c r="U20" s="706"/>
      <c r="V20" s="705"/>
      <c r="W20" s="706"/>
      <c r="X20" s="1355"/>
      <c r="Y20" s="3724"/>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4"/>
      <c r="Q21" s="1352" t="str">
        <f>B21</f>
        <v>基础设施水平</v>
      </c>
      <c r="R21" s="705" t="s">
        <v>14</v>
      </c>
      <c r="S21" s="706">
        <f>F21</f>
        <v>100</v>
      </c>
      <c r="T21" s="705" t="s">
        <v>14</v>
      </c>
      <c r="U21" s="706">
        <f>H21</f>
        <v>100</v>
      </c>
      <c r="V21" s="705" t="s">
        <v>14</v>
      </c>
      <c r="W21" s="706">
        <f>J21</f>
        <v>100</v>
      </c>
      <c r="X21" s="1355"/>
      <c r="Y21" s="372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4"/>
      <c r="Q22" s="1352"/>
      <c r="R22" s="705"/>
      <c r="S22" s="706"/>
      <c r="T22" s="705"/>
      <c r="U22" s="706"/>
      <c r="V22" s="705"/>
      <c r="W22" s="706"/>
      <c r="X22" s="1355"/>
      <c r="Y22" s="3724"/>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4"/>
      <c r="Q23" s="1352" t="str">
        <f>B23</f>
        <v>环境质量</v>
      </c>
      <c r="R23" s="705" t="s">
        <v>14</v>
      </c>
      <c r="S23" s="706">
        <f>F23</f>
        <v>100</v>
      </c>
      <c r="T23" s="705" t="s">
        <v>14</v>
      </c>
      <c r="U23" s="706">
        <f>H23</f>
        <v>100</v>
      </c>
      <c r="V23" s="705" t="s">
        <v>14</v>
      </c>
      <c r="W23" s="706">
        <f>J23</f>
        <v>100</v>
      </c>
      <c r="X23" s="1355"/>
      <c r="Y23" s="372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4"/>
      <c r="Q24" s="1352"/>
      <c r="R24" s="705"/>
      <c r="S24" s="706"/>
      <c r="T24" s="705"/>
      <c r="U24" s="706"/>
      <c r="V24" s="705"/>
      <c r="W24" s="706"/>
      <c r="X24" s="1355"/>
      <c r="Y24" s="372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4"/>
      <c r="Q25" s="1352">
        <f>B25</f>
        <v>111</v>
      </c>
      <c r="R25" s="705" t="s">
        <v>14</v>
      </c>
      <c r="S25" s="706">
        <f>F25</f>
        <v>100</v>
      </c>
      <c r="T25" s="705" t="s">
        <v>14</v>
      </c>
      <c r="U25" s="706">
        <f>H25</f>
        <v>100</v>
      </c>
      <c r="V25" s="705" t="s">
        <v>14</v>
      </c>
      <c r="W25" s="706">
        <f>J25</f>
        <v>100</v>
      </c>
      <c r="X25" s="1355"/>
      <c r="Y25" s="372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4"/>
      <c r="Q26" s="1352">
        <f t="shared" ref="Q26:Q40" si="11">B26</f>
        <v>111</v>
      </c>
      <c r="R26" s="705" t="s">
        <v>14</v>
      </c>
      <c r="S26" s="706">
        <f>F26</f>
        <v>100</v>
      </c>
      <c r="T26" s="705" t="s">
        <v>14</v>
      </c>
      <c r="U26" s="706">
        <f>H26</f>
        <v>100</v>
      </c>
      <c r="V26" s="705" t="s">
        <v>14</v>
      </c>
      <c r="W26" s="706">
        <f>J26</f>
        <v>100</v>
      </c>
      <c r="X26" s="1355"/>
      <c r="Y26" s="372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4"/>
      <c r="Q27" s="1343">
        <f t="shared" si="11"/>
        <v>111</v>
      </c>
      <c r="R27" s="701" t="s">
        <v>14</v>
      </c>
      <c r="S27" s="702">
        <f>F27</f>
        <v>100</v>
      </c>
      <c r="T27" s="701" t="s">
        <v>14</v>
      </c>
      <c r="U27" s="702">
        <f>H27</f>
        <v>100</v>
      </c>
      <c r="V27" s="701" t="s">
        <v>14</v>
      </c>
      <c r="W27" s="702">
        <f>J27</f>
        <v>100</v>
      </c>
      <c r="X27" s="703"/>
      <c r="Y27" s="372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4"/>
      <c r="Q28" s="1352">
        <f t="shared" si="11"/>
        <v>111</v>
      </c>
      <c r="R28" s="705" t="s">
        <v>14</v>
      </c>
      <c r="S28" s="706">
        <f t="shared" ref="S28:S40" si="12">F28</f>
        <v>100</v>
      </c>
      <c r="T28" s="705" t="s">
        <v>14</v>
      </c>
      <c r="U28" s="706">
        <f t="shared" ref="U28:U40" si="13">H28</f>
        <v>100</v>
      </c>
      <c r="V28" s="705" t="s">
        <v>14</v>
      </c>
      <c r="W28" s="706">
        <f t="shared" ref="W28:W40" si="14">J28</f>
        <v>100</v>
      </c>
      <c r="X28" s="1355"/>
      <c r="Y28" s="3724"/>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9" t="s">
        <v>1695</v>
      </c>
      <c r="Q29" s="1352" t="str">
        <f t="shared" si="11"/>
        <v>建筑类型</v>
      </c>
      <c r="R29" s="705" t="s">
        <v>14</v>
      </c>
      <c r="S29" s="706">
        <f t="shared" si="12"/>
        <v>100</v>
      </c>
      <c r="T29" s="705" t="s">
        <v>14</v>
      </c>
      <c r="U29" s="706">
        <f t="shared" si="13"/>
        <v>100</v>
      </c>
      <c r="V29" s="705" t="s">
        <v>14</v>
      </c>
      <c r="W29" s="706">
        <f t="shared" si="14"/>
        <v>100</v>
      </c>
      <c r="X29" s="1355"/>
      <c r="Y29" s="3728"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8"/>
      <c r="Q30" s="707" t="str">
        <f t="shared" si="11"/>
        <v>项目建筑规模</v>
      </c>
      <c r="R30" s="708" t="s">
        <v>14</v>
      </c>
      <c r="S30" s="709" t="e">
        <f t="shared" si="12"/>
        <v>#N/A</v>
      </c>
      <c r="T30" s="708" t="s">
        <v>14</v>
      </c>
      <c r="U30" s="709" t="e">
        <f t="shared" si="13"/>
        <v>#N/A</v>
      </c>
      <c r="V30" s="708" t="s">
        <v>14</v>
      </c>
      <c r="W30" s="709" t="e">
        <f t="shared" si="14"/>
        <v>#N/A</v>
      </c>
      <c r="X30" s="710"/>
      <c r="Y30" s="3728"/>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8"/>
      <c r="Q31" s="1352" t="str">
        <f t="shared" si="11"/>
        <v>建筑结构</v>
      </c>
      <c r="R31" s="705" t="s">
        <v>14</v>
      </c>
      <c r="S31" s="706">
        <f t="shared" si="12"/>
        <v>100</v>
      </c>
      <c r="T31" s="705" t="s">
        <v>14</v>
      </c>
      <c r="U31" s="706">
        <f t="shared" si="13"/>
        <v>100</v>
      </c>
      <c r="V31" s="705" t="s">
        <v>14</v>
      </c>
      <c r="W31" s="706">
        <f t="shared" si="14"/>
        <v>100</v>
      </c>
      <c r="X31" s="1355"/>
      <c r="Y31" s="3728"/>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8"/>
      <c r="Q32" s="1352" t="str">
        <f t="shared" si="11"/>
        <v>公共部分装修</v>
      </c>
      <c r="R32" s="705" t="s">
        <v>14</v>
      </c>
      <c r="S32" s="706">
        <f t="shared" si="12"/>
        <v>100</v>
      </c>
      <c r="T32" s="705" t="s">
        <v>14</v>
      </c>
      <c r="U32" s="706">
        <f t="shared" si="13"/>
        <v>100</v>
      </c>
      <c r="V32" s="705" t="s">
        <v>14</v>
      </c>
      <c r="W32" s="706">
        <f t="shared" si="14"/>
        <v>100</v>
      </c>
      <c r="X32" s="1355"/>
      <c r="Y32" s="3728"/>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8"/>
      <c r="Q33" s="1352" t="str">
        <f t="shared" si="11"/>
        <v>成新度</v>
      </c>
      <c r="R33" s="705" t="s">
        <v>14</v>
      </c>
      <c r="S33" s="706" t="e">
        <f t="shared" si="12"/>
        <v>#N/A</v>
      </c>
      <c r="T33" s="705" t="s">
        <v>14</v>
      </c>
      <c r="U33" s="706" t="e">
        <f t="shared" si="13"/>
        <v>#N/A</v>
      </c>
      <c r="V33" s="705" t="s">
        <v>14</v>
      </c>
      <c r="W33" s="706" t="e">
        <f t="shared" si="14"/>
        <v>#N/A</v>
      </c>
      <c r="X33" s="1355"/>
      <c r="Y33" s="3728"/>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8"/>
      <c r="Q34" s="1343" t="str">
        <f t="shared" si="11"/>
        <v>物业管理</v>
      </c>
      <c r="R34" s="701" t="s">
        <v>14</v>
      </c>
      <c r="S34" s="702">
        <f t="shared" si="12"/>
        <v>100</v>
      </c>
      <c r="T34" s="701" t="s">
        <v>14</v>
      </c>
      <c r="U34" s="702">
        <f t="shared" si="13"/>
        <v>100</v>
      </c>
      <c r="V34" s="701" t="s">
        <v>14</v>
      </c>
      <c r="W34" s="702">
        <f t="shared" si="14"/>
        <v>100</v>
      </c>
      <c r="X34" s="703"/>
      <c r="Y34" s="372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8" t="s">
        <v>1695</v>
      </c>
      <c r="Q35" s="1352" t="str">
        <f t="shared" si="11"/>
        <v>市政基础设施</v>
      </c>
      <c r="R35" s="705" t="s">
        <v>14</v>
      </c>
      <c r="S35" s="706">
        <f t="shared" si="12"/>
        <v>100</v>
      </c>
      <c r="T35" s="705" t="s">
        <v>14</v>
      </c>
      <c r="U35" s="706">
        <f t="shared" si="13"/>
        <v>100</v>
      </c>
      <c r="V35" s="705" t="s">
        <v>14</v>
      </c>
      <c r="W35" s="706">
        <f t="shared" si="14"/>
        <v>100</v>
      </c>
      <c r="X35" s="1355"/>
      <c r="Y35" s="3728"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8"/>
      <c r="Q36" s="1352" t="str">
        <f t="shared" si="11"/>
        <v>内部装修</v>
      </c>
      <c r="R36" s="705" t="s">
        <v>14</v>
      </c>
      <c r="S36" s="706">
        <f t="shared" si="12"/>
        <v>100</v>
      </c>
      <c r="T36" s="705" t="s">
        <v>14</v>
      </c>
      <c r="U36" s="706">
        <f t="shared" si="13"/>
        <v>100</v>
      </c>
      <c r="V36" s="705" t="s">
        <v>14</v>
      </c>
      <c r="W36" s="706">
        <f t="shared" si="14"/>
        <v>100</v>
      </c>
      <c r="X36" s="1355"/>
      <c r="Y36" s="3728"/>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8"/>
      <c r="Q37" s="1352" t="str">
        <f t="shared" si="11"/>
        <v>内部装修状况</v>
      </c>
      <c r="R37" s="705" t="s">
        <v>14</v>
      </c>
      <c r="S37" s="706">
        <f t="shared" si="12"/>
        <v>100</v>
      </c>
      <c r="T37" s="705" t="s">
        <v>14</v>
      </c>
      <c r="U37" s="706">
        <f t="shared" si="13"/>
        <v>100</v>
      </c>
      <c r="V37" s="705" t="s">
        <v>14</v>
      </c>
      <c r="W37" s="706">
        <f t="shared" si="14"/>
        <v>100</v>
      </c>
      <c r="X37" s="1355"/>
      <c r="Y37" s="372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8"/>
      <c r="Q38" s="707">
        <f t="shared" si="11"/>
        <v>111</v>
      </c>
      <c r="R38" s="708" t="s">
        <v>14</v>
      </c>
      <c r="S38" s="709">
        <f t="shared" si="12"/>
        <v>100</v>
      </c>
      <c r="T38" s="708" t="s">
        <v>14</v>
      </c>
      <c r="U38" s="709">
        <f t="shared" si="13"/>
        <v>100</v>
      </c>
      <c r="V38" s="708" t="s">
        <v>14</v>
      </c>
      <c r="W38" s="709">
        <f t="shared" si="14"/>
        <v>100</v>
      </c>
      <c r="X38" s="710"/>
      <c r="Y38" s="372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8"/>
      <c r="Q39" s="1352">
        <f t="shared" si="11"/>
        <v>111</v>
      </c>
      <c r="R39" s="705" t="s">
        <v>14</v>
      </c>
      <c r="S39" s="706">
        <f t="shared" si="12"/>
        <v>100</v>
      </c>
      <c r="T39" s="705" t="s">
        <v>14</v>
      </c>
      <c r="U39" s="706">
        <f t="shared" si="13"/>
        <v>100</v>
      </c>
      <c r="V39" s="705" t="s">
        <v>14</v>
      </c>
      <c r="W39" s="706">
        <f t="shared" si="14"/>
        <v>100</v>
      </c>
      <c r="X39" s="1355"/>
      <c r="Y39" s="372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9"/>
      <c r="Q40" s="1352">
        <f t="shared" si="11"/>
        <v>111</v>
      </c>
      <c r="R40" s="705" t="s">
        <v>14</v>
      </c>
      <c r="S40" s="706">
        <f t="shared" si="12"/>
        <v>100</v>
      </c>
      <c r="T40" s="705" t="s">
        <v>14</v>
      </c>
      <c r="U40" s="706">
        <f t="shared" si="13"/>
        <v>100</v>
      </c>
      <c r="V40" s="705" t="s">
        <v>14</v>
      </c>
      <c r="W40" s="706">
        <f t="shared" si="14"/>
        <v>100</v>
      </c>
      <c r="X40" s="1355"/>
      <c r="Y40" s="3729"/>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21" t="str">
        <f>A41</f>
        <v>成交单价（元/平方米）</v>
      </c>
      <c r="Q41" s="3721"/>
      <c r="R41" s="3722">
        <f>E41</f>
        <v>0</v>
      </c>
      <c r="S41" s="3722"/>
      <c r="T41" s="3722">
        <f>G41</f>
        <v>0</v>
      </c>
      <c r="U41" s="3722"/>
      <c r="V41" s="3722">
        <f>I41</f>
        <v>0</v>
      </c>
      <c r="W41" s="3722"/>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1" t="str">
        <f>A42</f>
        <v>比较价值（元/平方米）</v>
      </c>
      <c r="Q42" s="3721"/>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18" t="str">
        <f>A43</f>
        <v>估价对象XX用房的比较价值（楼面单价，元/平方米）</v>
      </c>
      <c r="Q43" s="3719"/>
      <c r="R43" s="3720" t="e">
        <f>IF(F1="售价",ROUND(IF(D42="简单平均",AVERAGE(R42:V42),R42*F42+T42*H42+V42*J42),0),ROUND(IF(D42="简单平均",AVERAGE(R42:V42),R42*F42+T42*H42+V42*J42),1))</f>
        <v>#DIV/0!</v>
      </c>
      <c r="S43" s="3720"/>
      <c r="T43" s="3720"/>
      <c r="U43" s="3720"/>
      <c r="V43" s="3720"/>
      <c r="W43" s="3720"/>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36" t="s">
        <v>1769</v>
      </c>
      <c r="D4" s="3737"/>
      <c r="E4" s="3738" t="s">
        <v>1770</v>
      </c>
      <c r="F4" s="3739"/>
      <c r="G4" s="3736" t="s">
        <v>1771</v>
      </c>
      <c r="H4" s="3737"/>
      <c r="I4" s="3736" t="s">
        <v>1772</v>
      </c>
      <c r="J4" s="3737"/>
      <c r="K4" s="559" t="s">
        <v>1773</v>
      </c>
      <c r="L4" s="2713"/>
      <c r="M4" s="2714"/>
      <c r="N4" s="2714"/>
      <c r="O4" s="2714"/>
      <c r="P4" s="3740" t="s">
        <v>1774</v>
      </c>
      <c r="Q4" s="3741"/>
      <c r="R4" s="3746" t="s">
        <v>1770</v>
      </c>
      <c r="S4" s="3747"/>
      <c r="T4" s="3746" t="s">
        <v>1771</v>
      </c>
      <c r="U4" s="3747"/>
      <c r="V4" s="3752" t="s">
        <v>1772</v>
      </c>
      <c r="W4" s="3752"/>
      <c r="X4" s="1355"/>
      <c r="Y4" s="3746" t="s">
        <v>1774</v>
      </c>
      <c r="Z4" s="3747"/>
      <c r="AA4" s="3733" t="s">
        <v>1770</v>
      </c>
      <c r="AB4" s="3734" t="s">
        <v>1771</v>
      </c>
      <c r="AC4" s="3733" t="s">
        <v>1772</v>
      </c>
    </row>
    <row r="5" spans="1:29" ht="15">
      <c r="A5" s="358"/>
      <c r="B5" s="359"/>
      <c r="C5" s="3755" t="s">
        <v>1672</v>
      </c>
      <c r="D5" s="3756"/>
      <c r="E5" s="3762" t="s">
        <v>1673</v>
      </c>
      <c r="F5" s="3763"/>
      <c r="G5" s="3755" t="s">
        <v>1674</v>
      </c>
      <c r="H5" s="3756"/>
      <c r="I5" s="3755" t="s">
        <v>1675</v>
      </c>
      <c r="J5" s="3756"/>
      <c r="K5" s="559"/>
      <c r="L5" s="2713"/>
      <c r="M5" s="2714"/>
      <c r="N5" s="2714"/>
      <c r="O5" s="2714"/>
      <c r="P5" s="3742"/>
      <c r="Q5" s="3743"/>
      <c r="R5" s="3748"/>
      <c r="S5" s="3749"/>
      <c r="T5" s="3748"/>
      <c r="U5" s="3749"/>
      <c r="V5" s="3752"/>
      <c r="W5" s="3752"/>
      <c r="X5" s="1355"/>
      <c r="Y5" s="3748"/>
      <c r="Z5" s="3749"/>
      <c r="AA5" s="3734"/>
      <c r="AB5" s="3734"/>
      <c r="AC5" s="3734"/>
    </row>
    <row r="6" spans="1:29" ht="15.75" thickBot="1">
      <c r="A6" s="360"/>
      <c r="B6" s="361"/>
      <c r="C6" s="3753" t="s">
        <v>1676</v>
      </c>
      <c r="D6" s="3754"/>
      <c r="E6" s="3760" t="s">
        <v>1676</v>
      </c>
      <c r="F6" s="3761"/>
      <c r="G6" s="3753" t="s">
        <v>1676</v>
      </c>
      <c r="H6" s="3754"/>
      <c r="I6" s="3753" t="s">
        <v>1676</v>
      </c>
      <c r="J6" s="3754"/>
      <c r="K6" s="559" t="s">
        <v>1677</v>
      </c>
      <c r="L6" s="2713"/>
      <c r="M6" s="2714"/>
      <c r="N6" s="2714"/>
      <c r="O6" s="2714"/>
      <c r="P6" s="3744"/>
      <c r="Q6" s="3745"/>
      <c r="R6" s="3748"/>
      <c r="S6" s="3749"/>
      <c r="T6" s="3750"/>
      <c r="U6" s="3751"/>
      <c r="V6" s="3752"/>
      <c r="W6" s="3752"/>
      <c r="X6" s="1355"/>
      <c r="Y6" s="3750"/>
      <c r="Z6" s="3751"/>
      <c r="AA6" s="3735"/>
      <c r="AB6" s="3735"/>
      <c r="AC6" s="3735"/>
    </row>
    <row r="7" spans="1:29" s="108" customFormat="1" ht="15.75" thickBot="1">
      <c r="A7" s="362" t="s">
        <v>1678</v>
      </c>
      <c r="B7" s="363"/>
      <c r="C7" s="364">
        <f>'数据-取费表'!B2</f>
        <v>45051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57" t="s">
        <v>1679</v>
      </c>
      <c r="Q7" s="3759"/>
      <c r="R7" s="701" t="s">
        <v>14</v>
      </c>
      <c r="S7" s="702">
        <f t="shared" ref="S7:S14" si="0">F7</f>
        <v>0</v>
      </c>
      <c r="T7" s="701" t="s">
        <v>14</v>
      </c>
      <c r="U7" s="702">
        <f t="shared" ref="U7:U14" si="1">H7</f>
        <v>0</v>
      </c>
      <c r="V7" s="701" t="s">
        <v>14</v>
      </c>
      <c r="W7" s="702">
        <f t="shared" ref="W7:W14" si="2">J7</f>
        <v>0</v>
      </c>
      <c r="X7" s="703"/>
      <c r="Y7" s="3757" t="s">
        <v>1679</v>
      </c>
      <c r="Z7" s="3758"/>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57" t="s">
        <v>1682</v>
      </c>
      <c r="Q8" s="3758"/>
      <c r="R8" s="701" t="s">
        <v>14</v>
      </c>
      <c r="S8" s="702">
        <f t="shared" si="0"/>
        <v>100</v>
      </c>
      <c r="T8" s="701" t="s">
        <v>14</v>
      </c>
      <c r="U8" s="702">
        <f t="shared" si="1"/>
        <v>100</v>
      </c>
      <c r="V8" s="701" t="s">
        <v>14</v>
      </c>
      <c r="W8" s="702">
        <f t="shared" si="2"/>
        <v>100</v>
      </c>
      <c r="X8" s="703"/>
      <c r="Y8" s="3757" t="s">
        <v>1682</v>
      </c>
      <c r="Z8" s="3758"/>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1" t="s">
        <v>1685</v>
      </c>
      <c r="Q9" s="1343" t="str">
        <f t="shared" ref="Q9:Q14" si="6">B9</f>
        <v>用途</v>
      </c>
      <c r="R9" s="701" t="s">
        <v>14</v>
      </c>
      <c r="S9" s="702">
        <f t="shared" si="0"/>
        <v>100</v>
      </c>
      <c r="T9" s="701" t="s">
        <v>14</v>
      </c>
      <c r="U9" s="702">
        <f t="shared" si="1"/>
        <v>100</v>
      </c>
      <c r="V9" s="701" t="s">
        <v>14</v>
      </c>
      <c r="W9" s="702">
        <f t="shared" si="2"/>
        <v>100</v>
      </c>
      <c r="X9" s="703"/>
      <c r="Y9" s="3577"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1"/>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1"/>
      <c r="Q11" s="1343">
        <f t="shared" si="6"/>
        <v>111</v>
      </c>
      <c r="R11" s="701" t="s">
        <v>14</v>
      </c>
      <c r="S11" s="702">
        <f t="shared" si="0"/>
        <v>100</v>
      </c>
      <c r="T11" s="701" t="s">
        <v>14</v>
      </c>
      <c r="U11" s="702">
        <f t="shared" si="1"/>
        <v>100</v>
      </c>
      <c r="V11" s="701" t="s">
        <v>14</v>
      </c>
      <c r="W11" s="702">
        <f t="shared" si="2"/>
        <v>100</v>
      </c>
      <c r="X11" s="703"/>
      <c r="Y11" s="357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1"/>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1"/>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99.75">
      <c r="A14" s="355" t="s">
        <v>1689</v>
      </c>
      <c r="B14" s="577" t="s">
        <v>1832</v>
      </c>
      <c r="C14" s="1971" t="str">
        <f>IF(B1="工业",估价对象房地状况!G4,估价对象房地状况!C6)</f>
        <v>周边有75、110、420路及地铁2号、6号线，周边道路密集，停车便捷程度，综合评价交通便捷度好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3" t="s">
        <v>1690</v>
      </c>
      <c r="Q14" s="1352" t="str">
        <f t="shared" si="6"/>
        <v>交通便捷度</v>
      </c>
      <c r="R14" s="705" t="s">
        <v>14</v>
      </c>
      <c r="S14" s="706">
        <f t="shared" si="0"/>
        <v>100</v>
      </c>
      <c r="T14" s="705" t="s">
        <v>14</v>
      </c>
      <c r="U14" s="706">
        <f t="shared" si="1"/>
        <v>100</v>
      </c>
      <c r="V14" s="705" t="s">
        <v>14</v>
      </c>
      <c r="W14" s="706">
        <f t="shared" si="2"/>
        <v>100</v>
      </c>
      <c r="X14" s="1355"/>
      <c r="Y14" s="3723"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4"/>
      <c r="Q15" s="1352"/>
      <c r="R15" s="705"/>
      <c r="S15" s="706"/>
      <c r="T15" s="705"/>
      <c r="U15" s="706"/>
      <c r="V15" s="705"/>
      <c r="W15" s="706"/>
      <c r="X15" s="1355"/>
      <c r="Y15" s="3724"/>
      <c r="Z15" s="1356"/>
      <c r="AA15" s="1353">
        <v>1</v>
      </c>
      <c r="AB15" s="1353">
        <v>1</v>
      </c>
      <c r="AC15" s="1353">
        <v>1</v>
      </c>
    </row>
    <row r="16" spans="1:29" ht="85.5">
      <c r="A16" s="358"/>
      <c r="B16" s="579" t="s">
        <v>1811</v>
      </c>
      <c r="C16" s="1900" t="str">
        <f>IF(B1="工业",估价对象房地状况!G5,估价对象房地状况!C7)</f>
        <v>估价对象所在区域银行、购物场所、学校等公共配套设施齐备，综合评价公共配套设施水平好。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4"/>
      <c r="Q16" s="1352" t="str">
        <f>B16</f>
        <v>公共配套设施</v>
      </c>
      <c r="R16" s="705" t="s">
        <v>14</v>
      </c>
      <c r="S16" s="706">
        <f>F16</f>
        <v>100</v>
      </c>
      <c r="T16" s="705" t="s">
        <v>14</v>
      </c>
      <c r="U16" s="706">
        <f>H16</f>
        <v>100</v>
      </c>
      <c r="V16" s="705" t="s">
        <v>14</v>
      </c>
      <c r="W16" s="706">
        <f>J16</f>
        <v>100</v>
      </c>
      <c r="X16" s="1355"/>
      <c r="Y16" s="372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24"/>
      <c r="Q17" s="1352"/>
      <c r="R17" s="705"/>
      <c r="S17" s="706"/>
      <c r="T17" s="705"/>
      <c r="U17" s="706"/>
      <c r="V17" s="705"/>
      <c r="W17" s="706"/>
      <c r="X17" s="1355"/>
      <c r="Y17" s="3724"/>
      <c r="Z17" s="1356"/>
      <c r="AA17" s="1353">
        <v>1</v>
      </c>
      <c r="AB17" s="1353">
        <v>1</v>
      </c>
      <c r="AC17" s="1353">
        <v>1</v>
      </c>
    </row>
    <row r="18" spans="1:29" ht="42.75">
      <c r="A18" s="358"/>
      <c r="B18" s="581" t="s">
        <v>1812</v>
      </c>
      <c r="C18" s="1900" t="str">
        <f>IF(B1="工业",估价对象房地状况!G6,估价对象房地状况!C8)</f>
        <v>估价对象所在区域基础设施水平“七通一平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4"/>
      <c r="Q18" s="1352" t="str">
        <f>B18</f>
        <v>基础设施水平</v>
      </c>
      <c r="R18" s="705" t="s">
        <v>14</v>
      </c>
      <c r="S18" s="706">
        <f>F18</f>
        <v>100</v>
      </c>
      <c r="T18" s="705" t="s">
        <v>14</v>
      </c>
      <c r="U18" s="706">
        <f>H18</f>
        <v>100</v>
      </c>
      <c r="V18" s="705" t="s">
        <v>14</v>
      </c>
      <c r="W18" s="706">
        <f>J18</f>
        <v>100</v>
      </c>
      <c r="X18" s="1355"/>
      <c r="Y18" s="372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24"/>
      <c r="Q19" s="1352"/>
      <c r="R19" s="705"/>
      <c r="S19" s="706"/>
      <c r="T19" s="705"/>
      <c r="U19" s="706"/>
      <c r="V19" s="705"/>
      <c r="W19" s="706"/>
      <c r="X19" s="1355"/>
      <c r="Y19" s="3724"/>
      <c r="Z19" s="1356"/>
      <c r="AA19" s="1353">
        <v>1</v>
      </c>
      <c r="AB19" s="1353">
        <v>1</v>
      </c>
      <c r="AC19" s="1353">
        <v>1</v>
      </c>
    </row>
    <row r="20" spans="1:29" ht="99.75">
      <c r="A20" s="358"/>
      <c r="B20" s="579" t="s">
        <v>1833</v>
      </c>
      <c r="C20" s="1900" t="str">
        <f>IF(B1="工业",估价对象房地状况!G7,估价对象房地状况!C9)</f>
        <v>区域内有东城职业大学、日坛公园、富国海底世界等自然及人文环境，综合评价自然及人文环境状况较好。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4"/>
      <c r="Q20" s="1352" t="str">
        <f>B20</f>
        <v>自然及人文环境</v>
      </c>
      <c r="R20" s="705" t="s">
        <v>14</v>
      </c>
      <c r="S20" s="706">
        <f>F20</f>
        <v>100</v>
      </c>
      <c r="T20" s="705" t="s">
        <v>14</v>
      </c>
      <c r="U20" s="706">
        <f>H20</f>
        <v>100</v>
      </c>
      <c r="V20" s="705" t="s">
        <v>14</v>
      </c>
      <c r="W20" s="706">
        <f>J20</f>
        <v>100</v>
      </c>
      <c r="X20" s="1355"/>
      <c r="Y20" s="372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4"/>
      <c r="Q21" s="1352"/>
      <c r="R21" s="705"/>
      <c r="S21" s="706"/>
      <c r="T21" s="705"/>
      <c r="U21" s="706"/>
      <c r="V21" s="705"/>
      <c r="W21" s="706"/>
      <c r="X21" s="1355"/>
      <c r="Y21" s="3724"/>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4"/>
      <c r="Q22" s="1352" t="str">
        <f>B22</f>
        <v>楼层</v>
      </c>
      <c r="R22" s="705" t="s">
        <v>14</v>
      </c>
      <c r="S22" s="706">
        <f>F22</f>
        <v>100</v>
      </c>
      <c r="T22" s="705" t="s">
        <v>14</v>
      </c>
      <c r="U22" s="706">
        <f>H22</f>
        <v>100</v>
      </c>
      <c r="V22" s="705" t="s">
        <v>14</v>
      </c>
      <c r="W22" s="706">
        <f>J22</f>
        <v>100</v>
      </c>
      <c r="X22" s="1355"/>
      <c r="Y22" s="372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4"/>
      <c r="Q23" s="1352">
        <f>B23</f>
        <v>111</v>
      </c>
      <c r="R23" s="705" t="s">
        <v>14</v>
      </c>
      <c r="S23" s="706">
        <f>F23</f>
        <v>100</v>
      </c>
      <c r="T23" s="705" t="s">
        <v>14</v>
      </c>
      <c r="U23" s="706">
        <f>H23</f>
        <v>100</v>
      </c>
      <c r="V23" s="705" t="s">
        <v>14</v>
      </c>
      <c r="W23" s="706">
        <f>J23</f>
        <v>100</v>
      </c>
      <c r="X23" s="1355"/>
      <c r="Y23" s="372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4"/>
      <c r="Q24" s="1352">
        <f t="shared" ref="Q24:Q36" si="11">B24</f>
        <v>111</v>
      </c>
      <c r="R24" s="705" t="s">
        <v>14</v>
      </c>
      <c r="S24" s="706">
        <f>F24</f>
        <v>100</v>
      </c>
      <c r="T24" s="705" t="s">
        <v>14</v>
      </c>
      <c r="U24" s="706">
        <f>H24</f>
        <v>100</v>
      </c>
      <c r="V24" s="705" t="s">
        <v>14</v>
      </c>
      <c r="W24" s="706">
        <f>J24</f>
        <v>100</v>
      </c>
      <c r="X24" s="1355"/>
      <c r="Y24" s="372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4"/>
      <c r="Q25" s="1343">
        <f t="shared" si="11"/>
        <v>111</v>
      </c>
      <c r="R25" s="701" t="s">
        <v>14</v>
      </c>
      <c r="S25" s="702">
        <f>F25</f>
        <v>100</v>
      </c>
      <c r="T25" s="701" t="s">
        <v>14</v>
      </c>
      <c r="U25" s="702">
        <f>H25</f>
        <v>100</v>
      </c>
      <c r="V25" s="701" t="s">
        <v>14</v>
      </c>
      <c r="W25" s="702">
        <f>J25</f>
        <v>100</v>
      </c>
      <c r="X25" s="703"/>
      <c r="Y25" s="3724"/>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8"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8"/>
      <c r="Q27" s="707" t="str">
        <f t="shared" si="11"/>
        <v>项目停车位配比</v>
      </c>
      <c r="R27" s="708" t="s">
        <v>14</v>
      </c>
      <c r="S27" s="709">
        <f t="shared" si="12"/>
        <v>100</v>
      </c>
      <c r="T27" s="708" t="s">
        <v>14</v>
      </c>
      <c r="U27" s="709">
        <f t="shared" si="13"/>
        <v>100</v>
      </c>
      <c r="V27" s="708" t="s">
        <v>14</v>
      </c>
      <c r="W27" s="709">
        <f t="shared" si="14"/>
        <v>100</v>
      </c>
      <c r="X27" s="710"/>
      <c r="Y27" s="3728"/>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8"/>
      <c r="Q28" s="1352" t="str">
        <f t="shared" si="11"/>
        <v>公共部分装修</v>
      </c>
      <c r="R28" s="705" t="s">
        <v>14</v>
      </c>
      <c r="S28" s="706">
        <f t="shared" si="12"/>
        <v>100</v>
      </c>
      <c r="T28" s="705" t="s">
        <v>14</v>
      </c>
      <c r="U28" s="706">
        <f t="shared" si="13"/>
        <v>100</v>
      </c>
      <c r="V28" s="705" t="s">
        <v>14</v>
      </c>
      <c r="W28" s="706">
        <f t="shared" si="14"/>
        <v>100</v>
      </c>
      <c r="X28" s="1355"/>
      <c r="Y28" s="3728"/>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8"/>
      <c r="Q29" s="1352" t="str">
        <f t="shared" si="11"/>
        <v>成新率</v>
      </c>
      <c r="R29" s="705" t="s">
        <v>14</v>
      </c>
      <c r="S29" s="706" t="e">
        <f t="shared" si="12"/>
        <v>#N/A</v>
      </c>
      <c r="T29" s="705" t="s">
        <v>14</v>
      </c>
      <c r="U29" s="706" t="e">
        <f t="shared" si="13"/>
        <v>#N/A</v>
      </c>
      <c r="V29" s="705" t="s">
        <v>14</v>
      </c>
      <c r="W29" s="706" t="e">
        <f t="shared" si="14"/>
        <v>#N/A</v>
      </c>
      <c r="X29" s="1355"/>
      <c r="Y29" s="3728"/>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8"/>
      <c r="Q30" s="1352" t="str">
        <f t="shared" si="11"/>
        <v>物业等级</v>
      </c>
      <c r="R30" s="705" t="s">
        <v>14</v>
      </c>
      <c r="S30" s="706">
        <f t="shared" si="12"/>
        <v>100</v>
      </c>
      <c r="T30" s="705" t="s">
        <v>14</v>
      </c>
      <c r="U30" s="706">
        <f t="shared" si="13"/>
        <v>100</v>
      </c>
      <c r="V30" s="705" t="s">
        <v>14</v>
      </c>
      <c r="W30" s="706">
        <f t="shared" si="14"/>
        <v>100</v>
      </c>
      <c r="X30" s="1355"/>
      <c r="Y30" s="3728"/>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8"/>
      <c r="Q31" s="1343" t="str">
        <f t="shared" si="11"/>
        <v>停车位面积</v>
      </c>
      <c r="R31" s="701" t="s">
        <v>14</v>
      </c>
      <c r="S31" s="702" t="e">
        <f t="shared" si="12"/>
        <v>#N/A</v>
      </c>
      <c r="T31" s="701" t="s">
        <v>14</v>
      </c>
      <c r="U31" s="702" t="e">
        <f t="shared" si="13"/>
        <v>#N/A</v>
      </c>
      <c r="V31" s="701" t="s">
        <v>14</v>
      </c>
      <c r="W31" s="702" t="e">
        <f t="shared" si="14"/>
        <v>#N/A</v>
      </c>
      <c r="X31" s="703"/>
      <c r="Y31" s="372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8" t="s">
        <v>1695</v>
      </c>
      <c r="Q32" s="1352" t="str">
        <f t="shared" si="11"/>
        <v>车位类型</v>
      </c>
      <c r="R32" s="705" t="s">
        <v>14</v>
      </c>
      <c r="S32" s="706">
        <f t="shared" si="12"/>
        <v>100</v>
      </c>
      <c r="T32" s="705" t="s">
        <v>14</v>
      </c>
      <c r="U32" s="706">
        <f t="shared" si="13"/>
        <v>100</v>
      </c>
      <c r="V32" s="705" t="s">
        <v>14</v>
      </c>
      <c r="W32" s="706">
        <f t="shared" si="14"/>
        <v>100</v>
      </c>
      <c r="X32" s="1355"/>
      <c r="Y32" s="3728"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8"/>
      <c r="Q33" s="1352" t="str">
        <f t="shared" si="11"/>
        <v>是否直接入户</v>
      </c>
      <c r="R33" s="705" t="s">
        <v>14</v>
      </c>
      <c r="S33" s="706">
        <f t="shared" si="12"/>
        <v>100</v>
      </c>
      <c r="T33" s="705" t="s">
        <v>14</v>
      </c>
      <c r="U33" s="706">
        <f t="shared" si="13"/>
        <v>100</v>
      </c>
      <c r="V33" s="705" t="s">
        <v>14</v>
      </c>
      <c r="W33" s="706">
        <f t="shared" si="14"/>
        <v>100</v>
      </c>
      <c r="X33" s="1355"/>
      <c r="Y33" s="372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8"/>
      <c r="Q34" s="1352">
        <f t="shared" si="11"/>
        <v>111</v>
      </c>
      <c r="R34" s="705" t="s">
        <v>14</v>
      </c>
      <c r="S34" s="706">
        <f t="shared" si="12"/>
        <v>100</v>
      </c>
      <c r="T34" s="705" t="s">
        <v>14</v>
      </c>
      <c r="U34" s="706">
        <f t="shared" si="13"/>
        <v>100</v>
      </c>
      <c r="V34" s="705" t="s">
        <v>14</v>
      </c>
      <c r="W34" s="706">
        <f t="shared" si="14"/>
        <v>100</v>
      </c>
      <c r="X34" s="1355"/>
      <c r="Y34" s="372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8"/>
      <c r="Q35" s="707">
        <f t="shared" si="11"/>
        <v>111</v>
      </c>
      <c r="R35" s="708" t="s">
        <v>14</v>
      </c>
      <c r="S35" s="709">
        <f t="shared" si="12"/>
        <v>100</v>
      </c>
      <c r="T35" s="708" t="s">
        <v>14</v>
      </c>
      <c r="U35" s="709">
        <f t="shared" si="13"/>
        <v>100</v>
      </c>
      <c r="V35" s="708" t="s">
        <v>14</v>
      </c>
      <c r="W35" s="709">
        <f t="shared" si="14"/>
        <v>100</v>
      </c>
      <c r="X35" s="710"/>
      <c r="Y35" s="372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8"/>
      <c r="Q36" s="1352">
        <f t="shared" si="11"/>
        <v>111</v>
      </c>
      <c r="R36" s="705" t="s">
        <v>14</v>
      </c>
      <c r="S36" s="706">
        <f t="shared" si="12"/>
        <v>100</v>
      </c>
      <c r="T36" s="705" t="s">
        <v>14</v>
      </c>
      <c r="U36" s="706">
        <f t="shared" si="13"/>
        <v>100</v>
      </c>
      <c r="V36" s="705" t="s">
        <v>14</v>
      </c>
      <c r="W36" s="706">
        <f t="shared" si="14"/>
        <v>100</v>
      </c>
      <c r="X36" s="1355"/>
      <c r="Y36" s="3728"/>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22"/>
      <c r="M37" s="2723"/>
      <c r="N37" s="2714"/>
      <c r="O37" s="2723"/>
      <c r="P37" s="3721" t="str">
        <f>A37</f>
        <v>成交单价</v>
      </c>
      <c r="Q37" s="3721"/>
      <c r="R37" s="3722">
        <f>E37</f>
        <v>0</v>
      </c>
      <c r="S37" s="3722"/>
      <c r="T37" s="3722">
        <f>G37</f>
        <v>0</v>
      </c>
      <c r="U37" s="3722"/>
      <c r="V37" s="3722">
        <f>I37</f>
        <v>0</v>
      </c>
      <c r="W37" s="3722"/>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721" t="str">
        <f>A38</f>
        <v>比较价值（元/平方米）</v>
      </c>
      <c r="Q38" s="3721"/>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718" t="str">
        <f>A39</f>
        <v>估价对象XX用房的比较价值（楼面单价，元/平方米）</v>
      </c>
      <c r="Q39" s="3719"/>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36" t="s">
        <v>1769</v>
      </c>
      <c r="D4" s="3737"/>
      <c r="E4" s="3738" t="s">
        <v>1770</v>
      </c>
      <c r="F4" s="3739"/>
      <c r="G4" s="3736" t="s">
        <v>1771</v>
      </c>
      <c r="H4" s="3737"/>
      <c r="I4" s="3736" t="s">
        <v>1772</v>
      </c>
      <c r="J4" s="3737"/>
      <c r="K4" s="559" t="s">
        <v>1773</v>
      </c>
      <c r="L4" s="2713"/>
      <c r="M4" s="2714"/>
      <c r="N4" s="2714"/>
      <c r="O4" s="2714"/>
      <c r="P4" s="3740" t="s">
        <v>1774</v>
      </c>
      <c r="Q4" s="3741"/>
      <c r="R4" s="3746" t="s">
        <v>1770</v>
      </c>
      <c r="S4" s="3747"/>
      <c r="T4" s="3746" t="s">
        <v>1771</v>
      </c>
      <c r="U4" s="3747"/>
      <c r="V4" s="3752" t="s">
        <v>1772</v>
      </c>
      <c r="W4" s="3752"/>
      <c r="X4" s="1355"/>
      <c r="Y4" s="3746" t="s">
        <v>1774</v>
      </c>
      <c r="Z4" s="3747"/>
      <c r="AA4" s="3733" t="s">
        <v>1770</v>
      </c>
      <c r="AB4" s="3734" t="s">
        <v>1771</v>
      </c>
      <c r="AC4" s="3733" t="s">
        <v>1772</v>
      </c>
    </row>
    <row r="5" spans="1:29" ht="15">
      <c r="A5" s="358"/>
      <c r="B5" s="359"/>
      <c r="C5" s="3755" t="s">
        <v>1672</v>
      </c>
      <c r="D5" s="3756"/>
      <c r="E5" s="3762" t="s">
        <v>1673</v>
      </c>
      <c r="F5" s="3763"/>
      <c r="G5" s="3755" t="s">
        <v>1674</v>
      </c>
      <c r="H5" s="3756"/>
      <c r="I5" s="3755" t="s">
        <v>1675</v>
      </c>
      <c r="J5" s="3756"/>
      <c r="K5" s="559"/>
      <c r="L5" s="2713"/>
      <c r="M5" s="2714"/>
      <c r="N5" s="2714"/>
      <c r="O5" s="2714"/>
      <c r="P5" s="3742"/>
      <c r="Q5" s="3743"/>
      <c r="R5" s="3748"/>
      <c r="S5" s="3749"/>
      <c r="T5" s="3748"/>
      <c r="U5" s="3749"/>
      <c r="V5" s="3752"/>
      <c r="W5" s="3752"/>
      <c r="X5" s="1355"/>
      <c r="Y5" s="3748"/>
      <c r="Z5" s="3749"/>
      <c r="AA5" s="3734"/>
      <c r="AB5" s="3734"/>
      <c r="AC5" s="3734"/>
    </row>
    <row r="6" spans="1:29" ht="15.75" thickBot="1">
      <c r="A6" s="360"/>
      <c r="B6" s="361"/>
      <c r="C6" s="3753" t="s">
        <v>1676</v>
      </c>
      <c r="D6" s="3754"/>
      <c r="E6" s="3760" t="s">
        <v>1676</v>
      </c>
      <c r="F6" s="3761"/>
      <c r="G6" s="3753" t="s">
        <v>1676</v>
      </c>
      <c r="H6" s="3754"/>
      <c r="I6" s="3753" t="s">
        <v>1676</v>
      </c>
      <c r="J6" s="3754"/>
      <c r="K6" s="559" t="s">
        <v>1677</v>
      </c>
      <c r="L6" s="2713"/>
      <c r="M6" s="2714"/>
      <c r="N6" s="2714"/>
      <c r="O6" s="2714"/>
      <c r="P6" s="3744"/>
      <c r="Q6" s="3745"/>
      <c r="R6" s="3748"/>
      <c r="S6" s="3749"/>
      <c r="T6" s="3750"/>
      <c r="U6" s="3751"/>
      <c r="V6" s="3752"/>
      <c r="W6" s="3752"/>
      <c r="X6" s="1355"/>
      <c r="Y6" s="3750"/>
      <c r="Z6" s="3751"/>
      <c r="AA6" s="3735"/>
      <c r="AB6" s="3735"/>
      <c r="AC6" s="3735"/>
    </row>
    <row r="7" spans="1:29" s="108" customFormat="1" ht="15.75" thickBot="1">
      <c r="A7" s="362" t="s">
        <v>1678</v>
      </c>
      <c r="B7" s="363"/>
      <c r="C7" s="364">
        <f>'数据-取费表'!B2</f>
        <v>45051</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57" t="s">
        <v>1679</v>
      </c>
      <c r="Q7" s="3759"/>
      <c r="R7" s="701" t="s">
        <v>14</v>
      </c>
      <c r="S7" s="702">
        <f t="shared" ref="S7:S14" si="0">F7</f>
        <v>0</v>
      </c>
      <c r="T7" s="701" t="s">
        <v>14</v>
      </c>
      <c r="U7" s="702">
        <f t="shared" ref="U7:U14" si="1">H7</f>
        <v>0</v>
      </c>
      <c r="V7" s="701" t="s">
        <v>14</v>
      </c>
      <c r="W7" s="702">
        <f t="shared" ref="W7:W14" si="2">J7</f>
        <v>0</v>
      </c>
      <c r="X7" s="703"/>
      <c r="Y7" s="3757" t="s">
        <v>1679</v>
      </c>
      <c r="Z7" s="3758"/>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57" t="s">
        <v>1682</v>
      </c>
      <c r="Q8" s="3758"/>
      <c r="R8" s="701" t="s">
        <v>14</v>
      </c>
      <c r="S8" s="702">
        <f t="shared" si="0"/>
        <v>100</v>
      </c>
      <c r="T8" s="701" t="s">
        <v>14</v>
      </c>
      <c r="U8" s="702">
        <f t="shared" si="1"/>
        <v>100</v>
      </c>
      <c r="V8" s="701" t="s">
        <v>14</v>
      </c>
      <c r="W8" s="702">
        <f t="shared" si="2"/>
        <v>100</v>
      </c>
      <c r="X8" s="703"/>
      <c r="Y8" s="3757" t="s">
        <v>1682</v>
      </c>
      <c r="Z8" s="3758"/>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1" t="s">
        <v>1685</v>
      </c>
      <c r="Q9" s="1343" t="str">
        <f t="shared" ref="Q9:Q14" si="6">B9</f>
        <v>用途</v>
      </c>
      <c r="R9" s="701" t="s">
        <v>14</v>
      </c>
      <c r="S9" s="702">
        <f t="shared" si="0"/>
        <v>100</v>
      </c>
      <c r="T9" s="701" t="s">
        <v>14</v>
      </c>
      <c r="U9" s="702">
        <f t="shared" si="1"/>
        <v>100</v>
      </c>
      <c r="V9" s="701" t="s">
        <v>14</v>
      </c>
      <c r="W9" s="702">
        <f t="shared" si="2"/>
        <v>100</v>
      </c>
      <c r="X9" s="703"/>
      <c r="Y9" s="3577"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1"/>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1"/>
      <c r="Q11" s="1343">
        <f t="shared" si="6"/>
        <v>111</v>
      </c>
      <c r="R11" s="701" t="s">
        <v>14</v>
      </c>
      <c r="S11" s="702">
        <f t="shared" si="0"/>
        <v>100</v>
      </c>
      <c r="T11" s="701" t="s">
        <v>14</v>
      </c>
      <c r="U11" s="702">
        <f t="shared" si="1"/>
        <v>100</v>
      </c>
      <c r="V11" s="701" t="s">
        <v>14</v>
      </c>
      <c r="W11" s="702">
        <f t="shared" si="2"/>
        <v>100</v>
      </c>
      <c r="X11" s="703"/>
      <c r="Y11" s="357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1"/>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21"/>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99.75">
      <c r="A14" s="391" t="s">
        <v>1689</v>
      </c>
      <c r="B14" s="61" t="s">
        <v>1832</v>
      </c>
      <c r="C14" s="1971" t="str">
        <f>IF(B1="工业",估价对象房地状况!G4,估价对象房地状况!C6)</f>
        <v>周边有75、110、420路及地铁2号、6号线，周边道路密集，停车便捷程度，综合评价交通便捷度好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3" t="s">
        <v>1690</v>
      </c>
      <c r="Q14" s="1352" t="str">
        <f t="shared" si="6"/>
        <v>交通便捷度</v>
      </c>
      <c r="R14" s="705" t="s">
        <v>14</v>
      </c>
      <c r="S14" s="706">
        <f t="shared" si="0"/>
        <v>100</v>
      </c>
      <c r="T14" s="705" t="s">
        <v>14</v>
      </c>
      <c r="U14" s="706">
        <f t="shared" si="1"/>
        <v>100</v>
      </c>
      <c r="V14" s="705" t="s">
        <v>14</v>
      </c>
      <c r="W14" s="706">
        <f t="shared" si="2"/>
        <v>100</v>
      </c>
      <c r="X14" s="1355"/>
      <c r="Y14" s="3723"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4"/>
      <c r="Q15" s="1352"/>
      <c r="R15" s="705"/>
      <c r="S15" s="706"/>
      <c r="T15" s="705"/>
      <c r="U15" s="706"/>
      <c r="V15" s="705"/>
      <c r="W15" s="706"/>
      <c r="X15" s="1355"/>
      <c r="Y15" s="3724"/>
      <c r="Z15" s="1356"/>
      <c r="AA15" s="1353">
        <v>1</v>
      </c>
      <c r="AB15" s="1353">
        <v>1</v>
      </c>
      <c r="AC15" s="1353">
        <v>1</v>
      </c>
    </row>
    <row r="16" spans="1:29" ht="85.5">
      <c r="A16" s="379"/>
      <c r="B16" s="402" t="s">
        <v>1811</v>
      </c>
      <c r="C16" s="1900" t="str">
        <f>IF(B1="工业",估价对象房地状况!G5,估价对象房地状况!C7)</f>
        <v>估价对象所在区域银行、购物场所、学校等公共配套设施齐备，综合评价公共配套设施水平好。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4"/>
      <c r="Q16" s="1352" t="str">
        <f>B16</f>
        <v>公共配套设施</v>
      </c>
      <c r="R16" s="705" t="s">
        <v>14</v>
      </c>
      <c r="S16" s="706">
        <f>F16</f>
        <v>100</v>
      </c>
      <c r="T16" s="705" t="s">
        <v>14</v>
      </c>
      <c r="U16" s="706">
        <f>H16</f>
        <v>100</v>
      </c>
      <c r="V16" s="705" t="s">
        <v>14</v>
      </c>
      <c r="W16" s="706">
        <f>J16</f>
        <v>100</v>
      </c>
      <c r="X16" s="1355"/>
      <c r="Y16" s="372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4"/>
      <c r="Q17" s="1352"/>
      <c r="R17" s="705"/>
      <c r="S17" s="706"/>
      <c r="T17" s="705"/>
      <c r="U17" s="706"/>
      <c r="V17" s="705"/>
      <c r="W17" s="706"/>
      <c r="X17" s="1355"/>
      <c r="Y17" s="3724"/>
      <c r="Z17" s="1356"/>
      <c r="AA17" s="1353">
        <v>1</v>
      </c>
      <c r="AB17" s="1353">
        <v>1</v>
      </c>
      <c r="AC17" s="1353">
        <v>1</v>
      </c>
    </row>
    <row r="18" spans="1:29" ht="42.75">
      <c r="A18" s="379"/>
      <c r="B18" s="1131" t="s">
        <v>1812</v>
      </c>
      <c r="C18" s="1900" t="str">
        <f>IF(B1="工业",估价对象房地状况!G6,估价对象房地状况!C8)</f>
        <v>估价对象所在区域基础设施水平“七通一平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4"/>
      <c r="Q18" s="1352" t="str">
        <f>B18</f>
        <v>基础设施水平</v>
      </c>
      <c r="R18" s="705" t="s">
        <v>14</v>
      </c>
      <c r="S18" s="706">
        <f>F18</f>
        <v>100</v>
      </c>
      <c r="T18" s="705" t="s">
        <v>14</v>
      </c>
      <c r="U18" s="706">
        <f>H18</f>
        <v>100</v>
      </c>
      <c r="V18" s="705" t="s">
        <v>14</v>
      </c>
      <c r="W18" s="706">
        <f>J18</f>
        <v>100</v>
      </c>
      <c r="X18" s="1355"/>
      <c r="Y18" s="372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4"/>
      <c r="Q19" s="1352"/>
      <c r="R19" s="705"/>
      <c r="S19" s="706"/>
      <c r="T19" s="705"/>
      <c r="U19" s="706"/>
      <c r="V19" s="705"/>
      <c r="W19" s="706"/>
      <c r="X19" s="1355"/>
      <c r="Y19" s="3724"/>
      <c r="Z19" s="1356"/>
      <c r="AA19" s="1353">
        <v>1</v>
      </c>
      <c r="AB19" s="1353">
        <v>1</v>
      </c>
      <c r="AC19" s="1353">
        <v>1</v>
      </c>
    </row>
    <row r="20" spans="1:29" ht="99.75">
      <c r="A20" s="379"/>
      <c r="B20" s="402" t="s">
        <v>1833</v>
      </c>
      <c r="C20" s="1900" t="str">
        <f>IF(B1="工业",估价对象房地状况!G7,估价对象房地状况!C9)</f>
        <v>区域内有东城职业大学、日坛公园、富国海底世界等自然及人文环境，综合评价自然及人文环境状况较好。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4"/>
      <c r="Q20" s="1352" t="str">
        <f>B20</f>
        <v>自然及人文环境</v>
      </c>
      <c r="R20" s="705" t="s">
        <v>14</v>
      </c>
      <c r="S20" s="706">
        <f>F20</f>
        <v>100</v>
      </c>
      <c r="T20" s="705" t="s">
        <v>14</v>
      </c>
      <c r="U20" s="706">
        <f>H20</f>
        <v>100</v>
      </c>
      <c r="V20" s="705" t="s">
        <v>14</v>
      </c>
      <c r="W20" s="706">
        <f>J20</f>
        <v>100</v>
      </c>
      <c r="X20" s="1355"/>
      <c r="Y20" s="372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4"/>
      <c r="Q21" s="1352"/>
      <c r="R21" s="705"/>
      <c r="S21" s="706"/>
      <c r="T21" s="705"/>
      <c r="U21" s="706"/>
      <c r="V21" s="705"/>
      <c r="W21" s="706"/>
      <c r="X21" s="1355"/>
      <c r="Y21" s="3724"/>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4"/>
      <c r="Q22" s="1352" t="str">
        <f>B22</f>
        <v>楼层</v>
      </c>
      <c r="R22" s="705" t="s">
        <v>14</v>
      </c>
      <c r="S22" s="706">
        <f>F22</f>
        <v>100</v>
      </c>
      <c r="T22" s="705" t="s">
        <v>14</v>
      </c>
      <c r="U22" s="706">
        <f>H22</f>
        <v>100</v>
      </c>
      <c r="V22" s="705" t="s">
        <v>14</v>
      </c>
      <c r="W22" s="706">
        <f>J22</f>
        <v>100</v>
      </c>
      <c r="X22" s="1355"/>
      <c r="Y22" s="372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4"/>
      <c r="Q23" s="1352">
        <f>B23</f>
        <v>111</v>
      </c>
      <c r="R23" s="705" t="s">
        <v>14</v>
      </c>
      <c r="S23" s="706">
        <f>F23</f>
        <v>100</v>
      </c>
      <c r="T23" s="705" t="s">
        <v>14</v>
      </c>
      <c r="U23" s="706">
        <f>H23</f>
        <v>100</v>
      </c>
      <c r="V23" s="705" t="s">
        <v>14</v>
      </c>
      <c r="W23" s="706">
        <f>J23</f>
        <v>100</v>
      </c>
      <c r="X23" s="1355"/>
      <c r="Y23" s="372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4"/>
      <c r="Q24" s="1352">
        <f t="shared" ref="Q24:Q34" si="11">B24</f>
        <v>111</v>
      </c>
      <c r="R24" s="705" t="s">
        <v>14</v>
      </c>
      <c r="S24" s="706">
        <f>F24</f>
        <v>100</v>
      </c>
      <c r="T24" s="705" t="s">
        <v>14</v>
      </c>
      <c r="U24" s="706">
        <f>H24</f>
        <v>100</v>
      </c>
      <c r="V24" s="705" t="s">
        <v>14</v>
      </c>
      <c r="W24" s="706">
        <f>J24</f>
        <v>100</v>
      </c>
      <c r="X24" s="1355"/>
      <c r="Y24" s="372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24"/>
      <c r="Q25" s="1343">
        <f t="shared" si="11"/>
        <v>111</v>
      </c>
      <c r="R25" s="701" t="s">
        <v>14</v>
      </c>
      <c r="S25" s="702">
        <f>F25</f>
        <v>100</v>
      </c>
      <c r="T25" s="701" t="s">
        <v>14</v>
      </c>
      <c r="U25" s="702">
        <f>H25</f>
        <v>100</v>
      </c>
      <c r="V25" s="701" t="s">
        <v>14</v>
      </c>
      <c r="W25" s="702">
        <f>J25</f>
        <v>100</v>
      </c>
      <c r="X25" s="703"/>
      <c r="Y25" s="3724"/>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7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8"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8"/>
      <c r="Q27" s="707" t="str">
        <f t="shared" si="11"/>
        <v>成新率</v>
      </c>
      <c r="R27" s="708" t="s">
        <v>14</v>
      </c>
      <c r="S27" s="709" t="e">
        <f t="shared" si="12"/>
        <v>#N/A</v>
      </c>
      <c r="T27" s="708" t="s">
        <v>14</v>
      </c>
      <c r="U27" s="709" t="e">
        <f t="shared" si="13"/>
        <v>#N/A</v>
      </c>
      <c r="V27" s="708" t="s">
        <v>14</v>
      </c>
      <c r="W27" s="709" t="e">
        <f t="shared" si="14"/>
        <v>#N/A</v>
      </c>
      <c r="X27" s="710"/>
      <c r="Y27" s="3728"/>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8"/>
      <c r="Q28" s="1352" t="str">
        <f t="shared" si="11"/>
        <v>物业等级</v>
      </c>
      <c r="R28" s="705" t="s">
        <v>14</v>
      </c>
      <c r="S28" s="706">
        <f t="shared" si="12"/>
        <v>100</v>
      </c>
      <c r="T28" s="705" t="s">
        <v>14</v>
      </c>
      <c r="U28" s="706">
        <f t="shared" si="13"/>
        <v>100</v>
      </c>
      <c r="V28" s="705" t="s">
        <v>14</v>
      </c>
      <c r="W28" s="706">
        <f t="shared" si="14"/>
        <v>100</v>
      </c>
      <c r="X28" s="1355"/>
      <c r="Y28" s="3728"/>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8"/>
      <c r="Q29" s="1352" t="str">
        <f t="shared" si="11"/>
        <v>有无电梯</v>
      </c>
      <c r="R29" s="705" t="s">
        <v>14</v>
      </c>
      <c r="S29" s="706">
        <f t="shared" si="12"/>
        <v>100</v>
      </c>
      <c r="T29" s="705" t="s">
        <v>14</v>
      </c>
      <c r="U29" s="706">
        <f t="shared" si="13"/>
        <v>100</v>
      </c>
      <c r="V29" s="705" t="s">
        <v>14</v>
      </c>
      <c r="W29" s="706">
        <f t="shared" si="14"/>
        <v>100</v>
      </c>
      <c r="X29" s="1355"/>
      <c r="Y29" s="3728"/>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8"/>
      <c r="Q30" s="1352" t="str">
        <f t="shared" si="11"/>
        <v>建筑面积</v>
      </c>
      <c r="R30" s="705" t="s">
        <v>14</v>
      </c>
      <c r="S30" s="706" t="e">
        <f t="shared" si="12"/>
        <v>#N/A</v>
      </c>
      <c r="T30" s="705" t="s">
        <v>14</v>
      </c>
      <c r="U30" s="706" t="e">
        <f t="shared" si="13"/>
        <v>#N/A</v>
      </c>
      <c r="V30" s="705" t="s">
        <v>14</v>
      </c>
      <c r="W30" s="706" t="e">
        <f t="shared" si="14"/>
        <v>#N/A</v>
      </c>
      <c r="X30" s="1355"/>
      <c r="Y30" s="3728"/>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8"/>
      <c r="Q31" s="1343" t="str">
        <f t="shared" si="11"/>
        <v>是否封闭</v>
      </c>
      <c r="R31" s="701" t="s">
        <v>14</v>
      </c>
      <c r="S31" s="702">
        <f t="shared" si="12"/>
        <v>100</v>
      </c>
      <c r="T31" s="701" t="s">
        <v>14</v>
      </c>
      <c r="U31" s="702">
        <f t="shared" si="13"/>
        <v>100</v>
      </c>
      <c r="V31" s="701" t="s">
        <v>14</v>
      </c>
      <c r="W31" s="702">
        <f t="shared" si="14"/>
        <v>100</v>
      </c>
      <c r="X31" s="703"/>
      <c r="Y31" s="372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8" t="s">
        <v>1695</v>
      </c>
      <c r="Q32" s="1352">
        <f t="shared" si="11"/>
        <v>111</v>
      </c>
      <c r="R32" s="705" t="s">
        <v>14</v>
      </c>
      <c r="S32" s="706">
        <f t="shared" si="12"/>
        <v>100</v>
      </c>
      <c r="T32" s="705" t="s">
        <v>14</v>
      </c>
      <c r="U32" s="706">
        <f t="shared" si="13"/>
        <v>100</v>
      </c>
      <c r="V32" s="705" t="s">
        <v>14</v>
      </c>
      <c r="W32" s="706">
        <f t="shared" si="14"/>
        <v>100</v>
      </c>
      <c r="X32" s="1355"/>
      <c r="Y32" s="3728"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8"/>
      <c r="Q33" s="1352">
        <f t="shared" si="11"/>
        <v>111</v>
      </c>
      <c r="R33" s="705" t="s">
        <v>14</v>
      </c>
      <c r="S33" s="706">
        <f t="shared" si="12"/>
        <v>100</v>
      </c>
      <c r="T33" s="705" t="s">
        <v>14</v>
      </c>
      <c r="U33" s="706">
        <f t="shared" si="13"/>
        <v>100</v>
      </c>
      <c r="V33" s="705" t="s">
        <v>14</v>
      </c>
      <c r="W33" s="706">
        <f t="shared" si="14"/>
        <v>100</v>
      </c>
      <c r="X33" s="1355"/>
      <c r="Y33" s="372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28"/>
      <c r="Q34" s="1352">
        <f t="shared" si="11"/>
        <v>111</v>
      </c>
      <c r="R34" s="705" t="s">
        <v>14</v>
      </c>
      <c r="S34" s="706">
        <f t="shared" si="12"/>
        <v>100</v>
      </c>
      <c r="T34" s="705" t="s">
        <v>14</v>
      </c>
      <c r="U34" s="706">
        <f t="shared" si="13"/>
        <v>100</v>
      </c>
      <c r="V34" s="705" t="s">
        <v>14</v>
      </c>
      <c r="W34" s="706">
        <f t="shared" si="14"/>
        <v>100</v>
      </c>
      <c r="X34" s="1355"/>
      <c r="Y34" s="3728"/>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721" t="str">
        <f>A35</f>
        <v>成交单价（元/平方米）</v>
      </c>
      <c r="Q35" s="3721"/>
      <c r="R35" s="3722">
        <f>E35</f>
        <v>0</v>
      </c>
      <c r="S35" s="3722"/>
      <c r="T35" s="3722">
        <f>G35</f>
        <v>0</v>
      </c>
      <c r="U35" s="3722"/>
      <c r="V35" s="3722">
        <f>I35</f>
        <v>0</v>
      </c>
      <c r="W35" s="3722"/>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721" t="str">
        <f>A36</f>
        <v>比较价值（元/平方米）</v>
      </c>
      <c r="Q36" s="3721"/>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718" t="str">
        <f>A37</f>
        <v>估价对象XX用房的比较价值（楼面单价，元/平方米）</v>
      </c>
      <c r="Q37" s="3719"/>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36" t="s">
        <v>1769</v>
      </c>
      <c r="D4" s="3737"/>
      <c r="E4" s="3738" t="s">
        <v>1770</v>
      </c>
      <c r="F4" s="3739"/>
      <c r="G4" s="3736" t="s">
        <v>1771</v>
      </c>
      <c r="H4" s="3737"/>
      <c r="I4" s="3736" t="s">
        <v>1772</v>
      </c>
      <c r="J4" s="3737"/>
      <c r="K4" s="559" t="s">
        <v>1773</v>
      </c>
      <c r="L4" s="2713"/>
      <c r="M4" s="2714"/>
      <c r="N4" s="2714"/>
      <c r="O4" s="2714"/>
      <c r="P4" s="3740" t="s">
        <v>1774</v>
      </c>
      <c r="Q4" s="3741"/>
      <c r="R4" s="3746" t="s">
        <v>1770</v>
      </c>
      <c r="S4" s="3747"/>
      <c r="T4" s="3746" t="s">
        <v>1771</v>
      </c>
      <c r="U4" s="3747"/>
      <c r="V4" s="3752" t="s">
        <v>1772</v>
      </c>
      <c r="W4" s="3752"/>
      <c r="X4" s="1355"/>
      <c r="Y4" s="3746" t="s">
        <v>1774</v>
      </c>
      <c r="Z4" s="3747"/>
      <c r="AA4" s="3733" t="s">
        <v>1770</v>
      </c>
      <c r="AB4" s="3734" t="s">
        <v>1771</v>
      </c>
      <c r="AC4" s="3733" t="s">
        <v>1772</v>
      </c>
    </row>
    <row r="5" spans="1:30" ht="15">
      <c r="A5" s="358"/>
      <c r="B5" s="359"/>
      <c r="C5" s="3755" t="s">
        <v>1672</v>
      </c>
      <c r="D5" s="3756"/>
      <c r="E5" s="3762" t="s">
        <v>1673</v>
      </c>
      <c r="F5" s="3763"/>
      <c r="G5" s="3755" t="s">
        <v>1674</v>
      </c>
      <c r="H5" s="3756"/>
      <c r="I5" s="3755" t="s">
        <v>1675</v>
      </c>
      <c r="J5" s="3756"/>
      <c r="K5" s="559"/>
      <c r="L5" s="2713"/>
      <c r="M5" s="2714"/>
      <c r="N5" s="2714"/>
      <c r="O5" s="2714"/>
      <c r="P5" s="3742"/>
      <c r="Q5" s="3743"/>
      <c r="R5" s="3748"/>
      <c r="S5" s="3749"/>
      <c r="T5" s="3748"/>
      <c r="U5" s="3749"/>
      <c r="V5" s="3752"/>
      <c r="W5" s="3752"/>
      <c r="X5" s="1355"/>
      <c r="Y5" s="3748"/>
      <c r="Z5" s="3749"/>
      <c r="AA5" s="3734"/>
      <c r="AB5" s="3734"/>
      <c r="AC5" s="3734"/>
    </row>
    <row r="6" spans="1:30" ht="15.75" thickBot="1">
      <c r="A6" s="360"/>
      <c r="B6" s="361"/>
      <c r="C6" s="3753" t="s">
        <v>1676</v>
      </c>
      <c r="D6" s="3754"/>
      <c r="E6" s="3760" t="s">
        <v>1676</v>
      </c>
      <c r="F6" s="3761"/>
      <c r="G6" s="3753" t="s">
        <v>1676</v>
      </c>
      <c r="H6" s="3754"/>
      <c r="I6" s="3753" t="s">
        <v>1676</v>
      </c>
      <c r="J6" s="3754"/>
      <c r="K6" s="559" t="s">
        <v>1677</v>
      </c>
      <c r="L6" s="2713"/>
      <c r="M6" s="2714"/>
      <c r="N6" s="2714"/>
      <c r="O6" s="2714"/>
      <c r="P6" s="3744"/>
      <c r="Q6" s="3745"/>
      <c r="R6" s="3748"/>
      <c r="S6" s="3749"/>
      <c r="T6" s="3750"/>
      <c r="U6" s="3751"/>
      <c r="V6" s="3752"/>
      <c r="W6" s="3752"/>
      <c r="X6" s="1355"/>
      <c r="Y6" s="3750"/>
      <c r="Z6" s="3751"/>
      <c r="AA6" s="3735"/>
      <c r="AB6" s="3735"/>
      <c r="AC6" s="3735"/>
    </row>
    <row r="7" spans="1:30" s="108" customFormat="1" ht="15.75" thickBot="1">
      <c r="A7" s="362" t="s">
        <v>1678</v>
      </c>
      <c r="B7" s="363"/>
      <c r="C7" s="364">
        <f>'数据-取费表'!B2</f>
        <v>45051</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57" t="s">
        <v>1679</v>
      </c>
      <c r="Q7" s="3759"/>
      <c r="R7" s="701" t="s">
        <v>14</v>
      </c>
      <c r="S7" s="702">
        <f t="shared" ref="S7:S15" si="0">F7</f>
        <v>0</v>
      </c>
      <c r="T7" s="701" t="s">
        <v>14</v>
      </c>
      <c r="U7" s="702">
        <f t="shared" ref="U7:U15" si="1">H7</f>
        <v>0</v>
      </c>
      <c r="V7" s="701" t="s">
        <v>14</v>
      </c>
      <c r="W7" s="702">
        <f t="shared" ref="W7:W15" si="2">J7</f>
        <v>0</v>
      </c>
      <c r="X7" s="703"/>
      <c r="Y7" s="3757" t="s">
        <v>1679</v>
      </c>
      <c r="Z7" s="3758"/>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57" t="s">
        <v>1682</v>
      </c>
      <c r="Q8" s="3758"/>
      <c r="R8" s="701" t="s">
        <v>14</v>
      </c>
      <c r="S8" s="702">
        <f t="shared" si="0"/>
        <v>0</v>
      </c>
      <c r="T8" s="701" t="s">
        <v>14</v>
      </c>
      <c r="U8" s="702">
        <f t="shared" si="1"/>
        <v>0</v>
      </c>
      <c r="V8" s="701" t="s">
        <v>14</v>
      </c>
      <c r="W8" s="702">
        <f t="shared" si="2"/>
        <v>0</v>
      </c>
      <c r="X8" s="703"/>
      <c r="Y8" s="3757" t="s">
        <v>1682</v>
      </c>
      <c r="Z8" s="3758"/>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21" t="s">
        <v>1685</v>
      </c>
      <c r="Q9" s="1343" t="str">
        <f t="shared" ref="Q9:Q15" si="6">B9</f>
        <v>用途</v>
      </c>
      <c r="R9" s="701" t="s">
        <v>14</v>
      </c>
      <c r="S9" s="702">
        <f t="shared" si="0"/>
        <v>100</v>
      </c>
      <c r="T9" s="701" t="s">
        <v>14</v>
      </c>
      <c r="U9" s="702">
        <f t="shared" si="1"/>
        <v>100</v>
      </c>
      <c r="V9" s="701" t="s">
        <v>14</v>
      </c>
      <c r="W9" s="702">
        <f t="shared" si="2"/>
        <v>100</v>
      </c>
      <c r="X9" s="703"/>
      <c r="Y9" s="3577"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210</v>
      </c>
      <c r="G10" s="414"/>
      <c r="H10" s="127">
        <f>ROUND(100/'数据-取费表'!G16,0)</f>
        <v>210</v>
      </c>
      <c r="I10" s="414"/>
      <c r="J10" s="127">
        <f>ROUND(100/'数据-取费表'!G16,0)</f>
        <v>210</v>
      </c>
      <c r="K10" s="620"/>
      <c r="L10" s="2717"/>
      <c r="M10" s="2718"/>
      <c r="N10" s="2718"/>
      <c r="O10" s="2771"/>
      <c r="P10" s="3721"/>
      <c r="Q10" s="1343" t="str">
        <f t="shared" si="6"/>
        <v>土地使用年限（年）</v>
      </c>
      <c r="R10" s="701" t="s">
        <v>14</v>
      </c>
      <c r="S10" s="702">
        <f t="shared" si="0"/>
        <v>210</v>
      </c>
      <c r="T10" s="701" t="s">
        <v>14</v>
      </c>
      <c r="U10" s="702">
        <f t="shared" si="1"/>
        <v>210</v>
      </c>
      <c r="V10" s="701" t="s">
        <v>14</v>
      </c>
      <c r="W10" s="702">
        <f t="shared" si="2"/>
        <v>210</v>
      </c>
      <c r="X10" s="703"/>
      <c r="Y10" s="3577"/>
      <c r="Z10" s="52" t="str">
        <f t="shared" si="7"/>
        <v>土地使用年限（年）</v>
      </c>
      <c r="AA10" s="704">
        <f t="shared" si="3"/>
        <v>0.47619047619047616</v>
      </c>
      <c r="AB10" s="704">
        <f t="shared" si="4"/>
        <v>0.47619047619047616</v>
      </c>
      <c r="AC10" s="704">
        <f t="shared" si="5"/>
        <v>0.47619047619047616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1"/>
      <c r="Q11" s="1343" t="str">
        <f t="shared" si="6"/>
        <v>容积率</v>
      </c>
      <c r="R11" s="701" t="s">
        <v>14</v>
      </c>
      <c r="S11" s="702" t="e">
        <f t="shared" si="0"/>
        <v>#N/A</v>
      </c>
      <c r="T11" s="701" t="s">
        <v>14</v>
      </c>
      <c r="U11" s="702" t="e">
        <f t="shared" si="1"/>
        <v>#N/A</v>
      </c>
      <c r="V11" s="701" t="s">
        <v>14</v>
      </c>
      <c r="W11" s="702" t="e">
        <f t="shared" si="2"/>
        <v>#N/A</v>
      </c>
      <c r="X11" s="703"/>
      <c r="Y11" s="3577"/>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1"/>
      <c r="Q12" s="1343" t="str">
        <f t="shared" si="6"/>
        <v>配建</v>
      </c>
      <c r="R12" s="701" t="s">
        <v>14</v>
      </c>
      <c r="S12" s="702">
        <f t="shared" si="0"/>
        <v>100</v>
      </c>
      <c r="T12" s="701" t="s">
        <v>14</v>
      </c>
      <c r="U12" s="702">
        <f t="shared" si="1"/>
        <v>100</v>
      </c>
      <c r="V12" s="701" t="s">
        <v>14</v>
      </c>
      <c r="W12" s="702">
        <f t="shared" si="2"/>
        <v>100</v>
      </c>
      <c r="X12" s="703"/>
      <c r="Y12" s="357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1"/>
      <c r="Q13" s="1343">
        <f t="shared" si="6"/>
        <v>111</v>
      </c>
      <c r="R13" s="701" t="s">
        <v>14</v>
      </c>
      <c r="S13" s="702">
        <f t="shared" si="0"/>
        <v>100</v>
      </c>
      <c r="T13" s="701" t="s">
        <v>14</v>
      </c>
      <c r="U13" s="702">
        <f t="shared" si="1"/>
        <v>100</v>
      </c>
      <c r="V13" s="701" t="s">
        <v>14</v>
      </c>
      <c r="W13" s="702">
        <f t="shared" si="2"/>
        <v>100</v>
      </c>
      <c r="X13" s="703"/>
      <c r="Y13" s="357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1"/>
      <c r="Q14" s="1343">
        <f t="shared" si="6"/>
        <v>111</v>
      </c>
      <c r="R14" s="701" t="s">
        <v>14</v>
      </c>
      <c r="S14" s="702">
        <f t="shared" si="0"/>
        <v>100</v>
      </c>
      <c r="T14" s="701" t="s">
        <v>14</v>
      </c>
      <c r="U14" s="702">
        <f t="shared" si="1"/>
        <v>100</v>
      </c>
      <c r="V14" s="701" t="s">
        <v>14</v>
      </c>
      <c r="W14" s="702">
        <f t="shared" si="2"/>
        <v>100</v>
      </c>
      <c r="X14" s="703"/>
      <c r="Y14" s="3577"/>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3" t="s">
        <v>1690</v>
      </c>
      <c r="Q15" s="1352" t="str">
        <f t="shared" si="6"/>
        <v>居住社区成熟度</v>
      </c>
      <c r="R15" s="705" t="s">
        <v>14</v>
      </c>
      <c r="S15" s="706">
        <f t="shared" si="0"/>
        <v>100</v>
      </c>
      <c r="T15" s="705" t="s">
        <v>14</v>
      </c>
      <c r="U15" s="706">
        <f t="shared" si="1"/>
        <v>100</v>
      </c>
      <c r="V15" s="705" t="s">
        <v>14</v>
      </c>
      <c r="W15" s="706">
        <f t="shared" si="2"/>
        <v>100</v>
      </c>
      <c r="X15" s="1355"/>
      <c r="Y15" s="3723"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4"/>
      <c r="Q16" s="1352"/>
      <c r="R16" s="705"/>
      <c r="S16" s="706"/>
      <c r="T16" s="705"/>
      <c r="U16" s="706"/>
      <c r="V16" s="705"/>
      <c r="W16" s="706"/>
      <c r="X16" s="1355"/>
      <c r="Y16" s="3724"/>
      <c r="Z16" s="1356"/>
      <c r="AA16" s="1353">
        <v>1</v>
      </c>
      <c r="AB16" s="1353">
        <v>1</v>
      </c>
      <c r="AC16" s="1353">
        <v>1</v>
      </c>
    </row>
    <row r="17" spans="1:29" ht="114">
      <c r="A17" s="379"/>
      <c r="B17" s="402" t="s">
        <v>1776</v>
      </c>
      <c r="C17" s="1955" t="str">
        <f>估价对象房地状况!C16</f>
        <v>估价对象位于朝阳门商圈，周边商业氛围成熟，有悠唐购物中心、银河SOHO等购物中心，人流量大，商业繁华度好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4"/>
      <c r="Q17" s="1352" t="str">
        <f>B17</f>
        <v>商业繁华度</v>
      </c>
      <c r="R17" s="705" t="s">
        <v>14</v>
      </c>
      <c r="S17" s="706">
        <f>F17</f>
        <v>100</v>
      </c>
      <c r="T17" s="705" t="s">
        <v>14</v>
      </c>
      <c r="U17" s="706">
        <f>H17</f>
        <v>100</v>
      </c>
      <c r="V17" s="705" t="s">
        <v>14</v>
      </c>
      <c r="W17" s="706">
        <f>J17</f>
        <v>100</v>
      </c>
      <c r="X17" s="1355"/>
      <c r="Y17" s="372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4"/>
      <c r="Q18" s="1352"/>
      <c r="R18" s="705"/>
      <c r="S18" s="706"/>
      <c r="T18" s="705"/>
      <c r="U18" s="706"/>
      <c r="V18" s="705"/>
      <c r="W18" s="706"/>
      <c r="X18" s="1355"/>
      <c r="Y18" s="3724"/>
      <c r="Z18" s="1356"/>
      <c r="AA18" s="1353">
        <v>1</v>
      </c>
      <c r="AB18" s="1353">
        <v>1</v>
      </c>
      <c r="AC18" s="1353">
        <v>1</v>
      </c>
    </row>
    <row r="19" spans="1:29" ht="15">
      <c r="A19" s="379"/>
      <c r="B19" s="402" t="s">
        <v>1810</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4"/>
      <c r="Q19" s="1352" t="str">
        <f>B19</f>
        <v>办公集聚程度</v>
      </c>
      <c r="R19" s="705" t="s">
        <v>14</v>
      </c>
      <c r="S19" s="706">
        <f>F19</f>
        <v>100</v>
      </c>
      <c r="T19" s="705" t="s">
        <v>14</v>
      </c>
      <c r="U19" s="706">
        <f>H19</f>
        <v>100</v>
      </c>
      <c r="V19" s="705" t="s">
        <v>14</v>
      </c>
      <c r="W19" s="706">
        <f>J19</f>
        <v>100</v>
      </c>
      <c r="X19" s="1355"/>
      <c r="Y19" s="372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4"/>
      <c r="Q20" s="1352"/>
      <c r="R20" s="705"/>
      <c r="S20" s="706"/>
      <c r="T20" s="705"/>
      <c r="U20" s="706"/>
      <c r="V20" s="705"/>
      <c r="W20" s="706"/>
      <c r="X20" s="1355"/>
      <c r="Y20" s="3724"/>
      <c r="Z20" s="1356"/>
      <c r="AA20" s="1353">
        <v>1</v>
      </c>
      <c r="AB20" s="1353">
        <v>1</v>
      </c>
      <c r="AC20" s="1353">
        <v>1</v>
      </c>
    </row>
    <row r="21" spans="1:29" ht="99.75">
      <c r="A21" s="379"/>
      <c r="B21" s="402" t="s">
        <v>1832</v>
      </c>
      <c r="C21" s="1900" t="str">
        <f>估价对象房地状况!C18</f>
        <v>周边有75、110、420路及地铁2号、6号线，周边道路密集，停车便捷程度，综合评价交通便捷度好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4"/>
      <c r="Q21" s="1352" t="str">
        <f>B21</f>
        <v>交通便捷度</v>
      </c>
      <c r="R21" s="705" t="s">
        <v>14</v>
      </c>
      <c r="S21" s="706">
        <f>F21</f>
        <v>100</v>
      </c>
      <c r="T21" s="705" t="s">
        <v>14</v>
      </c>
      <c r="U21" s="706">
        <f>H21</f>
        <v>100</v>
      </c>
      <c r="V21" s="705" t="s">
        <v>14</v>
      </c>
      <c r="W21" s="706">
        <f>J21</f>
        <v>100</v>
      </c>
      <c r="X21" s="1355"/>
      <c r="Y21" s="372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4"/>
      <c r="Q22" s="1352"/>
      <c r="R22" s="705"/>
      <c r="S22" s="706"/>
      <c r="T22" s="705"/>
      <c r="U22" s="706"/>
      <c r="V22" s="705"/>
      <c r="W22" s="706"/>
      <c r="X22" s="1355"/>
      <c r="Y22" s="3724"/>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4"/>
      <c r="Q23" s="1352" t="str">
        <f t="shared" ref="Q23:Q37" si="8">B23</f>
        <v>区域土地利用方向</v>
      </c>
      <c r="R23" s="705" t="s">
        <v>14</v>
      </c>
      <c r="S23" s="706">
        <f>F23</f>
        <v>100</v>
      </c>
      <c r="T23" s="705" t="s">
        <v>14</v>
      </c>
      <c r="U23" s="706">
        <f>H23</f>
        <v>100</v>
      </c>
      <c r="V23" s="705" t="s">
        <v>14</v>
      </c>
      <c r="W23" s="706">
        <f>J23</f>
        <v>100</v>
      </c>
      <c r="X23" s="1355"/>
      <c r="Y23" s="372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4"/>
      <c r="Q24" s="1352"/>
      <c r="R24" s="705"/>
      <c r="S24" s="706"/>
      <c r="T24" s="705"/>
      <c r="U24" s="706"/>
      <c r="V24" s="705"/>
      <c r="W24" s="706"/>
      <c r="X24" s="1355"/>
      <c r="Y24" s="3724"/>
      <c r="Z24" s="1356"/>
      <c r="AA24" s="1353"/>
      <c r="AB24" s="1353"/>
      <c r="AC24" s="1353"/>
    </row>
    <row r="25" spans="1:29" ht="99.75">
      <c r="A25" s="358"/>
      <c r="B25" s="1131" t="s">
        <v>1871</v>
      </c>
      <c r="C25" s="1955" t="str">
        <f>估价对象房地状况!C20</f>
        <v>区域内有东城职业大学、日坛公园、富国海底世界等自然及人文环境，综合评价自然及人文环境状况较好。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4"/>
      <c r="Q25" s="1352" t="str">
        <f t="shared" si="8"/>
        <v>自然及人文环境状况</v>
      </c>
      <c r="R25" s="705" t="s">
        <v>14</v>
      </c>
      <c r="S25" s="706">
        <f>F25</f>
        <v>100</v>
      </c>
      <c r="T25" s="705" t="s">
        <v>14</v>
      </c>
      <c r="U25" s="706">
        <f>H25</f>
        <v>100</v>
      </c>
      <c r="V25" s="705" t="s">
        <v>14</v>
      </c>
      <c r="W25" s="706">
        <f>J25</f>
        <v>100</v>
      </c>
      <c r="X25" s="1355"/>
      <c r="Y25" s="372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4"/>
      <c r="Q26" s="1352"/>
      <c r="R26" s="705"/>
      <c r="S26" s="706"/>
      <c r="T26" s="705"/>
      <c r="U26" s="706"/>
      <c r="V26" s="705"/>
      <c r="W26" s="706"/>
      <c r="X26" s="1355"/>
      <c r="Y26" s="3724"/>
      <c r="Z26" s="1356"/>
      <c r="AA26" s="1353">
        <v>1</v>
      </c>
      <c r="AB26" s="1353">
        <v>1</v>
      </c>
      <c r="AC26" s="1353">
        <v>1</v>
      </c>
    </row>
    <row r="27" spans="1:29" s="108" customFormat="1" ht="85.5">
      <c r="A27" s="597"/>
      <c r="B27" s="1131" t="s">
        <v>1777</v>
      </c>
      <c r="C27" s="1900" t="str">
        <f>估价对象房地状况!C21</f>
        <v>估价对象所在区域银行、购物场所、学校等公共配套设施齐备，综合评价公共配套设施水平好。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4"/>
      <c r="Q27" s="1343" t="str">
        <f t="shared" si="8"/>
        <v>公共配套设施</v>
      </c>
      <c r="R27" s="701" t="s">
        <v>14</v>
      </c>
      <c r="S27" s="702">
        <f>F27</f>
        <v>100</v>
      </c>
      <c r="T27" s="701" t="s">
        <v>14</v>
      </c>
      <c r="U27" s="702">
        <f>H27</f>
        <v>100</v>
      </c>
      <c r="V27" s="701" t="s">
        <v>14</v>
      </c>
      <c r="W27" s="702">
        <f>J27</f>
        <v>100</v>
      </c>
      <c r="X27" s="703"/>
      <c r="Y27" s="372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24"/>
      <c r="Q28" s="1343"/>
      <c r="R28" s="701"/>
      <c r="S28" s="702"/>
      <c r="T28" s="701"/>
      <c r="U28" s="702"/>
      <c r="V28" s="701"/>
      <c r="W28" s="702"/>
      <c r="X28" s="703"/>
      <c r="Y28" s="3724"/>
      <c r="Z28" s="52"/>
      <c r="AA28" s="1353">
        <v>1</v>
      </c>
      <c r="AB28" s="1353">
        <v>1</v>
      </c>
      <c r="AC28" s="1353">
        <v>1</v>
      </c>
    </row>
    <row r="29" spans="1:29" s="108" customFormat="1" ht="42.75">
      <c r="A29" s="597"/>
      <c r="B29" s="1131" t="s">
        <v>1778</v>
      </c>
      <c r="C29" s="1900" t="str">
        <f>估价对象房地状况!C22</f>
        <v>估价对象所在区域基础设施水平“七通一平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4"/>
      <c r="Q29" s="1343" t="str">
        <f t="shared" ref="Q29" si="9">B29</f>
        <v>基础设施水平</v>
      </c>
      <c r="R29" s="701" t="s">
        <v>14</v>
      </c>
      <c r="S29" s="702">
        <f>F29</f>
        <v>100</v>
      </c>
      <c r="T29" s="701" t="s">
        <v>14</v>
      </c>
      <c r="U29" s="702">
        <f>H29</f>
        <v>100</v>
      </c>
      <c r="V29" s="701" t="s">
        <v>14</v>
      </c>
      <c r="W29" s="702">
        <f>J29</f>
        <v>100</v>
      </c>
      <c r="X29" s="703"/>
      <c r="Y29" s="372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24"/>
      <c r="Q30" s="1343"/>
      <c r="R30" s="701"/>
      <c r="S30" s="702"/>
      <c r="T30" s="701"/>
      <c r="U30" s="702"/>
      <c r="V30" s="701"/>
      <c r="W30" s="702"/>
      <c r="X30" s="703"/>
      <c r="Y30" s="3724"/>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4"/>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4"/>
      <c r="Q32" s="1352" t="str">
        <f t="shared" si="8"/>
        <v>毗邻道路的类型与等级</v>
      </c>
      <c r="R32" s="705" t="s">
        <v>14</v>
      </c>
      <c r="S32" s="706">
        <f t="shared" si="10"/>
        <v>100</v>
      </c>
      <c r="T32" s="705" t="s">
        <v>14</v>
      </c>
      <c r="U32" s="706">
        <f t="shared" si="11"/>
        <v>100</v>
      </c>
      <c r="V32" s="705" t="s">
        <v>14</v>
      </c>
      <c r="W32" s="706">
        <f t="shared" si="12"/>
        <v>100</v>
      </c>
      <c r="X32" s="1355"/>
      <c r="Y32" s="372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4"/>
      <c r="Q33" s="1352"/>
      <c r="R33" s="705"/>
      <c r="S33" s="706"/>
      <c r="T33" s="705"/>
      <c r="U33" s="706"/>
      <c r="V33" s="705"/>
      <c r="W33" s="706"/>
      <c r="X33" s="1355"/>
      <c r="Y33" s="3724"/>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4"/>
      <c r="Q34" s="1352" t="str">
        <f t="shared" si="8"/>
        <v>土地级别</v>
      </c>
      <c r="R34" s="705" t="s">
        <v>14</v>
      </c>
      <c r="S34" s="706">
        <f t="shared" si="10"/>
        <v>100</v>
      </c>
      <c r="T34" s="705" t="s">
        <v>14</v>
      </c>
      <c r="U34" s="706">
        <f t="shared" si="11"/>
        <v>100</v>
      </c>
      <c r="V34" s="705" t="s">
        <v>14</v>
      </c>
      <c r="W34" s="706">
        <f t="shared" si="12"/>
        <v>100</v>
      </c>
      <c r="X34" s="1355"/>
      <c r="Y34" s="372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4"/>
      <c r="Q35" s="1352">
        <f t="shared" si="8"/>
        <v>111</v>
      </c>
      <c r="R35" s="705" t="s">
        <v>14</v>
      </c>
      <c r="S35" s="706">
        <f t="shared" si="10"/>
        <v>100</v>
      </c>
      <c r="T35" s="705" t="s">
        <v>14</v>
      </c>
      <c r="U35" s="706">
        <f t="shared" si="11"/>
        <v>100</v>
      </c>
      <c r="V35" s="705" t="s">
        <v>14</v>
      </c>
      <c r="W35" s="706">
        <f t="shared" si="12"/>
        <v>100</v>
      </c>
      <c r="X35" s="1355"/>
      <c r="Y35" s="372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9" t="s">
        <v>1695</v>
      </c>
      <c r="Q36" s="1352">
        <f t="shared" si="8"/>
        <v>111</v>
      </c>
      <c r="R36" s="705" t="s">
        <v>14</v>
      </c>
      <c r="S36" s="706">
        <f t="shared" si="10"/>
        <v>100</v>
      </c>
      <c r="T36" s="705" t="s">
        <v>14</v>
      </c>
      <c r="U36" s="706">
        <f t="shared" si="11"/>
        <v>100</v>
      </c>
      <c r="V36" s="705" t="s">
        <v>14</v>
      </c>
      <c r="W36" s="706">
        <f t="shared" si="12"/>
        <v>100</v>
      </c>
      <c r="X36" s="1355"/>
      <c r="Y36" s="3728"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8"/>
      <c r="Q37" s="1352">
        <f t="shared" si="8"/>
        <v>111</v>
      </c>
      <c r="R37" s="708" t="s">
        <v>14</v>
      </c>
      <c r="S37" s="709">
        <f t="shared" si="10"/>
        <v>100</v>
      </c>
      <c r="T37" s="708" t="s">
        <v>14</v>
      </c>
      <c r="U37" s="709">
        <f t="shared" si="11"/>
        <v>100</v>
      </c>
      <c r="V37" s="708" t="s">
        <v>14</v>
      </c>
      <c r="W37" s="709">
        <f t="shared" si="12"/>
        <v>100</v>
      </c>
      <c r="X37" s="710"/>
      <c r="Y37" s="3728"/>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8"/>
      <c r="Q38" s="1352" t="str">
        <f>B38</f>
        <v>宗地面积</v>
      </c>
      <c r="R38" s="705" t="s">
        <v>14</v>
      </c>
      <c r="S38" s="706" t="e">
        <f t="shared" si="10"/>
        <v>#N/A</v>
      </c>
      <c r="T38" s="705" t="s">
        <v>14</v>
      </c>
      <c r="U38" s="706" t="e">
        <f t="shared" si="11"/>
        <v>#N/A</v>
      </c>
      <c r="V38" s="705" t="s">
        <v>14</v>
      </c>
      <c r="W38" s="706" t="e">
        <f t="shared" si="12"/>
        <v>#N/A</v>
      </c>
      <c r="X38" s="1355"/>
      <c r="Y38" s="3728"/>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28"/>
      <c r="Q39" s="1352" t="str">
        <f t="shared" ref="Q39:Q45" si="14">B39</f>
        <v>宗地形状</v>
      </c>
      <c r="R39" s="705" t="s">
        <v>14</v>
      </c>
      <c r="S39" s="706">
        <f t="shared" si="10"/>
        <v>100</v>
      </c>
      <c r="T39" s="705" t="s">
        <v>14</v>
      </c>
      <c r="U39" s="706">
        <f t="shared" si="11"/>
        <v>100</v>
      </c>
      <c r="V39" s="705" t="s">
        <v>14</v>
      </c>
      <c r="W39" s="706">
        <f t="shared" si="12"/>
        <v>100</v>
      </c>
      <c r="X39" s="1355"/>
      <c r="Y39" s="3728"/>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28"/>
      <c r="Q40" s="1352" t="str">
        <f t="shared" si="14"/>
        <v>临街宽度及深度</v>
      </c>
      <c r="R40" s="705" t="s">
        <v>14</v>
      </c>
      <c r="S40" s="706">
        <f t="shared" si="10"/>
        <v>100</v>
      </c>
      <c r="T40" s="705" t="s">
        <v>14</v>
      </c>
      <c r="U40" s="706">
        <f t="shared" si="11"/>
        <v>100</v>
      </c>
      <c r="V40" s="705" t="s">
        <v>14</v>
      </c>
      <c r="W40" s="706">
        <f t="shared" si="12"/>
        <v>100</v>
      </c>
      <c r="X40" s="1355"/>
      <c r="Y40" s="3728"/>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28"/>
      <c r="Q41" s="1352" t="str">
        <f t="shared" si="14"/>
        <v>宗地开发程度</v>
      </c>
      <c r="R41" s="701" t="s">
        <v>14</v>
      </c>
      <c r="S41" s="702">
        <f t="shared" si="10"/>
        <v>100</v>
      </c>
      <c r="T41" s="701" t="s">
        <v>14</v>
      </c>
      <c r="U41" s="702">
        <f t="shared" si="11"/>
        <v>100</v>
      </c>
      <c r="V41" s="701" t="s">
        <v>14</v>
      </c>
      <c r="W41" s="702">
        <f t="shared" si="12"/>
        <v>100</v>
      </c>
      <c r="X41" s="703"/>
      <c r="Y41" s="3728"/>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28" t="s">
        <v>1695</v>
      </c>
      <c r="Q42" s="1352" t="str">
        <f t="shared" si="14"/>
        <v>工程地质条件</v>
      </c>
      <c r="R42" s="705" t="s">
        <v>14</v>
      </c>
      <c r="S42" s="706">
        <f t="shared" si="10"/>
        <v>100</v>
      </c>
      <c r="T42" s="705" t="s">
        <v>14</v>
      </c>
      <c r="U42" s="706">
        <f t="shared" si="11"/>
        <v>100</v>
      </c>
      <c r="V42" s="705" t="s">
        <v>14</v>
      </c>
      <c r="W42" s="706">
        <f t="shared" si="12"/>
        <v>100</v>
      </c>
      <c r="X42" s="1355"/>
      <c r="Y42" s="3728"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8"/>
      <c r="Q43" s="1352">
        <f t="shared" si="14"/>
        <v>111</v>
      </c>
      <c r="R43" s="705" t="s">
        <v>14</v>
      </c>
      <c r="S43" s="706">
        <f t="shared" si="10"/>
        <v>100</v>
      </c>
      <c r="T43" s="705" t="s">
        <v>14</v>
      </c>
      <c r="U43" s="706">
        <f t="shared" si="11"/>
        <v>100</v>
      </c>
      <c r="V43" s="705" t="s">
        <v>14</v>
      </c>
      <c r="W43" s="706">
        <f t="shared" si="12"/>
        <v>100</v>
      </c>
      <c r="X43" s="1355"/>
      <c r="Y43" s="372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8"/>
      <c r="Q44" s="1352">
        <f t="shared" si="14"/>
        <v>111</v>
      </c>
      <c r="R44" s="705" t="s">
        <v>14</v>
      </c>
      <c r="S44" s="706">
        <f t="shared" si="10"/>
        <v>100</v>
      </c>
      <c r="T44" s="705" t="s">
        <v>14</v>
      </c>
      <c r="U44" s="706">
        <f t="shared" si="11"/>
        <v>100</v>
      </c>
      <c r="V44" s="705" t="s">
        <v>14</v>
      </c>
      <c r="W44" s="706">
        <f t="shared" si="12"/>
        <v>100</v>
      </c>
      <c r="X44" s="1355"/>
      <c r="Y44" s="372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8"/>
      <c r="Q45" s="1352">
        <f t="shared" si="14"/>
        <v>111</v>
      </c>
      <c r="R45" s="708" t="s">
        <v>14</v>
      </c>
      <c r="S45" s="709">
        <f t="shared" si="10"/>
        <v>100</v>
      </c>
      <c r="T45" s="708" t="s">
        <v>14</v>
      </c>
      <c r="U45" s="709">
        <f t="shared" si="11"/>
        <v>100</v>
      </c>
      <c r="V45" s="708" t="s">
        <v>14</v>
      </c>
      <c r="W45" s="709">
        <f t="shared" si="12"/>
        <v>100</v>
      </c>
      <c r="X45" s="710"/>
      <c r="Y45" s="3728"/>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721" t="str">
        <f>A46</f>
        <v>成交单价</v>
      </c>
      <c r="Q46" s="3721"/>
      <c r="R46" s="3752">
        <f>E46</f>
        <v>0</v>
      </c>
      <c r="S46" s="3752"/>
      <c r="T46" s="3752">
        <f>G46</f>
        <v>0</v>
      </c>
      <c r="U46" s="3752"/>
      <c r="V46" s="3752">
        <f>I46</f>
        <v>0</v>
      </c>
      <c r="W46" s="3752"/>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721" t="str">
        <f>A47</f>
        <v>比较价值（元/平方米）</v>
      </c>
      <c r="Q47" s="3721"/>
      <c r="R47" s="3781" t="e">
        <f>ROUND(PRODUCT(R46,AA7:AA45),0)</f>
        <v>#DIV/0!</v>
      </c>
      <c r="S47" s="3781"/>
      <c r="T47" s="3781" t="e">
        <f>ROUND(PRODUCT(T46,AB7:AB45),0)</f>
        <v>#DIV/0!</v>
      </c>
      <c r="U47" s="3781"/>
      <c r="V47" s="3781" t="e">
        <f>ROUND(PRODUCT(V46,AC7:AC45),0)</f>
        <v>#DIV/0!</v>
      </c>
      <c r="W47" s="378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718" t="str">
        <f>A48</f>
        <v>估价对象XX用房的比较价值（楼面单价，元/平方米）</v>
      </c>
      <c r="Q48" s="3719"/>
      <c r="R48" s="3782" t="e">
        <f>ROUND(IF(D47="简单平均",AVERAGE(R47:W47),R47*F47+T47*H47+V47*J47),0)</f>
        <v>#DIV/0!</v>
      </c>
      <c r="S48" s="3782"/>
      <c r="T48" s="3782"/>
      <c r="U48" s="3782"/>
      <c r="V48" s="3782"/>
      <c r="W48" s="378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736" t="s">
        <v>1886</v>
      </c>
      <c r="H55" s="3783"/>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6547.83</v>
      </c>
      <c r="F56" s="886" t="e">
        <f t="shared" ref="F56:F64" si="15">ROUND(B56*E56/10000,0)</f>
        <v>#DIV/0!</v>
      </c>
      <c r="G56" s="3732"/>
      <c r="H56" s="3721"/>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0.7</v>
      </c>
      <c r="D57" s="945">
        <v>0.25</v>
      </c>
      <c r="E57" s="642"/>
      <c r="F57" s="886" t="e">
        <f t="shared" si="15"/>
        <v>#DIV/0!</v>
      </c>
      <c r="G57" s="3004" t="s">
        <v>1891</v>
      </c>
      <c r="H57" s="887" t="str">
        <f>项目基本情况!B37</f>
        <v>一级</v>
      </c>
      <c r="I57" s="891">
        <f>SUMIF(修正!A57:A68,H57,修正!B57:B68)</f>
        <v>0.7</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0.4</v>
      </c>
      <c r="D58" s="945">
        <v>0.25</v>
      </c>
      <c r="E58" s="642"/>
      <c r="F58" s="886" t="e">
        <f t="shared" si="15"/>
        <v>#DIV/0!</v>
      </c>
      <c r="G58" s="3005"/>
      <c r="H58" s="887" t="str">
        <f>项目基本情况!B37</f>
        <v>一级</v>
      </c>
      <c r="I58" s="891">
        <f>SUMIF(修正!A57:A68,H58,修正!C57:C68)</f>
        <v>0.4</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0.3</v>
      </c>
      <c r="D59" s="945">
        <v>0.25</v>
      </c>
      <c r="E59" s="642"/>
      <c r="F59" s="886" t="e">
        <f t="shared" si="15"/>
        <v>#DIV/0!</v>
      </c>
      <c r="G59" s="3005"/>
      <c r="H59" s="887" t="str">
        <f>项目基本情况!B37</f>
        <v>一级</v>
      </c>
      <c r="I59" s="891">
        <f>SUMIF(修正!A57:A68,H59,修正!D57:D68)</f>
        <v>0.3</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0.3</v>
      </c>
      <c r="D60" s="945">
        <v>0.25</v>
      </c>
      <c r="E60" s="217">
        <f>'数据-汇总表'!E11</f>
        <v>0</v>
      </c>
      <c r="F60" s="886" t="e">
        <f t="shared" si="15"/>
        <v>#DIV/0!</v>
      </c>
      <c r="G60" s="1987" t="s">
        <v>1895</v>
      </c>
      <c r="H60" s="887" t="str">
        <f>项目基本情况!C37</f>
        <v>一级</v>
      </c>
      <c r="I60" s="891">
        <f>SUMIF(修正!A57:A68,H60,修正!E57:E68)</f>
        <v>0.3</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0.3</v>
      </c>
      <c r="D61" s="945">
        <v>0.25</v>
      </c>
      <c r="E61" s="217">
        <f>'数据-汇总表'!E12</f>
        <v>0</v>
      </c>
      <c r="F61" s="886" t="e">
        <f t="shared" si="15"/>
        <v>#DIV/0!</v>
      </c>
      <c r="G61" s="892" t="s">
        <v>1897</v>
      </c>
      <c r="H61" s="887" t="str">
        <f>IF(G61="商业",项目基本情况!B37,IF(G61="办公",项目基本情况!C37,IF(G61="住宅",项目基本情况!D37,项目基本情况!E37)))</f>
        <v>一级</v>
      </c>
      <c r="I61" s="891">
        <f>SUMIF(修正!A57:A68,H61,修正!F57:F68)</f>
        <v>0.3</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0.2</v>
      </c>
      <c r="D63" s="945">
        <v>0.25</v>
      </c>
      <c r="E63" s="217">
        <f>'数据-汇总表'!E14</f>
        <v>0</v>
      </c>
      <c r="F63" s="886" t="e">
        <f t="shared" si="15"/>
        <v>#DIV/0!</v>
      </c>
      <c r="G63" s="1987" t="s">
        <v>1891</v>
      </c>
      <c r="H63" s="887" t="str">
        <f>项目基本情况!B37</f>
        <v>一级</v>
      </c>
      <c r="I63" s="891">
        <f>SUMIF(修正!A57:A68,H63,修正!G57:G68)</f>
        <v>0.2</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0.2</v>
      </c>
      <c r="D64" s="945">
        <v>0.25</v>
      </c>
      <c r="E64" s="217">
        <f>'数据-汇总表'!E15</f>
        <v>0</v>
      </c>
      <c r="F64" s="886" t="e">
        <f t="shared" si="15"/>
        <v>#DIV/0!</v>
      </c>
      <c r="G64" s="1988" t="s">
        <v>1895</v>
      </c>
      <c r="H64" s="897" t="str">
        <f>项目基本情况!C37</f>
        <v>一级</v>
      </c>
      <c r="I64" s="893">
        <f>SUMIF(修正!A57:A68,H64,修正!G57:G68)</f>
        <v>0.2</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6547.83</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36" t="s">
        <v>1769</v>
      </c>
      <c r="D4" s="3737"/>
      <c r="E4" s="3738" t="s">
        <v>1770</v>
      </c>
      <c r="F4" s="3739"/>
      <c r="G4" s="3736" t="s">
        <v>1771</v>
      </c>
      <c r="H4" s="3737"/>
      <c r="I4" s="3736" t="s">
        <v>1772</v>
      </c>
      <c r="J4" s="3737"/>
      <c r="K4" s="559" t="s">
        <v>1773</v>
      </c>
      <c r="L4" s="2713"/>
      <c r="M4" s="2714"/>
      <c r="N4" s="2714"/>
      <c r="O4" s="2714"/>
      <c r="P4" s="3740" t="s">
        <v>1774</v>
      </c>
      <c r="Q4" s="3741"/>
      <c r="R4" s="3746" t="s">
        <v>1770</v>
      </c>
      <c r="S4" s="3747"/>
      <c r="T4" s="3746" t="s">
        <v>1771</v>
      </c>
      <c r="U4" s="3747"/>
      <c r="V4" s="3752" t="s">
        <v>1772</v>
      </c>
      <c r="W4" s="3752"/>
      <c r="X4" s="1355"/>
      <c r="Y4" s="3746" t="s">
        <v>1774</v>
      </c>
      <c r="Z4" s="3747"/>
      <c r="AA4" s="3733" t="s">
        <v>1770</v>
      </c>
      <c r="AB4" s="3734" t="s">
        <v>1771</v>
      </c>
      <c r="AC4" s="3733" t="s">
        <v>1772</v>
      </c>
    </row>
    <row r="5" spans="1:29" ht="15">
      <c r="A5" s="358"/>
      <c r="B5" s="359"/>
      <c r="C5" s="3755" t="s">
        <v>1672</v>
      </c>
      <c r="D5" s="3756"/>
      <c r="E5" s="3762" t="s">
        <v>1673</v>
      </c>
      <c r="F5" s="3763"/>
      <c r="G5" s="3755" t="s">
        <v>1674</v>
      </c>
      <c r="H5" s="3756"/>
      <c r="I5" s="3755" t="s">
        <v>1675</v>
      </c>
      <c r="J5" s="3756"/>
      <c r="K5" s="559"/>
      <c r="L5" s="2713"/>
      <c r="M5" s="2714"/>
      <c r="N5" s="2714"/>
      <c r="O5" s="2714"/>
      <c r="P5" s="3742"/>
      <c r="Q5" s="3743"/>
      <c r="R5" s="3748"/>
      <c r="S5" s="3749"/>
      <c r="T5" s="3748"/>
      <c r="U5" s="3749"/>
      <c r="V5" s="3752"/>
      <c r="W5" s="3752"/>
      <c r="X5" s="1355"/>
      <c r="Y5" s="3748"/>
      <c r="Z5" s="3749"/>
      <c r="AA5" s="3734"/>
      <c r="AB5" s="3734"/>
      <c r="AC5" s="3734"/>
    </row>
    <row r="6" spans="1:29" ht="15.75" thickBot="1">
      <c r="A6" s="360"/>
      <c r="B6" s="361"/>
      <c r="C6" s="3784" t="s">
        <v>1918</v>
      </c>
      <c r="D6" s="3785"/>
      <c r="E6" s="3786" t="s">
        <v>1918</v>
      </c>
      <c r="F6" s="3787"/>
      <c r="G6" s="3784" t="s">
        <v>1918</v>
      </c>
      <c r="H6" s="3785"/>
      <c r="I6" s="3784" t="s">
        <v>1918</v>
      </c>
      <c r="J6" s="3785"/>
      <c r="K6" s="559" t="s">
        <v>1677</v>
      </c>
      <c r="L6" s="2713"/>
      <c r="M6" s="2714"/>
      <c r="N6" s="2714"/>
      <c r="O6" s="2714"/>
      <c r="P6" s="3744"/>
      <c r="Q6" s="3745"/>
      <c r="R6" s="3748"/>
      <c r="S6" s="3749"/>
      <c r="T6" s="3750"/>
      <c r="U6" s="3751"/>
      <c r="V6" s="3752"/>
      <c r="W6" s="3752"/>
      <c r="X6" s="1355"/>
      <c r="Y6" s="3750"/>
      <c r="Z6" s="3751"/>
      <c r="AA6" s="3735"/>
      <c r="AB6" s="3735"/>
      <c r="AC6" s="3735"/>
    </row>
    <row r="7" spans="1:29" s="108" customFormat="1" ht="15.75" thickBot="1">
      <c r="A7" s="362" t="s">
        <v>1678</v>
      </c>
      <c r="B7" s="363"/>
      <c r="C7" s="364">
        <f>'数据-取费表'!B2</f>
        <v>45051</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57" t="s">
        <v>1679</v>
      </c>
      <c r="Q7" s="3759"/>
      <c r="R7" s="701" t="s">
        <v>14</v>
      </c>
      <c r="S7" s="702">
        <f t="shared" ref="S7:S15" si="0">F7</f>
        <v>0</v>
      </c>
      <c r="T7" s="701" t="s">
        <v>14</v>
      </c>
      <c r="U7" s="702">
        <f t="shared" ref="U7:U15" si="1">H7</f>
        <v>0</v>
      </c>
      <c r="V7" s="701" t="s">
        <v>14</v>
      </c>
      <c r="W7" s="702">
        <f t="shared" ref="W7:W15" si="2">J7</f>
        <v>0</v>
      </c>
      <c r="X7" s="703"/>
      <c r="Y7" s="3757" t="s">
        <v>1679</v>
      </c>
      <c r="Z7" s="3758"/>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57" t="s">
        <v>1682</v>
      </c>
      <c r="Q8" s="3758"/>
      <c r="R8" s="701" t="s">
        <v>14</v>
      </c>
      <c r="S8" s="702">
        <f t="shared" si="0"/>
        <v>0</v>
      </c>
      <c r="T8" s="701" t="s">
        <v>14</v>
      </c>
      <c r="U8" s="702">
        <f t="shared" si="1"/>
        <v>0</v>
      </c>
      <c r="V8" s="701" t="s">
        <v>14</v>
      </c>
      <c r="W8" s="702">
        <f t="shared" si="2"/>
        <v>0</v>
      </c>
      <c r="X8" s="703"/>
      <c r="Y8" s="3757" t="s">
        <v>1682</v>
      </c>
      <c r="Z8" s="3758"/>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21" t="s">
        <v>1685</v>
      </c>
      <c r="Q9" s="1343" t="str">
        <f t="shared" ref="Q9:Q15" si="6">B9</f>
        <v>用途</v>
      </c>
      <c r="R9" s="701" t="s">
        <v>14</v>
      </c>
      <c r="S9" s="702">
        <f t="shared" si="0"/>
        <v>100</v>
      </c>
      <c r="T9" s="701" t="s">
        <v>14</v>
      </c>
      <c r="U9" s="702">
        <f t="shared" si="1"/>
        <v>100</v>
      </c>
      <c r="V9" s="701" t="s">
        <v>14</v>
      </c>
      <c r="W9" s="702">
        <f t="shared" si="2"/>
        <v>100</v>
      </c>
      <c r="X9" s="703"/>
      <c r="Y9" s="3577"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210</v>
      </c>
      <c r="G10" s="383"/>
      <c r="H10" s="127">
        <f>ROUND(100/'数据-取费表'!G16,0)</f>
        <v>210</v>
      </c>
      <c r="I10" s="383"/>
      <c r="J10" s="127">
        <f>ROUND(100/'数据-取费表'!G16,0)</f>
        <v>210</v>
      </c>
      <c r="K10" s="620"/>
      <c r="L10" s="2717"/>
      <c r="M10" s="2718"/>
      <c r="N10" s="2718"/>
      <c r="O10" s="2771"/>
      <c r="P10" s="3721"/>
      <c r="Q10" s="1343" t="str">
        <f t="shared" si="6"/>
        <v>土地使用年限（年）</v>
      </c>
      <c r="R10" s="701" t="s">
        <v>14</v>
      </c>
      <c r="S10" s="702">
        <f t="shared" si="0"/>
        <v>210</v>
      </c>
      <c r="T10" s="701" t="s">
        <v>14</v>
      </c>
      <c r="U10" s="702">
        <f t="shared" si="1"/>
        <v>210</v>
      </c>
      <c r="V10" s="701" t="s">
        <v>14</v>
      </c>
      <c r="W10" s="702">
        <f t="shared" si="2"/>
        <v>210</v>
      </c>
      <c r="X10" s="703"/>
      <c r="Y10" s="3577"/>
      <c r="Z10" s="52" t="str">
        <f t="shared" si="7"/>
        <v>土地使用年限（年）</v>
      </c>
      <c r="AA10" s="704">
        <f t="shared" si="3"/>
        <v>0.47619047619047616</v>
      </c>
      <c r="AB10" s="704">
        <f t="shared" si="4"/>
        <v>0.47619047619047616</v>
      </c>
      <c r="AC10" s="704">
        <f t="shared" si="5"/>
        <v>0.47619047619047616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1"/>
      <c r="Q11" s="1343" t="str">
        <f t="shared" si="6"/>
        <v>容积率</v>
      </c>
      <c r="R11" s="701" t="s">
        <v>14</v>
      </c>
      <c r="S11" s="702" t="e">
        <f t="shared" si="0"/>
        <v>#N/A</v>
      </c>
      <c r="T11" s="701" t="s">
        <v>14</v>
      </c>
      <c r="U11" s="702" t="e">
        <f t="shared" si="1"/>
        <v>#N/A</v>
      </c>
      <c r="V11" s="701" t="s">
        <v>14</v>
      </c>
      <c r="W11" s="702" t="e">
        <f t="shared" si="2"/>
        <v>#N/A</v>
      </c>
      <c r="X11" s="703"/>
      <c r="Y11" s="357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1"/>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1"/>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1"/>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3" t="s">
        <v>1690</v>
      </c>
      <c r="Q15" s="1352" t="str">
        <f t="shared" si="6"/>
        <v>产业集聚程度</v>
      </c>
      <c r="R15" s="705" t="s">
        <v>14</v>
      </c>
      <c r="S15" s="706">
        <f t="shared" si="0"/>
        <v>100</v>
      </c>
      <c r="T15" s="705" t="s">
        <v>14</v>
      </c>
      <c r="U15" s="706">
        <f t="shared" si="1"/>
        <v>100</v>
      </c>
      <c r="V15" s="705" t="s">
        <v>14</v>
      </c>
      <c r="W15" s="706">
        <f t="shared" si="2"/>
        <v>100</v>
      </c>
      <c r="X15" s="1355"/>
      <c r="Y15" s="3723"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4"/>
      <c r="Q16" s="1352"/>
      <c r="R16" s="705"/>
      <c r="S16" s="706"/>
      <c r="T16" s="705"/>
      <c r="U16" s="706"/>
      <c r="V16" s="705"/>
      <c r="W16" s="706"/>
      <c r="X16" s="1355"/>
      <c r="Y16" s="3724"/>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4"/>
      <c r="Q17" s="1352" t="str">
        <f>B17</f>
        <v>交通便捷度</v>
      </c>
      <c r="R17" s="705" t="s">
        <v>14</v>
      </c>
      <c r="S17" s="706">
        <f>F17</f>
        <v>100</v>
      </c>
      <c r="T17" s="705" t="s">
        <v>14</v>
      </c>
      <c r="U17" s="706">
        <f>H17</f>
        <v>100</v>
      </c>
      <c r="V17" s="705" t="s">
        <v>14</v>
      </c>
      <c r="W17" s="706">
        <f>J17</f>
        <v>100</v>
      </c>
      <c r="X17" s="1355"/>
      <c r="Y17" s="372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4"/>
      <c r="Q18" s="1352"/>
      <c r="R18" s="705"/>
      <c r="S18" s="706"/>
      <c r="T18" s="705"/>
      <c r="U18" s="706"/>
      <c r="V18" s="705"/>
      <c r="W18" s="706"/>
      <c r="X18" s="1355"/>
      <c r="Y18" s="3724"/>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4"/>
      <c r="Q19" s="1352" t="str">
        <f t="shared" ref="Q19:Q33" si="8">B19</f>
        <v>区域土地利用方向</v>
      </c>
      <c r="R19" s="705" t="s">
        <v>14</v>
      </c>
      <c r="S19" s="706">
        <f>F19</f>
        <v>100</v>
      </c>
      <c r="T19" s="705" t="s">
        <v>14</v>
      </c>
      <c r="U19" s="706">
        <f>H19</f>
        <v>100</v>
      </c>
      <c r="V19" s="705" t="s">
        <v>14</v>
      </c>
      <c r="W19" s="706">
        <f>J19</f>
        <v>100</v>
      </c>
      <c r="X19" s="1355"/>
      <c r="Y19" s="372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4"/>
      <c r="Q20" s="1352"/>
      <c r="R20" s="705"/>
      <c r="S20" s="706"/>
      <c r="T20" s="705"/>
      <c r="U20" s="706"/>
      <c r="V20" s="705"/>
      <c r="W20" s="706"/>
      <c r="X20" s="1355"/>
      <c r="Y20" s="3724"/>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4"/>
      <c r="Q21" s="1352" t="str">
        <f t="shared" si="8"/>
        <v>环境状况</v>
      </c>
      <c r="R21" s="705" t="s">
        <v>14</v>
      </c>
      <c r="S21" s="706">
        <f>F21</f>
        <v>100</v>
      </c>
      <c r="T21" s="705" t="s">
        <v>14</v>
      </c>
      <c r="U21" s="706">
        <f>H21</f>
        <v>100</v>
      </c>
      <c r="V21" s="705" t="s">
        <v>14</v>
      </c>
      <c r="W21" s="706">
        <f>J21</f>
        <v>100</v>
      </c>
      <c r="X21" s="1355"/>
      <c r="Y21" s="372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4"/>
      <c r="Q22" s="1352"/>
      <c r="R22" s="705"/>
      <c r="S22" s="706"/>
      <c r="T22" s="705"/>
      <c r="U22" s="706"/>
      <c r="V22" s="705"/>
      <c r="W22" s="706"/>
      <c r="X22" s="1355"/>
      <c r="Y22" s="3724"/>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4"/>
      <c r="Q23" s="1343" t="str">
        <f t="shared" si="8"/>
        <v>公共配套设施</v>
      </c>
      <c r="R23" s="701" t="s">
        <v>14</v>
      </c>
      <c r="S23" s="702">
        <f>F23</f>
        <v>100</v>
      </c>
      <c r="T23" s="701" t="s">
        <v>14</v>
      </c>
      <c r="U23" s="702">
        <f>H23</f>
        <v>100</v>
      </c>
      <c r="V23" s="701" t="s">
        <v>14</v>
      </c>
      <c r="W23" s="702">
        <f>J23</f>
        <v>100</v>
      </c>
      <c r="X23" s="703"/>
      <c r="Y23" s="372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24"/>
      <c r="Q24" s="1343"/>
      <c r="R24" s="701"/>
      <c r="S24" s="702"/>
      <c r="T24" s="701"/>
      <c r="U24" s="702"/>
      <c r="V24" s="701"/>
      <c r="W24" s="702"/>
      <c r="X24" s="703"/>
      <c r="Y24" s="3724"/>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4"/>
      <c r="Q25" s="1343" t="str">
        <f t="shared" ref="Q25" si="9">B25</f>
        <v>基础设施水平</v>
      </c>
      <c r="R25" s="701" t="s">
        <v>14</v>
      </c>
      <c r="S25" s="702">
        <f>F25</f>
        <v>100</v>
      </c>
      <c r="T25" s="701" t="s">
        <v>14</v>
      </c>
      <c r="U25" s="702">
        <f>H25</f>
        <v>100</v>
      </c>
      <c r="V25" s="701" t="s">
        <v>14</v>
      </c>
      <c r="W25" s="702">
        <f>J25</f>
        <v>100</v>
      </c>
      <c r="X25" s="703"/>
      <c r="Y25" s="372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24"/>
      <c r="Q26" s="1343"/>
      <c r="R26" s="701"/>
      <c r="S26" s="702"/>
      <c r="T26" s="701"/>
      <c r="U26" s="702"/>
      <c r="V26" s="701"/>
      <c r="W26" s="702"/>
      <c r="X26" s="703"/>
      <c r="Y26" s="372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4"/>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4"/>
      <c r="Q28" s="1352" t="str">
        <f t="shared" si="8"/>
        <v>毗邻道路的类型与等级</v>
      </c>
      <c r="R28" s="705" t="s">
        <v>14</v>
      </c>
      <c r="S28" s="706">
        <f t="shared" si="10"/>
        <v>100</v>
      </c>
      <c r="T28" s="705" t="s">
        <v>14</v>
      </c>
      <c r="U28" s="706">
        <f t="shared" si="11"/>
        <v>100</v>
      </c>
      <c r="V28" s="705" t="s">
        <v>14</v>
      </c>
      <c r="W28" s="706">
        <f t="shared" si="12"/>
        <v>100</v>
      </c>
      <c r="X28" s="1355"/>
      <c r="Y28" s="372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4"/>
      <c r="Q29" s="1352"/>
      <c r="R29" s="705"/>
      <c r="S29" s="706"/>
      <c r="T29" s="705"/>
      <c r="U29" s="706"/>
      <c r="V29" s="705"/>
      <c r="W29" s="706"/>
      <c r="X29" s="1355"/>
      <c r="Y29" s="3724"/>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4"/>
      <c r="Q30" s="1352" t="str">
        <f t="shared" si="8"/>
        <v>土地级别</v>
      </c>
      <c r="R30" s="705" t="s">
        <v>14</v>
      </c>
      <c r="S30" s="706">
        <f t="shared" si="10"/>
        <v>100</v>
      </c>
      <c r="T30" s="705" t="s">
        <v>14</v>
      </c>
      <c r="U30" s="706">
        <f t="shared" si="11"/>
        <v>100</v>
      </c>
      <c r="V30" s="705" t="s">
        <v>14</v>
      </c>
      <c r="W30" s="706">
        <f t="shared" si="12"/>
        <v>100</v>
      </c>
      <c r="X30" s="1355"/>
      <c r="Y30" s="372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4"/>
      <c r="Q31" s="1352">
        <f t="shared" si="8"/>
        <v>111</v>
      </c>
      <c r="R31" s="705" t="s">
        <v>14</v>
      </c>
      <c r="S31" s="706">
        <f t="shared" si="10"/>
        <v>100</v>
      </c>
      <c r="T31" s="705" t="s">
        <v>14</v>
      </c>
      <c r="U31" s="706">
        <f t="shared" si="11"/>
        <v>100</v>
      </c>
      <c r="V31" s="705" t="s">
        <v>14</v>
      </c>
      <c r="W31" s="706">
        <f t="shared" si="12"/>
        <v>100</v>
      </c>
      <c r="X31" s="1355"/>
      <c r="Y31" s="372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9" t="s">
        <v>1695</v>
      </c>
      <c r="Q32" s="1352">
        <f t="shared" si="8"/>
        <v>111</v>
      </c>
      <c r="R32" s="705" t="s">
        <v>14</v>
      </c>
      <c r="S32" s="706">
        <f t="shared" si="10"/>
        <v>100</v>
      </c>
      <c r="T32" s="705" t="s">
        <v>14</v>
      </c>
      <c r="U32" s="706">
        <f t="shared" si="11"/>
        <v>100</v>
      </c>
      <c r="V32" s="705" t="s">
        <v>14</v>
      </c>
      <c r="W32" s="706">
        <f t="shared" si="12"/>
        <v>100</v>
      </c>
      <c r="X32" s="1355"/>
      <c r="Y32" s="3728"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8"/>
      <c r="Q33" s="1352">
        <f t="shared" si="8"/>
        <v>111</v>
      </c>
      <c r="R33" s="708" t="s">
        <v>14</v>
      </c>
      <c r="S33" s="709">
        <f t="shared" si="10"/>
        <v>100</v>
      </c>
      <c r="T33" s="708" t="s">
        <v>14</v>
      </c>
      <c r="U33" s="709">
        <f t="shared" si="11"/>
        <v>100</v>
      </c>
      <c r="V33" s="708" t="s">
        <v>14</v>
      </c>
      <c r="W33" s="709">
        <f t="shared" si="12"/>
        <v>100</v>
      </c>
      <c r="X33" s="710"/>
      <c r="Y33" s="3728"/>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8"/>
      <c r="Q34" s="1352" t="str">
        <f>B34</f>
        <v>宗地面积</v>
      </c>
      <c r="R34" s="705" t="s">
        <v>14</v>
      </c>
      <c r="S34" s="706" t="e">
        <f t="shared" si="10"/>
        <v>#N/A</v>
      </c>
      <c r="T34" s="705" t="s">
        <v>14</v>
      </c>
      <c r="U34" s="706" t="e">
        <f t="shared" si="11"/>
        <v>#N/A</v>
      </c>
      <c r="V34" s="705" t="s">
        <v>14</v>
      </c>
      <c r="W34" s="706" t="e">
        <f t="shared" si="12"/>
        <v>#N/A</v>
      </c>
      <c r="X34" s="1355"/>
      <c r="Y34" s="3728"/>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28"/>
      <c r="Q35" s="1352" t="str">
        <f t="shared" ref="Q35:Q40" si="14">B35</f>
        <v>宗地形状</v>
      </c>
      <c r="R35" s="705" t="s">
        <v>14</v>
      </c>
      <c r="S35" s="706">
        <f t="shared" si="10"/>
        <v>100</v>
      </c>
      <c r="T35" s="705" t="s">
        <v>14</v>
      </c>
      <c r="U35" s="706">
        <f t="shared" si="11"/>
        <v>100</v>
      </c>
      <c r="V35" s="705" t="s">
        <v>14</v>
      </c>
      <c r="W35" s="706">
        <f t="shared" si="12"/>
        <v>100</v>
      </c>
      <c r="X35" s="1355"/>
      <c r="Y35" s="3728"/>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28"/>
      <c r="Q36" s="1352" t="str">
        <f t="shared" si="14"/>
        <v>宗地开发程度</v>
      </c>
      <c r="R36" s="701" t="s">
        <v>14</v>
      </c>
      <c r="S36" s="702">
        <f t="shared" si="10"/>
        <v>100</v>
      </c>
      <c r="T36" s="701" t="s">
        <v>14</v>
      </c>
      <c r="U36" s="702">
        <f t="shared" si="11"/>
        <v>100</v>
      </c>
      <c r="V36" s="701" t="s">
        <v>14</v>
      </c>
      <c r="W36" s="702">
        <f t="shared" si="12"/>
        <v>100</v>
      </c>
      <c r="X36" s="703"/>
      <c r="Y36" s="3728"/>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28" t="s">
        <v>1695</v>
      </c>
      <c r="Q37" s="1352" t="str">
        <f t="shared" si="14"/>
        <v>工程地质条件</v>
      </c>
      <c r="R37" s="705" t="s">
        <v>14</v>
      </c>
      <c r="S37" s="706">
        <f t="shared" si="10"/>
        <v>100</v>
      </c>
      <c r="T37" s="705" t="s">
        <v>14</v>
      </c>
      <c r="U37" s="706">
        <f t="shared" si="11"/>
        <v>100</v>
      </c>
      <c r="V37" s="705" t="s">
        <v>14</v>
      </c>
      <c r="W37" s="706">
        <f t="shared" si="12"/>
        <v>100</v>
      </c>
      <c r="X37" s="1355"/>
      <c r="Y37" s="3728"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8"/>
      <c r="Q38" s="1352">
        <f t="shared" si="14"/>
        <v>111</v>
      </c>
      <c r="R38" s="705" t="s">
        <v>14</v>
      </c>
      <c r="S38" s="706">
        <f t="shared" si="10"/>
        <v>100</v>
      </c>
      <c r="T38" s="705" t="s">
        <v>14</v>
      </c>
      <c r="U38" s="706">
        <f t="shared" si="11"/>
        <v>100</v>
      </c>
      <c r="V38" s="705" t="s">
        <v>14</v>
      </c>
      <c r="W38" s="706">
        <f t="shared" si="12"/>
        <v>100</v>
      </c>
      <c r="X38" s="1355"/>
      <c r="Y38" s="372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8"/>
      <c r="Q39" s="1352">
        <f t="shared" si="14"/>
        <v>111</v>
      </c>
      <c r="R39" s="705" t="s">
        <v>14</v>
      </c>
      <c r="S39" s="706">
        <f t="shared" si="10"/>
        <v>100</v>
      </c>
      <c r="T39" s="705" t="s">
        <v>14</v>
      </c>
      <c r="U39" s="706">
        <f t="shared" si="11"/>
        <v>100</v>
      </c>
      <c r="V39" s="705" t="s">
        <v>14</v>
      </c>
      <c r="W39" s="706">
        <f t="shared" si="12"/>
        <v>100</v>
      </c>
      <c r="X39" s="1355"/>
      <c r="Y39" s="372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8"/>
      <c r="Q40" s="1352">
        <f t="shared" si="14"/>
        <v>111</v>
      </c>
      <c r="R40" s="708" t="s">
        <v>14</v>
      </c>
      <c r="S40" s="709">
        <f t="shared" si="10"/>
        <v>100</v>
      </c>
      <c r="T40" s="708" t="s">
        <v>14</v>
      </c>
      <c r="U40" s="709">
        <f t="shared" si="11"/>
        <v>100</v>
      </c>
      <c r="V40" s="708" t="s">
        <v>14</v>
      </c>
      <c r="W40" s="709">
        <f t="shared" si="12"/>
        <v>100</v>
      </c>
      <c r="X40" s="710"/>
      <c r="Y40" s="3728"/>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721" t="str">
        <f>A41</f>
        <v>成交单价</v>
      </c>
      <c r="Q41" s="3721"/>
      <c r="R41" s="3752">
        <f>E41</f>
        <v>0</v>
      </c>
      <c r="S41" s="3752"/>
      <c r="T41" s="3752">
        <f>G41</f>
        <v>0</v>
      </c>
      <c r="U41" s="3752"/>
      <c r="V41" s="3752">
        <f>I41</f>
        <v>0</v>
      </c>
      <c r="W41" s="3752"/>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2"/>
      <c r="M42" s="2714"/>
      <c r="N42" s="2714"/>
      <c r="O42" s="2723"/>
      <c r="P42" s="3721" t="str">
        <f>A42</f>
        <v>比较价值（元/平方米）</v>
      </c>
      <c r="Q42" s="3721"/>
      <c r="R42" s="3781" t="e">
        <f>ROUND(PRODUCT(R41,AA7:AA40),0)</f>
        <v>#DIV/0!</v>
      </c>
      <c r="S42" s="3781"/>
      <c r="T42" s="3781" t="e">
        <f>ROUND(PRODUCT(T41,AB7:AB40),0)</f>
        <v>#DIV/0!</v>
      </c>
      <c r="U42" s="3781"/>
      <c r="V42" s="3781" t="e">
        <f>ROUND(PRODUCT(V41,AC7:AC40),0)</f>
        <v>#DIV/0!</v>
      </c>
      <c r="W42" s="378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718" t="str">
        <f>A43</f>
        <v>估价对象XX用房的比较价值（楼面单价，元/平方米）</v>
      </c>
      <c r="Q43" s="3719"/>
      <c r="R43" s="3782" t="e">
        <f>ROUND(IF(D42="简单平均",AVERAGE(R42:W42),R42*F42+T42*H42+V42*J42),0)</f>
        <v>#DIV/0!</v>
      </c>
      <c r="S43" s="3782"/>
      <c r="T43" s="3782"/>
      <c r="U43" s="3782"/>
      <c r="V43" s="3782"/>
      <c r="W43" s="378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736" t="s">
        <v>1886</v>
      </c>
      <c r="H50" s="3783"/>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6547.83</v>
      </c>
      <c r="F51" s="639" t="e">
        <f t="shared" ref="F51:F60" si="15">ROUND(B51*E51/10000,0)</f>
        <v>#DIV/0!</v>
      </c>
      <c r="G51" s="3732"/>
      <c r="H51" s="3721"/>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0.7</v>
      </c>
      <c r="D52" s="945">
        <v>0.25</v>
      </c>
      <c r="E52" s="642"/>
      <c r="F52" s="639" t="e">
        <f t="shared" si="15"/>
        <v>#DIV/0!</v>
      </c>
      <c r="G52" s="3004" t="s">
        <v>1891</v>
      </c>
      <c r="H52" s="887" t="str">
        <f>项目基本情况!B37</f>
        <v>一级</v>
      </c>
      <c r="I52" s="773">
        <f>SUMIF(修正!A57:A68,H52,修正!B57:B68)</f>
        <v>0.7</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0.4</v>
      </c>
      <c r="D53" s="945">
        <v>0.25</v>
      </c>
      <c r="E53" s="642"/>
      <c r="F53" s="639" t="e">
        <f t="shared" si="15"/>
        <v>#DIV/0!</v>
      </c>
      <c r="G53" s="3005"/>
      <c r="H53" s="887" t="str">
        <f>项目基本情况!B37</f>
        <v>一级</v>
      </c>
      <c r="I53" s="773">
        <f>SUMIF(修正!A57:A68,H53,修正!C57:C68)</f>
        <v>0.4</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0.3</v>
      </c>
      <c r="D54" s="945">
        <v>0.25</v>
      </c>
      <c r="E54" s="642"/>
      <c r="F54" s="639" t="e">
        <f t="shared" si="15"/>
        <v>#DIV/0!</v>
      </c>
      <c r="G54" s="3005"/>
      <c r="H54" s="887" t="str">
        <f>项目基本情况!B37</f>
        <v>一级</v>
      </c>
      <c r="I54" s="773">
        <f>SUMIF(修正!A57:A68,H54,修正!D57:D68)</f>
        <v>0.3</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0.3</v>
      </c>
      <c r="D56" s="945">
        <v>0.25</v>
      </c>
      <c r="E56" s="217">
        <f>'数据-汇总表'!E11</f>
        <v>0</v>
      </c>
      <c r="F56" s="639" t="e">
        <f t="shared" si="15"/>
        <v>#DIV/0!</v>
      </c>
      <c r="G56" s="1987" t="s">
        <v>1895</v>
      </c>
      <c r="H56" s="887" t="str">
        <f>项目基本情况!C37</f>
        <v>一级</v>
      </c>
      <c r="I56" s="773">
        <f>SUMIF(修正!A57:A68,H56,修正!E57:E68)</f>
        <v>0.3</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0.3</v>
      </c>
      <c r="D57" s="945">
        <v>0.25</v>
      </c>
      <c r="E57" s="217">
        <f>'数据-汇总表'!E12</f>
        <v>0</v>
      </c>
      <c r="F57" s="639" t="e">
        <f t="shared" si="15"/>
        <v>#DIV/0!</v>
      </c>
      <c r="G57" s="892" t="s">
        <v>1897</v>
      </c>
      <c r="H57" s="887" t="str">
        <f>IF(G57="商业",项目基本情况!B37,IF(G57="办公",项目基本情况!C37,IF(G57="住宅",项目基本情况!D37,项目基本情况!E37)))</f>
        <v>一级</v>
      </c>
      <c r="I57" s="773">
        <f>SUMIF(修正!A57:A68,H57,修正!F57:F68)</f>
        <v>0.3</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0.2</v>
      </c>
      <c r="D59" s="945">
        <v>0.25</v>
      </c>
      <c r="E59" s="217">
        <f>'数据-汇总表'!E14</f>
        <v>0</v>
      </c>
      <c r="F59" s="639" t="e">
        <f t="shared" si="15"/>
        <v>#DIV/0!</v>
      </c>
      <c r="G59" s="1987" t="s">
        <v>1891</v>
      </c>
      <c r="H59" s="887" t="str">
        <f>项目基本情况!B37</f>
        <v>一级</v>
      </c>
      <c r="I59" s="773">
        <f>SUMIF(修正!A57:A68,H59,修正!G57:G68)</f>
        <v>0.2</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0.2</v>
      </c>
      <c r="D60" s="945">
        <v>0.25</v>
      </c>
      <c r="E60" s="217">
        <f>'数据-汇总表'!E15</f>
        <v>0</v>
      </c>
      <c r="F60" s="639" t="e">
        <f t="shared" si="15"/>
        <v>#DIV/0!</v>
      </c>
      <c r="G60" s="1988" t="s">
        <v>1895</v>
      </c>
      <c r="H60" s="897" t="str">
        <f>项目基本情况!C37</f>
        <v>一级</v>
      </c>
      <c r="I60" s="773">
        <f>SUMIF(修正!A57:A68,H60,修正!G57:G68)</f>
        <v>0.2</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750.35</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1" t="s">
        <v>2083</v>
      </c>
      <c r="D1" s="3792"/>
      <c r="E1" s="3792"/>
      <c r="F1" s="3792"/>
      <c r="G1" s="3792"/>
      <c r="H1" s="3792"/>
      <c r="I1" s="3792"/>
      <c r="J1" s="3792"/>
      <c r="K1" s="3792"/>
      <c r="L1" s="3792"/>
      <c r="M1" s="3792"/>
      <c r="N1" s="3792"/>
      <c r="O1" s="3792"/>
      <c r="P1" s="3792"/>
      <c r="Q1" s="3792"/>
      <c r="R1" s="3792"/>
      <c r="S1" s="379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8" t="s">
        <v>27</v>
      </c>
      <c r="D22" s="3789"/>
      <c r="E22" s="3789"/>
      <c r="F22" s="3789"/>
      <c r="G22" s="3789"/>
      <c r="H22" s="3789"/>
      <c r="I22" s="3789"/>
      <c r="J22" s="3789"/>
      <c r="K22" s="3789"/>
      <c r="L22" s="3789"/>
      <c r="M22" s="3789"/>
      <c r="N22" s="3789"/>
      <c r="O22" s="3789"/>
      <c r="P22" s="3789"/>
      <c r="Q22" s="379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0">
        <f ca="1">SUMIF(B6:B13,"&lt;&gt;#ref!",B6:B13)</f>
        <v>0</v>
      </c>
      <c r="C2" s="2145" t="s">
        <v>2073</v>
      </c>
      <c r="D2" s="2145" t="s">
        <v>2074</v>
      </c>
      <c r="E2" s="2610">
        <f ca="1">SUMIF(E6:E13,"&lt;&gt;#ref!",E6:E13)</f>
        <v>6547.83</v>
      </c>
      <c r="F2" s="2791"/>
      <c r="G2" s="2791"/>
      <c r="H2" s="2791"/>
      <c r="I2" s="2791"/>
      <c r="J2" s="2791"/>
      <c r="K2" s="2791"/>
      <c r="L2" s="2791"/>
      <c r="M2" s="2791"/>
      <c r="N2" s="2791"/>
      <c r="O2" s="2791"/>
      <c r="P2" s="2791"/>
    </row>
    <row r="3" spans="1:16" ht="15.75">
      <c r="A3" s="2145" t="s">
        <v>2075</v>
      </c>
      <c r="B3" s="2600">
        <f ca="1">ROUND(B2*10000/E2,0)</f>
        <v>0</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6"/>
      <c r="D5" s="2791"/>
      <c r="E5" s="2609" t="s">
        <v>2078</v>
      </c>
      <c r="F5" s="2791"/>
      <c r="G5" s="2791"/>
      <c r="H5" s="2791"/>
      <c r="I5" s="2791"/>
      <c r="J5" s="2791"/>
      <c r="K5" s="2791"/>
      <c r="L5" s="2791"/>
      <c r="M5" s="2791"/>
      <c r="N5" s="2791"/>
      <c r="O5" s="2791"/>
      <c r="P5" s="2791"/>
    </row>
    <row r="6" spans="1:16" ht="15.75">
      <c r="A6" s="2607" t="s">
        <v>2079</v>
      </c>
      <c r="B6" s="2600">
        <f ca="1">SUMIF(INDIRECT("'"&amp;A6&amp;"'"&amp;"!A:A"),"总价",INDIRECT("'"&amp;A6&amp;"'"&amp;"!B:B"))</f>
        <v>0</v>
      </c>
      <c r="C6" s="2145" t="s">
        <v>2073</v>
      </c>
      <c r="D6" s="2791"/>
      <c r="E6" s="2610">
        <f ca="1">SUMIF(INDIRECT("'"&amp;A6&amp;"'"&amp;"!C:C"),"建筑面积",INDIRECT("'"&amp;A6&amp;"'"&amp;"!D:D"))</f>
        <v>6547.83</v>
      </c>
      <c r="F6" s="2791"/>
      <c r="G6" s="2791"/>
      <c r="H6" s="2791"/>
      <c r="I6" s="2791"/>
      <c r="J6" s="2791"/>
      <c r="K6" s="2791"/>
      <c r="L6" s="2791"/>
      <c r="M6" s="2791"/>
      <c r="N6" s="2791"/>
      <c r="O6" s="2791"/>
      <c r="P6" s="2791"/>
    </row>
    <row r="7" spans="1:16" ht="15.75">
      <c r="A7" s="2607"/>
      <c r="B7" s="2600" t="e">
        <f ca="1">SUMIF(INDIRECT("'"&amp;A7&amp;"'"&amp;"!A:A"),"总价",INDIRECT("'"&amp;A7&amp;"'"&amp;"!B:B"))</f>
        <v>#REF!</v>
      </c>
      <c r="C7" s="2145"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2592</v>
      </c>
      <c r="B1" s="3070" t="s">
        <v>2593</v>
      </c>
      <c r="C1" s="3070" t="s">
        <v>2594</v>
      </c>
      <c r="D1" s="3070" t="s">
        <v>2595</v>
      </c>
      <c r="E1" s="3070" t="s">
        <v>2596</v>
      </c>
      <c r="F1" s="3070" t="s">
        <v>2597</v>
      </c>
      <c r="G1" s="3070" t="s">
        <v>2598</v>
      </c>
      <c r="H1" s="3070" t="s">
        <v>2599</v>
      </c>
      <c r="I1" s="3070" t="s">
        <v>2600</v>
      </c>
      <c r="J1" s="3070" t="s">
        <v>2601</v>
      </c>
      <c r="K1" s="3070" t="s">
        <v>2602</v>
      </c>
      <c r="L1" s="3070" t="s">
        <v>2603</v>
      </c>
      <c r="M1" s="3071" t="s">
        <v>2604</v>
      </c>
    </row>
    <row r="2" spans="1:13" ht="19.5" customHeight="1">
      <c r="A2" s="3073" t="s">
        <v>2605</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2606</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2607</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2608</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2609</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2610</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2611</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2612</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2613</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2614</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2615</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2616</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2617</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2618</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2619</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2620</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2621</v>
      </c>
      <c r="B18" s="3095"/>
      <c r="C18" s="3096"/>
      <c r="D18" s="3096"/>
      <c r="E18" s="3095"/>
      <c r="F18" s="3096"/>
      <c r="G18" s="3096"/>
    </row>
    <row r="19" spans="1:13" ht="19.5" customHeight="1" thickBot="1">
      <c r="A19" s="3093" t="s">
        <v>2622</v>
      </c>
      <c r="B19" s="3098" t="s">
        <v>2623</v>
      </c>
      <c r="C19" s="3098" t="s">
        <v>2624</v>
      </c>
      <c r="D19" s="3099"/>
      <c r="E19" s="3093" t="s">
        <v>2625</v>
      </c>
      <c r="F19" s="3100"/>
      <c r="G19" s="3100"/>
    </row>
    <row r="20" spans="1:13" ht="19.5" customHeight="1">
      <c r="A20" s="3803" t="s">
        <v>2605</v>
      </c>
      <c r="B20" s="3798" t="s">
        <v>2626</v>
      </c>
      <c r="C20" s="3101" t="s">
        <v>2437</v>
      </c>
      <c r="D20" s="3102"/>
      <c r="E20" s="3103">
        <v>1</v>
      </c>
      <c r="F20" s="3104" t="s">
        <v>2438</v>
      </c>
      <c r="G20" s="3104"/>
    </row>
    <row r="21" spans="1:13" ht="19.5" customHeight="1">
      <c r="A21" s="3804"/>
      <c r="B21" s="3797"/>
      <c r="C21" s="3105" t="s">
        <v>2439</v>
      </c>
      <c r="D21" s="3106"/>
      <c r="E21" s="3107">
        <v>1</v>
      </c>
      <c r="F21" s="3104" t="s">
        <v>2440</v>
      </c>
      <c r="G21" s="3104"/>
    </row>
    <row r="22" spans="1:13" ht="19.5" customHeight="1">
      <c r="A22" s="3804"/>
      <c r="B22" s="3797"/>
      <c r="C22" s="3105" t="s">
        <v>2441</v>
      </c>
      <c r="D22" s="3106"/>
      <c r="E22" s="3107">
        <v>0.9</v>
      </c>
      <c r="F22" s="3104" t="s">
        <v>2442</v>
      </c>
      <c r="G22" s="3104"/>
    </row>
    <row r="23" spans="1:13" ht="19.5" customHeight="1">
      <c r="A23" s="3804"/>
      <c r="B23" s="3797"/>
      <c r="C23" s="3105" t="s">
        <v>2443</v>
      </c>
      <c r="D23" s="3106"/>
      <c r="E23" s="3107">
        <v>0.9</v>
      </c>
      <c r="F23" s="3104" t="s">
        <v>2444</v>
      </c>
      <c r="G23" s="3104"/>
    </row>
    <row r="24" spans="1:13" ht="19.5" customHeight="1">
      <c r="A24" s="3804"/>
      <c r="B24" s="3797"/>
      <c r="C24" s="3105" t="s">
        <v>2445</v>
      </c>
      <c r="D24" s="3106"/>
      <c r="E24" s="3107">
        <v>0.8</v>
      </c>
      <c r="F24" s="3104" t="s">
        <v>2446</v>
      </c>
      <c r="G24" s="3104"/>
    </row>
    <row r="25" spans="1:13" ht="19.5" customHeight="1" thickBot="1">
      <c r="A25" s="3805"/>
      <c r="B25" s="3799"/>
      <c r="C25" s="3108" t="s">
        <v>2447</v>
      </c>
      <c r="D25" s="3109"/>
      <c r="E25" s="3110">
        <v>0.8</v>
      </c>
      <c r="F25" s="3104" t="s">
        <v>2448</v>
      </c>
      <c r="G25" s="3104"/>
    </row>
    <row r="26" spans="1:13" ht="19.5" customHeight="1" thickBot="1">
      <c r="A26" s="3111" t="s">
        <v>2627</v>
      </c>
      <c r="B26" s="3112" t="s">
        <v>2626</v>
      </c>
      <c r="C26" s="3113" t="s">
        <v>2628</v>
      </c>
      <c r="D26" s="3114"/>
      <c r="E26" s="3115">
        <v>1</v>
      </c>
      <c r="F26" s="3104" t="s">
        <v>2449</v>
      </c>
      <c r="G26" s="3104"/>
    </row>
    <row r="27" spans="1:13" ht="19.5" customHeight="1">
      <c r="A27" s="3800" t="s">
        <v>2629</v>
      </c>
      <c r="B27" s="3798" t="s">
        <v>2610</v>
      </c>
      <c r="C27" s="3101" t="s">
        <v>2450</v>
      </c>
      <c r="D27" s="3102"/>
      <c r="E27" s="3103">
        <v>1</v>
      </c>
      <c r="F27" s="3104" t="s">
        <v>2451</v>
      </c>
      <c r="G27" s="3104"/>
    </row>
    <row r="28" spans="1:13" ht="19.5" customHeight="1">
      <c r="A28" s="3801"/>
      <c r="B28" s="3797"/>
      <c r="C28" s="3105" t="s">
        <v>2452</v>
      </c>
      <c r="D28" s="3106"/>
      <c r="E28" s="3107">
        <v>1</v>
      </c>
      <c r="F28" s="3104" t="s">
        <v>2453</v>
      </c>
      <c r="G28" s="3104"/>
    </row>
    <row r="29" spans="1:13" ht="19.5" customHeight="1">
      <c r="A29" s="3801"/>
      <c r="B29" s="3797"/>
      <c r="C29" s="3105" t="s">
        <v>2454</v>
      </c>
      <c r="D29" s="3106"/>
      <c r="E29" s="3107">
        <v>0.8</v>
      </c>
      <c r="F29" s="3104" t="s">
        <v>2455</v>
      </c>
      <c r="G29" s="3104"/>
    </row>
    <row r="30" spans="1:13" ht="19.5" customHeight="1">
      <c r="A30" s="3801"/>
      <c r="B30" s="3797"/>
      <c r="C30" s="3105" t="s">
        <v>2456</v>
      </c>
      <c r="D30" s="3106"/>
      <c r="E30" s="3107">
        <v>0.8</v>
      </c>
      <c r="F30" s="3104" t="s">
        <v>2457</v>
      </c>
      <c r="G30" s="3104"/>
    </row>
    <row r="31" spans="1:13" ht="19.5" customHeight="1">
      <c r="A31" s="3801"/>
      <c r="B31" s="3797"/>
      <c r="C31" s="3105" t="s">
        <v>2458</v>
      </c>
      <c r="D31" s="3106"/>
      <c r="E31" s="3107">
        <v>0.8</v>
      </c>
      <c r="F31" s="3104" t="s">
        <v>2459</v>
      </c>
      <c r="G31" s="3104"/>
    </row>
    <row r="32" spans="1:13" ht="19.5" customHeight="1">
      <c r="A32" s="3801"/>
      <c r="B32" s="3797"/>
      <c r="C32" s="3105" t="s">
        <v>2460</v>
      </c>
      <c r="D32" s="3106"/>
      <c r="E32" s="3107">
        <v>0.7</v>
      </c>
      <c r="F32" s="3104" t="s">
        <v>2461</v>
      </c>
      <c r="G32" s="3104"/>
    </row>
    <row r="33" spans="1:7" ht="19.5" customHeight="1">
      <c r="A33" s="3801"/>
      <c r="B33" s="3797"/>
      <c r="C33" s="3105" t="s">
        <v>2462</v>
      </c>
      <c r="D33" s="3106"/>
      <c r="E33" s="3107">
        <v>0.8</v>
      </c>
      <c r="F33" s="3104" t="s">
        <v>2463</v>
      </c>
      <c r="G33" s="3104"/>
    </row>
    <row r="34" spans="1:7" ht="19.5" customHeight="1">
      <c r="A34" s="3801"/>
      <c r="B34" s="3797"/>
      <c r="C34" s="3105" t="s">
        <v>2464</v>
      </c>
      <c r="D34" s="3106"/>
      <c r="E34" s="3107">
        <v>0.6</v>
      </c>
      <c r="F34" s="3104" t="s">
        <v>2465</v>
      </c>
      <c r="G34" s="3104"/>
    </row>
    <row r="35" spans="1:7" ht="19.5" customHeight="1">
      <c r="A35" s="3801"/>
      <c r="B35" s="3797"/>
      <c r="C35" s="3105" t="s">
        <v>2466</v>
      </c>
      <c r="D35" s="3106"/>
      <c r="E35" s="3107">
        <v>0.2</v>
      </c>
      <c r="F35" s="3104" t="s">
        <v>2467</v>
      </c>
      <c r="G35" s="3104"/>
    </row>
    <row r="36" spans="1:7" ht="19.5" customHeight="1">
      <c r="A36" s="3801"/>
      <c r="B36" s="3797"/>
      <c r="C36" s="3105" t="s">
        <v>2468</v>
      </c>
      <c r="D36" s="3106"/>
      <c r="E36" s="3107">
        <v>0.2</v>
      </c>
      <c r="F36" s="3104" t="s">
        <v>2469</v>
      </c>
      <c r="G36" s="3104"/>
    </row>
    <row r="37" spans="1:7" ht="19.5" customHeight="1">
      <c r="A37" s="3801"/>
      <c r="B37" s="3795" t="s">
        <v>2630</v>
      </c>
      <c r="C37" s="3105" t="s">
        <v>2470</v>
      </c>
      <c r="D37" s="3106"/>
      <c r="E37" s="3107">
        <v>0.6</v>
      </c>
      <c r="F37" s="3104" t="s">
        <v>2471</v>
      </c>
      <c r="G37" s="3104"/>
    </row>
    <row r="38" spans="1:7" ht="19.5" customHeight="1">
      <c r="A38" s="3801"/>
      <c r="B38" s="3797"/>
      <c r="C38" s="3105" t="s">
        <v>2472</v>
      </c>
      <c r="D38" s="3106"/>
      <c r="E38" s="3107">
        <v>0.6</v>
      </c>
      <c r="F38" s="3104" t="s">
        <v>2473</v>
      </c>
      <c r="G38" s="3104"/>
    </row>
    <row r="39" spans="1:7" ht="19.5" customHeight="1" thickBot="1">
      <c r="A39" s="3802"/>
      <c r="B39" s="3799"/>
      <c r="C39" s="3108" t="s">
        <v>2474</v>
      </c>
      <c r="D39" s="3109"/>
      <c r="E39" s="3110">
        <v>0.6</v>
      </c>
      <c r="F39" s="3104" t="s">
        <v>2475</v>
      </c>
      <c r="G39" s="3104"/>
    </row>
    <row r="40" spans="1:7" ht="19.5" customHeight="1" thickBot="1">
      <c r="A40" s="3111" t="s">
        <v>2607</v>
      </c>
      <c r="B40" s="3112" t="s">
        <v>2607</v>
      </c>
      <c r="C40" s="3113" t="s">
        <v>2631</v>
      </c>
      <c r="D40" s="3114"/>
      <c r="E40" s="3115">
        <v>1</v>
      </c>
      <c r="F40" s="3104" t="s">
        <v>2476</v>
      </c>
      <c r="G40" s="3104"/>
    </row>
    <row r="41" spans="1:7" ht="19.5" customHeight="1">
      <c r="A41" s="3803" t="s">
        <v>2608</v>
      </c>
      <c r="B41" s="3798" t="s">
        <v>2632</v>
      </c>
      <c r="C41" s="3101" t="s">
        <v>2477</v>
      </c>
      <c r="D41" s="3102"/>
      <c r="E41" s="3103">
        <v>1</v>
      </c>
      <c r="F41" s="3104" t="s">
        <v>2478</v>
      </c>
      <c r="G41" s="3104"/>
    </row>
    <row r="42" spans="1:7" ht="19.5" customHeight="1">
      <c r="A42" s="3804"/>
      <c r="B42" s="3797"/>
      <c r="C42" s="3105" t="s">
        <v>2479</v>
      </c>
      <c r="D42" s="3106"/>
      <c r="E42" s="3107">
        <v>1</v>
      </c>
      <c r="F42" s="3104" t="s">
        <v>2480</v>
      </c>
      <c r="G42" s="3104"/>
    </row>
    <row r="43" spans="1:7" ht="19.5" customHeight="1">
      <c r="A43" s="3804"/>
      <c r="B43" s="3796"/>
      <c r="C43" s="3105" t="s">
        <v>2481</v>
      </c>
      <c r="D43" s="3106"/>
      <c r="E43" s="3107">
        <v>1.5</v>
      </c>
      <c r="F43" s="3104" t="s">
        <v>2482</v>
      </c>
      <c r="G43" s="3104"/>
    </row>
    <row r="44" spans="1:7" ht="19.5" customHeight="1">
      <c r="A44" s="3804"/>
      <c r="B44" s="3116" t="s">
        <v>2633</v>
      </c>
      <c r="C44" s="3105" t="s">
        <v>2634</v>
      </c>
      <c r="D44" s="3106"/>
      <c r="E44" s="3107">
        <v>2</v>
      </c>
      <c r="F44" s="3104" t="s">
        <v>2483</v>
      </c>
      <c r="G44" s="3104"/>
    </row>
    <row r="45" spans="1:7" ht="19.5" customHeight="1">
      <c r="A45" s="3804"/>
      <c r="B45" s="3795" t="s">
        <v>2635</v>
      </c>
      <c r="C45" s="3105" t="s">
        <v>2484</v>
      </c>
      <c r="D45" s="3106"/>
      <c r="E45" s="3107">
        <v>1</v>
      </c>
      <c r="F45" s="3104" t="s">
        <v>2485</v>
      </c>
      <c r="G45" s="3104"/>
    </row>
    <row r="46" spans="1:7" ht="19.5" customHeight="1">
      <c r="A46" s="3804"/>
      <c r="B46" s="3797"/>
      <c r="C46" s="3105" t="s">
        <v>2486</v>
      </c>
      <c r="D46" s="3106"/>
      <c r="E46" s="3107">
        <v>1</v>
      </c>
      <c r="F46" s="3104" t="s">
        <v>2487</v>
      </c>
      <c r="G46" s="3104"/>
    </row>
    <row r="47" spans="1:7" ht="19.5" customHeight="1">
      <c r="A47" s="3804"/>
      <c r="B47" s="3797"/>
      <c r="C47" s="3105" t="s">
        <v>2488</v>
      </c>
      <c r="D47" s="3106"/>
      <c r="E47" s="3107">
        <v>1</v>
      </c>
      <c r="F47" s="3104" t="s">
        <v>2489</v>
      </c>
      <c r="G47" s="3104"/>
    </row>
    <row r="48" spans="1:7" ht="19.5" customHeight="1">
      <c r="A48" s="3804"/>
      <c r="B48" s="3797"/>
      <c r="C48" s="3105" t="s">
        <v>2490</v>
      </c>
      <c r="D48" s="3106"/>
      <c r="E48" s="3107">
        <v>1</v>
      </c>
      <c r="F48" s="3104" t="s">
        <v>2491</v>
      </c>
      <c r="G48" s="3104"/>
    </row>
    <row r="49" spans="1:7" ht="19.5" customHeight="1">
      <c r="A49" s="3804"/>
      <c r="B49" s="3797"/>
      <c r="C49" s="3105" t="s">
        <v>2492</v>
      </c>
      <c r="D49" s="3106"/>
      <c r="E49" s="3107">
        <v>1</v>
      </c>
      <c r="F49" s="3104" t="s">
        <v>2493</v>
      </c>
      <c r="G49" s="3104"/>
    </row>
    <row r="50" spans="1:7" ht="19.5" customHeight="1">
      <c r="A50" s="3804"/>
      <c r="B50" s="3797"/>
      <c r="C50" s="3105" t="s">
        <v>2494</v>
      </c>
      <c r="D50" s="3106"/>
      <c r="E50" s="3107">
        <v>1</v>
      </c>
      <c r="F50" s="3104" t="s">
        <v>2495</v>
      </c>
      <c r="G50" s="3104"/>
    </row>
    <row r="51" spans="1:7" ht="19.5" customHeight="1" thickBot="1">
      <c r="A51" s="3805"/>
      <c r="B51" s="3799"/>
      <c r="C51" s="3108" t="s">
        <v>2496</v>
      </c>
      <c r="D51" s="3109"/>
      <c r="E51" s="3110">
        <v>1</v>
      </c>
      <c r="F51" s="3104" t="s">
        <v>2497</v>
      </c>
      <c r="G51" s="3104"/>
    </row>
    <row r="52" spans="1:7" ht="19.5" customHeight="1">
      <c r="A52" s="3117"/>
      <c r="B52" s="3117"/>
      <c r="C52" s="3117"/>
      <c r="D52" s="3117"/>
      <c r="E52" s="3117"/>
      <c r="F52" s="3117"/>
      <c r="G52" s="3117"/>
    </row>
    <row r="54" spans="1:7" ht="19.5" customHeight="1">
      <c r="A54" s="3118"/>
      <c r="B54" s="3090" t="s">
        <v>2636</v>
      </c>
      <c r="C54" s="3090" t="s">
        <v>2636</v>
      </c>
      <c r="D54" s="3090" t="s">
        <v>2636</v>
      </c>
      <c r="E54" s="3093" t="s">
        <v>2636</v>
      </c>
      <c r="F54" s="3093" t="s">
        <v>2637</v>
      </c>
      <c r="G54" s="3093" t="s">
        <v>2638</v>
      </c>
    </row>
    <row r="55" spans="1:7" ht="19.5" customHeight="1">
      <c r="A55" s="3119"/>
      <c r="B55" s="3093" t="s">
        <v>2605</v>
      </c>
      <c r="C55" s="3093" t="s">
        <v>2605</v>
      </c>
      <c r="D55" s="3093" t="s">
        <v>2605</v>
      </c>
      <c r="E55" s="3090" t="s">
        <v>2606</v>
      </c>
      <c r="F55" s="3090" t="s">
        <v>2608</v>
      </c>
      <c r="G55" s="3090" t="s">
        <v>2639</v>
      </c>
    </row>
    <row r="56" spans="1:7" ht="19.5" customHeight="1">
      <c r="A56" s="3120"/>
      <c r="B56" s="3090">
        <v>1</v>
      </c>
      <c r="C56" s="3090">
        <v>2</v>
      </c>
      <c r="D56" s="3090">
        <v>3</v>
      </c>
      <c r="E56" s="3121" t="s">
        <v>2640</v>
      </c>
      <c r="F56" s="3121" t="s">
        <v>2640</v>
      </c>
      <c r="G56" s="3121" t="s">
        <v>2640</v>
      </c>
    </row>
    <row r="57" spans="1:7" ht="19.5" customHeight="1">
      <c r="A57" s="3122" t="s">
        <v>2593</v>
      </c>
      <c r="B57" s="3090">
        <v>0.7</v>
      </c>
      <c r="C57" s="3090">
        <v>0.4</v>
      </c>
      <c r="D57" s="3090">
        <v>0.3</v>
      </c>
      <c r="E57" s="3121">
        <v>0.3</v>
      </c>
      <c r="F57" s="3090">
        <v>0.3</v>
      </c>
      <c r="G57" s="3090">
        <v>0.2</v>
      </c>
    </row>
    <row r="58" spans="1:7" ht="19.5" customHeight="1">
      <c r="A58" s="3122" t="s">
        <v>2594</v>
      </c>
      <c r="B58" s="3090">
        <v>0.7</v>
      </c>
      <c r="C58" s="3090">
        <v>0.4</v>
      </c>
      <c r="D58" s="3090">
        <v>0.3</v>
      </c>
      <c r="E58" s="3090">
        <v>0.3</v>
      </c>
      <c r="F58" s="3090">
        <v>0.3</v>
      </c>
      <c r="G58" s="3090">
        <v>0.2</v>
      </c>
    </row>
    <row r="59" spans="1:7" ht="19.5" customHeight="1">
      <c r="A59" s="3122" t="s">
        <v>2595</v>
      </c>
      <c r="B59" s="3090">
        <v>0.6</v>
      </c>
      <c r="C59" s="3090">
        <v>0.3</v>
      </c>
      <c r="D59" s="3090">
        <v>0.25</v>
      </c>
      <c r="E59" s="3090">
        <v>0.25</v>
      </c>
      <c r="F59" s="3090">
        <v>0.25</v>
      </c>
      <c r="G59" s="3090">
        <v>0.15</v>
      </c>
    </row>
    <row r="60" spans="1:7" ht="19.5" customHeight="1">
      <c r="A60" s="3122" t="s">
        <v>2596</v>
      </c>
      <c r="B60" s="3090">
        <v>0.6</v>
      </c>
      <c r="C60" s="3090">
        <v>0.3</v>
      </c>
      <c r="D60" s="3090">
        <v>0.25</v>
      </c>
      <c r="E60" s="3090">
        <v>0.25</v>
      </c>
      <c r="F60" s="3090">
        <v>0.25</v>
      </c>
      <c r="G60" s="3090">
        <v>0.15</v>
      </c>
    </row>
    <row r="61" spans="1:7" ht="19.5" customHeight="1">
      <c r="A61" s="3122" t="s">
        <v>2597</v>
      </c>
      <c r="B61" s="3090">
        <v>0.6</v>
      </c>
      <c r="C61" s="3090">
        <v>0.3</v>
      </c>
      <c r="D61" s="3090">
        <v>0.25</v>
      </c>
      <c r="E61" s="3090">
        <v>0.25</v>
      </c>
      <c r="F61" s="3090">
        <v>0.25</v>
      </c>
      <c r="G61" s="3090">
        <v>0.15</v>
      </c>
    </row>
    <row r="62" spans="1:7" ht="19.5" customHeight="1">
      <c r="A62" s="3122" t="s">
        <v>2598</v>
      </c>
      <c r="B62" s="3090">
        <v>0.6</v>
      </c>
      <c r="C62" s="3090">
        <v>0.3</v>
      </c>
      <c r="D62" s="3090">
        <v>0.25</v>
      </c>
      <c r="E62" s="3090">
        <v>0.25</v>
      </c>
      <c r="F62" s="3090">
        <v>0.25</v>
      </c>
      <c r="G62" s="3090">
        <v>0.15</v>
      </c>
    </row>
    <row r="63" spans="1:7" ht="19.5" customHeight="1">
      <c r="A63" s="3122" t="s">
        <v>2599</v>
      </c>
      <c r="B63" s="3090">
        <v>0.6</v>
      </c>
      <c r="C63" s="3090">
        <v>0.3</v>
      </c>
      <c r="D63" s="3090">
        <v>0.25</v>
      </c>
      <c r="E63" s="3090">
        <v>0.25</v>
      </c>
      <c r="F63" s="3090">
        <v>0.25</v>
      </c>
      <c r="G63" s="3090">
        <v>0.15</v>
      </c>
    </row>
    <row r="64" spans="1:7" ht="19.5" customHeight="1">
      <c r="A64" s="3122" t="s">
        <v>2600</v>
      </c>
      <c r="B64" s="3090">
        <v>0.5</v>
      </c>
      <c r="C64" s="3090">
        <v>0.2</v>
      </c>
      <c r="D64" s="3090">
        <v>0.2</v>
      </c>
      <c r="E64" s="3090">
        <v>0.2</v>
      </c>
      <c r="F64" s="3090">
        <v>0.2</v>
      </c>
      <c r="G64" s="3090">
        <v>0.1</v>
      </c>
    </row>
    <row r="65" spans="1:7" ht="19.5" customHeight="1">
      <c r="A65" s="3122" t="s">
        <v>2601</v>
      </c>
      <c r="B65" s="3090">
        <v>0.5</v>
      </c>
      <c r="C65" s="3090">
        <v>0.2</v>
      </c>
      <c r="D65" s="3090">
        <v>0.2</v>
      </c>
      <c r="E65" s="3090">
        <v>0.2</v>
      </c>
      <c r="F65" s="3090">
        <v>0.2</v>
      </c>
      <c r="G65" s="3090">
        <v>0.1</v>
      </c>
    </row>
    <row r="66" spans="1:7" ht="19.5" customHeight="1">
      <c r="A66" s="3122" t="s">
        <v>2602</v>
      </c>
      <c r="B66" s="3090">
        <v>0.5</v>
      </c>
      <c r="C66" s="3090">
        <v>0.2</v>
      </c>
      <c r="D66" s="3090">
        <v>0.2</v>
      </c>
      <c r="E66" s="3090">
        <v>0.2</v>
      </c>
      <c r="F66" s="3090">
        <v>0.2</v>
      </c>
      <c r="G66" s="3090">
        <v>0.1</v>
      </c>
    </row>
    <row r="67" spans="1:7" ht="19.5" customHeight="1">
      <c r="A67" s="3122" t="s">
        <v>2603</v>
      </c>
      <c r="B67" s="3090">
        <v>0.5</v>
      </c>
      <c r="C67" s="3090">
        <v>0.2</v>
      </c>
      <c r="D67" s="3090">
        <v>0.2</v>
      </c>
      <c r="E67" s="3090">
        <v>0.2</v>
      </c>
      <c r="F67" s="3090">
        <v>0.2</v>
      </c>
      <c r="G67" s="3090">
        <v>0.1</v>
      </c>
    </row>
    <row r="68" spans="1:7" ht="19.5" customHeight="1">
      <c r="A68" s="3122" t="s">
        <v>2604</v>
      </c>
      <c r="B68" s="3090">
        <v>0.5</v>
      </c>
      <c r="C68" s="3090">
        <v>0.2</v>
      </c>
      <c r="D68" s="3090">
        <v>0.2</v>
      </c>
      <c r="E68" s="3090">
        <v>0.2</v>
      </c>
      <c r="F68" s="3090">
        <v>0.2</v>
      </c>
      <c r="G68" s="3090">
        <v>0.1</v>
      </c>
    </row>
    <row r="70" spans="1:7" ht="19.5" customHeight="1">
      <c r="A70" s="3123"/>
      <c r="B70" s="3124"/>
      <c r="C70" s="3124"/>
      <c r="D70" s="3124" t="s">
        <v>2641</v>
      </c>
      <c r="E70" s="3124"/>
      <c r="F70" s="3124"/>
    </row>
    <row r="71" spans="1:7" ht="19.5" customHeight="1">
      <c r="A71" s="3116" t="s">
        <v>2642</v>
      </c>
      <c r="B71" s="3116" t="s">
        <v>2643</v>
      </c>
      <c r="C71" s="3116" t="s">
        <v>2644</v>
      </c>
      <c r="D71" s="3116" t="s">
        <v>2645</v>
      </c>
      <c r="E71" s="3116" t="s">
        <v>2646</v>
      </c>
      <c r="F71" s="3116" t="s">
        <v>2647</v>
      </c>
    </row>
    <row r="72" spans="1:7" ht="13.5">
      <c r="A72" s="3116"/>
      <c r="B72" s="3116"/>
      <c r="C72" s="3116" t="s">
        <v>2648</v>
      </c>
      <c r="D72" s="3116"/>
      <c r="E72" s="3116" t="s">
        <v>2619</v>
      </c>
      <c r="F72" s="3116" t="s">
        <v>2619</v>
      </c>
    </row>
    <row r="73" spans="1:7" ht="13.5">
      <c r="A73" s="3116">
        <v>1</v>
      </c>
      <c r="B73" s="3795" t="s">
        <v>2649</v>
      </c>
      <c r="C73" s="3090" t="s">
        <v>2650</v>
      </c>
      <c r="D73" s="3090" t="s">
        <v>2651</v>
      </c>
      <c r="E73" s="3116">
        <v>0.2</v>
      </c>
      <c r="F73" s="3116">
        <v>25</v>
      </c>
    </row>
    <row r="74" spans="1:7" ht="24">
      <c r="A74" s="3116">
        <v>2</v>
      </c>
      <c r="B74" s="3797"/>
      <c r="C74" s="3090" t="s">
        <v>2652</v>
      </c>
      <c r="D74" s="3090" t="s">
        <v>2653</v>
      </c>
      <c r="E74" s="3116">
        <v>0.2</v>
      </c>
      <c r="F74" s="3116">
        <v>25</v>
      </c>
    </row>
    <row r="75" spans="1:7" ht="24">
      <c r="A75" s="3116">
        <v>3</v>
      </c>
      <c r="B75" s="3797"/>
      <c r="C75" s="3090" t="s">
        <v>2654</v>
      </c>
      <c r="D75" s="3090" t="s">
        <v>2655</v>
      </c>
      <c r="E75" s="3116">
        <v>0.2</v>
      </c>
      <c r="F75" s="3116">
        <v>25</v>
      </c>
    </row>
    <row r="76" spans="1:7" ht="13.5">
      <c r="A76" s="3116">
        <v>4</v>
      </c>
      <c r="B76" s="3797"/>
      <c r="C76" s="3090" t="s">
        <v>2656</v>
      </c>
      <c r="D76" s="3090" t="s">
        <v>2657</v>
      </c>
      <c r="E76" s="3116">
        <v>0.15</v>
      </c>
      <c r="F76" s="3116">
        <v>20</v>
      </c>
    </row>
    <row r="77" spans="1:7" ht="24">
      <c r="A77" s="3116">
        <v>5</v>
      </c>
      <c r="B77" s="3797"/>
      <c r="C77" s="3090" t="s">
        <v>2658</v>
      </c>
      <c r="D77" s="3090" t="s">
        <v>2659</v>
      </c>
      <c r="E77" s="3116">
        <v>0.15</v>
      </c>
      <c r="F77" s="3116">
        <v>20</v>
      </c>
    </row>
    <row r="78" spans="1:7" ht="24">
      <c r="A78" s="3116">
        <v>6</v>
      </c>
      <c r="B78" s="3797"/>
      <c r="C78" s="3090" t="s">
        <v>2660</v>
      </c>
      <c r="D78" s="3090" t="s">
        <v>2661</v>
      </c>
      <c r="E78" s="3116">
        <v>0.15</v>
      </c>
      <c r="F78" s="3116">
        <v>20</v>
      </c>
    </row>
    <row r="79" spans="1:7" ht="24">
      <c r="A79" s="3116">
        <v>7</v>
      </c>
      <c r="B79" s="3797"/>
      <c r="C79" s="3090" t="s">
        <v>2662</v>
      </c>
      <c r="D79" s="3090" t="s">
        <v>2663</v>
      </c>
      <c r="E79" s="3116">
        <v>0.15</v>
      </c>
      <c r="F79" s="3116">
        <v>20</v>
      </c>
    </row>
    <row r="80" spans="1:7" ht="24">
      <c r="A80" s="3116">
        <v>8</v>
      </c>
      <c r="B80" s="3797"/>
      <c r="C80" s="3090" t="s">
        <v>2664</v>
      </c>
      <c r="D80" s="3090" t="s">
        <v>2665</v>
      </c>
      <c r="E80" s="3116">
        <v>0.1</v>
      </c>
      <c r="F80" s="3116">
        <v>15</v>
      </c>
    </row>
    <row r="81" spans="1:6" ht="24">
      <c r="A81" s="3116">
        <v>9</v>
      </c>
      <c r="B81" s="3797"/>
      <c r="C81" s="3090" t="s">
        <v>2666</v>
      </c>
      <c r="D81" s="3090" t="s">
        <v>2667</v>
      </c>
      <c r="E81" s="3116">
        <v>0.1</v>
      </c>
      <c r="F81" s="3116">
        <v>15</v>
      </c>
    </row>
    <row r="82" spans="1:6" ht="24">
      <c r="A82" s="3116">
        <v>10</v>
      </c>
      <c r="B82" s="3797"/>
      <c r="C82" s="3090" t="s">
        <v>2668</v>
      </c>
      <c r="D82" s="3090" t="s">
        <v>2669</v>
      </c>
      <c r="E82" s="3116">
        <v>0.1</v>
      </c>
      <c r="F82" s="3116">
        <v>15</v>
      </c>
    </row>
    <row r="83" spans="1:6" ht="24">
      <c r="A83" s="3116">
        <v>11</v>
      </c>
      <c r="B83" s="3797"/>
      <c r="C83" s="3090" t="s">
        <v>2670</v>
      </c>
      <c r="D83" s="3090" t="s">
        <v>2671</v>
      </c>
      <c r="E83" s="3116">
        <v>0.1</v>
      </c>
      <c r="F83" s="3116">
        <v>15</v>
      </c>
    </row>
    <row r="84" spans="1:6" ht="24">
      <c r="A84" s="3116">
        <v>12</v>
      </c>
      <c r="B84" s="3797"/>
      <c r="C84" s="3090" t="s">
        <v>2672</v>
      </c>
      <c r="D84" s="3090" t="s">
        <v>2673</v>
      </c>
      <c r="E84" s="3116">
        <v>0.1</v>
      </c>
      <c r="F84" s="3116">
        <v>15</v>
      </c>
    </row>
    <row r="85" spans="1:6" ht="13.5">
      <c r="A85" s="3116">
        <v>13</v>
      </c>
      <c r="B85" s="3797"/>
      <c r="C85" s="3090" t="s">
        <v>2674</v>
      </c>
      <c r="D85" s="3090" t="s">
        <v>2675</v>
      </c>
      <c r="E85" s="3116">
        <v>0.1</v>
      </c>
      <c r="F85" s="3116">
        <v>15</v>
      </c>
    </row>
    <row r="86" spans="1:6" ht="13.5">
      <c r="A86" s="3116">
        <v>14</v>
      </c>
      <c r="B86" s="3797"/>
      <c r="C86" s="3090" t="s">
        <v>2676</v>
      </c>
      <c r="D86" s="3090" t="s">
        <v>2677</v>
      </c>
      <c r="E86" s="3116">
        <v>0.1</v>
      </c>
      <c r="F86" s="3116">
        <v>15</v>
      </c>
    </row>
    <row r="87" spans="1:6" ht="13.5">
      <c r="A87" s="3116">
        <v>15</v>
      </c>
      <c r="B87" s="3797"/>
      <c r="C87" s="3090" t="s">
        <v>2678</v>
      </c>
      <c r="D87" s="3090" t="s">
        <v>2679</v>
      </c>
      <c r="E87" s="3116">
        <v>0.1</v>
      </c>
      <c r="F87" s="3116">
        <v>15</v>
      </c>
    </row>
    <row r="88" spans="1:6" ht="24">
      <c r="A88" s="3116">
        <v>16</v>
      </c>
      <c r="B88" s="3797"/>
      <c r="C88" s="3090" t="s">
        <v>2680</v>
      </c>
      <c r="D88" s="3090" t="s">
        <v>2681</v>
      </c>
      <c r="E88" s="3116">
        <v>0.1</v>
      </c>
      <c r="F88" s="3116">
        <v>15</v>
      </c>
    </row>
    <row r="89" spans="1:6" ht="24">
      <c r="A89" s="3116">
        <v>17</v>
      </c>
      <c r="B89" s="3796"/>
      <c r="C89" s="3090" t="s">
        <v>2682</v>
      </c>
      <c r="D89" s="3090" t="s">
        <v>2683</v>
      </c>
      <c r="E89" s="3116">
        <v>0.1</v>
      </c>
      <c r="F89" s="3116">
        <v>15</v>
      </c>
    </row>
    <row r="90" spans="1:6" ht="13.5">
      <c r="A90" s="3116">
        <v>18</v>
      </c>
      <c r="B90" s="3795" t="s">
        <v>2684</v>
      </c>
      <c r="C90" s="3090" t="s">
        <v>2685</v>
      </c>
      <c r="D90" s="3090" t="s">
        <v>2686</v>
      </c>
      <c r="E90" s="3116">
        <v>0.2</v>
      </c>
      <c r="F90" s="3116">
        <v>25</v>
      </c>
    </row>
    <row r="91" spans="1:6" ht="24">
      <c r="A91" s="3116">
        <v>19</v>
      </c>
      <c r="B91" s="3797"/>
      <c r="C91" s="3090" t="s">
        <v>2687</v>
      </c>
      <c r="D91" s="3090" t="s">
        <v>2688</v>
      </c>
      <c r="E91" s="3116">
        <v>0.2</v>
      </c>
      <c r="F91" s="3116">
        <v>25</v>
      </c>
    </row>
    <row r="92" spans="1:6" ht="13.5">
      <c r="A92" s="3116">
        <v>20</v>
      </c>
      <c r="B92" s="3797"/>
      <c r="C92" s="3090" t="s">
        <v>2689</v>
      </c>
      <c r="D92" s="3090" t="s">
        <v>2690</v>
      </c>
      <c r="E92" s="3116">
        <v>0.15</v>
      </c>
      <c r="F92" s="3116">
        <v>20</v>
      </c>
    </row>
    <row r="93" spans="1:6" ht="13.5">
      <c r="A93" s="3116">
        <v>21</v>
      </c>
      <c r="B93" s="3797"/>
      <c r="C93" s="3090" t="s">
        <v>2691</v>
      </c>
      <c r="D93" s="3090" t="s">
        <v>2692</v>
      </c>
      <c r="E93" s="3116">
        <v>0.15</v>
      </c>
      <c r="F93" s="3116">
        <v>20</v>
      </c>
    </row>
    <row r="94" spans="1:6" ht="13.5">
      <c r="A94" s="3116">
        <v>22</v>
      </c>
      <c r="B94" s="3797"/>
      <c r="C94" s="3090" t="s">
        <v>2693</v>
      </c>
      <c r="D94" s="3090" t="s">
        <v>2694</v>
      </c>
      <c r="E94" s="3116">
        <v>0.15</v>
      </c>
      <c r="F94" s="3116">
        <v>20</v>
      </c>
    </row>
    <row r="95" spans="1:6" ht="36">
      <c r="A95" s="3116">
        <v>23</v>
      </c>
      <c r="B95" s="3797"/>
      <c r="C95" s="3090" t="s">
        <v>2695</v>
      </c>
      <c r="D95" s="3090" t="s">
        <v>2696</v>
      </c>
      <c r="E95" s="3116">
        <v>0.15</v>
      </c>
      <c r="F95" s="3116">
        <v>20</v>
      </c>
    </row>
    <row r="96" spans="1:6" ht="13.5">
      <c r="A96" s="3116">
        <v>24</v>
      </c>
      <c r="B96" s="3797"/>
      <c r="C96" s="3090" t="s">
        <v>2697</v>
      </c>
      <c r="D96" s="3090" t="s">
        <v>2698</v>
      </c>
      <c r="E96" s="3116">
        <v>0.1</v>
      </c>
      <c r="F96" s="3116">
        <v>15</v>
      </c>
    </row>
    <row r="97" spans="1:6" ht="13.5">
      <c r="A97" s="3116">
        <v>25</v>
      </c>
      <c r="B97" s="3797"/>
      <c r="C97" s="3090" t="s">
        <v>2699</v>
      </c>
      <c r="D97" s="3090" t="s">
        <v>2700</v>
      </c>
      <c r="E97" s="3116">
        <v>0.1</v>
      </c>
      <c r="F97" s="3116">
        <v>15</v>
      </c>
    </row>
    <row r="98" spans="1:6" ht="24">
      <c r="A98" s="3116">
        <v>26</v>
      </c>
      <c r="B98" s="3797"/>
      <c r="C98" s="3090" t="s">
        <v>2701</v>
      </c>
      <c r="D98" s="3090" t="s">
        <v>2702</v>
      </c>
      <c r="E98" s="3116">
        <v>0.1</v>
      </c>
      <c r="F98" s="3116">
        <v>15</v>
      </c>
    </row>
    <row r="99" spans="1:6" ht="24">
      <c r="A99" s="3116">
        <v>27</v>
      </c>
      <c r="B99" s="3797"/>
      <c r="C99" s="3090" t="s">
        <v>2703</v>
      </c>
      <c r="D99" s="3090" t="s">
        <v>2704</v>
      </c>
      <c r="E99" s="3116">
        <v>0.1</v>
      </c>
      <c r="F99" s="3116">
        <v>15</v>
      </c>
    </row>
    <row r="100" spans="1:6" ht="13.5">
      <c r="A100" s="3116">
        <v>28</v>
      </c>
      <c r="B100" s="3797"/>
      <c r="C100" s="3090" t="s">
        <v>2705</v>
      </c>
      <c r="D100" s="3090" t="s">
        <v>2706</v>
      </c>
      <c r="E100" s="3116">
        <v>0.1</v>
      </c>
      <c r="F100" s="3116">
        <v>15</v>
      </c>
    </row>
    <row r="101" spans="1:6" ht="13.5">
      <c r="A101" s="3116">
        <v>29</v>
      </c>
      <c r="B101" s="3797"/>
      <c r="C101" s="3090" t="s">
        <v>2707</v>
      </c>
      <c r="D101" s="3090" t="s">
        <v>2708</v>
      </c>
      <c r="E101" s="3116">
        <v>0.1</v>
      </c>
      <c r="F101" s="3116">
        <v>15</v>
      </c>
    </row>
    <row r="102" spans="1:6" ht="13.5">
      <c r="A102" s="3116">
        <v>30</v>
      </c>
      <c r="B102" s="3797"/>
      <c r="C102" s="3090" t="s">
        <v>2709</v>
      </c>
      <c r="D102" s="3090" t="s">
        <v>2710</v>
      </c>
      <c r="E102" s="3116">
        <v>0.1</v>
      </c>
      <c r="F102" s="3116">
        <v>15</v>
      </c>
    </row>
    <row r="103" spans="1:6" ht="24">
      <c r="A103" s="3116">
        <v>31</v>
      </c>
      <c r="B103" s="3797"/>
      <c r="C103" s="3090" t="s">
        <v>2711</v>
      </c>
      <c r="D103" s="3090" t="s">
        <v>2712</v>
      </c>
      <c r="E103" s="3116">
        <v>0.1</v>
      </c>
      <c r="F103" s="3116">
        <v>15</v>
      </c>
    </row>
    <row r="104" spans="1:6" ht="24">
      <c r="A104" s="3116">
        <v>32</v>
      </c>
      <c r="B104" s="3797"/>
      <c r="C104" s="3090" t="s">
        <v>2713</v>
      </c>
      <c r="D104" s="3090" t="s">
        <v>2714</v>
      </c>
      <c r="E104" s="3116">
        <v>0.1</v>
      </c>
      <c r="F104" s="3116">
        <v>15</v>
      </c>
    </row>
    <row r="105" spans="1:6" ht="24">
      <c r="A105" s="3116">
        <v>33</v>
      </c>
      <c r="B105" s="3797"/>
      <c r="C105" s="3090" t="s">
        <v>2715</v>
      </c>
      <c r="D105" s="3090" t="s">
        <v>2716</v>
      </c>
      <c r="E105" s="3116">
        <v>0.1</v>
      </c>
      <c r="F105" s="3116">
        <v>15</v>
      </c>
    </row>
    <row r="106" spans="1:6" ht="24">
      <c r="A106" s="3116">
        <v>34</v>
      </c>
      <c r="B106" s="3796"/>
      <c r="C106" s="3090" t="s">
        <v>2717</v>
      </c>
      <c r="D106" s="3090" t="s">
        <v>2718</v>
      </c>
      <c r="E106" s="3116">
        <v>0.1</v>
      </c>
      <c r="F106" s="3116">
        <v>15</v>
      </c>
    </row>
    <row r="107" spans="1:6" ht="24">
      <c r="A107" s="3116">
        <v>35</v>
      </c>
      <c r="B107" s="3795" t="s">
        <v>2719</v>
      </c>
      <c r="C107" s="3116" t="s">
        <v>2720</v>
      </c>
      <c r="D107" s="3090" t="s">
        <v>2721</v>
      </c>
      <c r="E107" s="3116">
        <v>0.15</v>
      </c>
      <c r="F107" s="3116">
        <v>20</v>
      </c>
    </row>
    <row r="108" spans="1:6" ht="13.5">
      <c r="A108" s="3116">
        <v>36</v>
      </c>
      <c r="B108" s="3797"/>
      <c r="C108" s="3116" t="s">
        <v>2722</v>
      </c>
      <c r="D108" s="3090" t="s">
        <v>2723</v>
      </c>
      <c r="E108" s="3116">
        <v>0.15</v>
      </c>
      <c r="F108" s="3116">
        <v>20</v>
      </c>
    </row>
    <row r="109" spans="1:6" ht="13.5">
      <c r="A109" s="3116">
        <v>37</v>
      </c>
      <c r="B109" s="3797"/>
      <c r="C109" s="3116" t="s">
        <v>2724</v>
      </c>
      <c r="D109" s="3090" t="s">
        <v>2725</v>
      </c>
      <c r="E109" s="3116">
        <v>0.15</v>
      </c>
      <c r="F109" s="3116">
        <v>20</v>
      </c>
    </row>
    <row r="110" spans="1:6" ht="13.5">
      <c r="A110" s="3116">
        <v>38</v>
      </c>
      <c r="B110" s="3797"/>
      <c r="C110" s="3116" t="s">
        <v>2726</v>
      </c>
      <c r="D110" s="3090" t="s">
        <v>2727</v>
      </c>
      <c r="E110" s="3116">
        <v>0.1</v>
      </c>
      <c r="F110" s="3116">
        <v>15</v>
      </c>
    </row>
    <row r="111" spans="1:6" ht="24">
      <c r="A111" s="3116">
        <v>39</v>
      </c>
      <c r="B111" s="3797"/>
      <c r="C111" s="3116" t="s">
        <v>2728</v>
      </c>
      <c r="D111" s="3090" t="s">
        <v>2729</v>
      </c>
      <c r="E111" s="3116">
        <v>0.1</v>
      </c>
      <c r="F111" s="3116">
        <v>15</v>
      </c>
    </row>
    <row r="112" spans="1:6" ht="24">
      <c r="A112" s="3116">
        <v>40</v>
      </c>
      <c r="B112" s="3796"/>
      <c r="C112" s="3116" t="s">
        <v>2730</v>
      </c>
      <c r="D112" s="3090" t="s">
        <v>2731</v>
      </c>
      <c r="E112" s="3116">
        <v>0.1</v>
      </c>
      <c r="F112" s="3116">
        <v>15</v>
      </c>
    </row>
    <row r="113" spans="1:6" ht="13.5">
      <c r="A113" s="3116">
        <v>41</v>
      </c>
      <c r="B113" s="3794" t="s">
        <v>2732</v>
      </c>
      <c r="C113" s="3116" t="s">
        <v>2733</v>
      </c>
      <c r="D113" s="3090" t="s">
        <v>2734</v>
      </c>
      <c r="E113" s="3116">
        <v>0.1</v>
      </c>
      <c r="F113" s="3116">
        <v>15</v>
      </c>
    </row>
    <row r="114" spans="1:6" ht="13.5">
      <c r="A114" s="3116">
        <v>42</v>
      </c>
      <c r="B114" s="3794"/>
      <c r="C114" s="3116" t="s">
        <v>2735</v>
      </c>
      <c r="D114" s="3090" t="s">
        <v>2736</v>
      </c>
      <c r="E114" s="3116">
        <v>0.1</v>
      </c>
      <c r="F114" s="3116">
        <v>15</v>
      </c>
    </row>
    <row r="115" spans="1:6" ht="24">
      <c r="A115" s="3116">
        <v>43</v>
      </c>
      <c r="B115" s="3794"/>
      <c r="C115" s="3116" t="s">
        <v>2737</v>
      </c>
      <c r="D115" s="3090" t="s">
        <v>2738</v>
      </c>
      <c r="E115" s="3116">
        <v>0.1</v>
      </c>
      <c r="F115" s="3116">
        <v>15</v>
      </c>
    </row>
    <row r="116" spans="1:6" ht="13.5">
      <c r="A116" s="3116">
        <v>44</v>
      </c>
      <c r="B116" s="3795" t="s">
        <v>2739</v>
      </c>
      <c r="C116" s="3116" t="s">
        <v>2740</v>
      </c>
      <c r="D116" s="3090" t="s">
        <v>2741</v>
      </c>
      <c r="E116" s="3116">
        <v>0.1</v>
      </c>
      <c r="F116" s="3116">
        <v>15</v>
      </c>
    </row>
    <row r="117" spans="1:6" ht="24">
      <c r="A117" s="3116">
        <v>45</v>
      </c>
      <c r="B117" s="3796"/>
      <c r="C117" s="3090" t="s">
        <v>2742</v>
      </c>
      <c r="D117" s="3090" t="s">
        <v>2743</v>
      </c>
      <c r="E117" s="3116">
        <v>0.1</v>
      </c>
      <c r="F117" s="3116">
        <v>15</v>
      </c>
    </row>
    <row r="118" spans="1:6" ht="24">
      <c r="A118" s="3116">
        <v>46</v>
      </c>
      <c r="B118" s="3795" t="s">
        <v>2744</v>
      </c>
      <c r="C118" s="3116" t="s">
        <v>2745</v>
      </c>
      <c r="D118" s="3090" t="s">
        <v>2746</v>
      </c>
      <c r="E118" s="3116">
        <v>0.1</v>
      </c>
      <c r="F118" s="3116">
        <v>15</v>
      </c>
    </row>
    <row r="119" spans="1:6" ht="24">
      <c r="A119" s="3116">
        <v>47</v>
      </c>
      <c r="B119" s="3796"/>
      <c r="C119" s="3116" t="s">
        <v>2747</v>
      </c>
      <c r="D119" s="3090" t="s">
        <v>2748</v>
      </c>
      <c r="E119" s="3116">
        <v>0.1</v>
      </c>
      <c r="F119" s="3116">
        <v>15</v>
      </c>
    </row>
    <row r="120" spans="1:6" ht="13.5">
      <c r="A120" s="3116">
        <v>48</v>
      </c>
      <c r="B120" s="3795" t="s">
        <v>2749</v>
      </c>
      <c r="C120" s="3116" t="s">
        <v>2750</v>
      </c>
      <c r="D120" s="3090" t="s">
        <v>2751</v>
      </c>
      <c r="E120" s="3116">
        <v>0.1</v>
      </c>
      <c r="F120" s="3116">
        <v>15</v>
      </c>
    </row>
    <row r="121" spans="1:6" ht="13.5">
      <c r="A121" s="3116">
        <v>49</v>
      </c>
      <c r="B121" s="3796"/>
      <c r="C121" s="3116" t="s">
        <v>2752</v>
      </c>
      <c r="D121" s="3090" t="s">
        <v>2753</v>
      </c>
      <c r="E121" s="3116">
        <v>0.1</v>
      </c>
      <c r="F121" s="3116">
        <v>15</v>
      </c>
    </row>
    <row r="122" spans="1:6" ht="24">
      <c r="A122" s="3116">
        <v>50</v>
      </c>
      <c r="B122" s="3794" t="s">
        <v>2754</v>
      </c>
      <c r="C122" s="3116" t="s">
        <v>2755</v>
      </c>
      <c r="D122" s="3090" t="s">
        <v>2756</v>
      </c>
      <c r="E122" s="3116">
        <v>0.1</v>
      </c>
      <c r="F122" s="3116">
        <v>15</v>
      </c>
    </row>
    <row r="123" spans="1:6" ht="24">
      <c r="A123" s="3116">
        <v>51</v>
      </c>
      <c r="B123" s="3794"/>
      <c r="C123" s="3116" t="s">
        <v>2757</v>
      </c>
      <c r="D123" s="3090" t="s">
        <v>2758</v>
      </c>
      <c r="E123" s="3116">
        <v>0.1</v>
      </c>
      <c r="F123" s="3116">
        <v>15</v>
      </c>
    </row>
    <row r="124" spans="1:6" ht="24">
      <c r="A124" s="3116">
        <v>52</v>
      </c>
      <c r="B124" s="3794" t="s">
        <v>2759</v>
      </c>
      <c r="C124" s="3116" t="s">
        <v>2760</v>
      </c>
      <c r="D124" s="3090" t="s">
        <v>2761</v>
      </c>
      <c r="E124" s="3116">
        <v>0.1</v>
      </c>
      <c r="F124" s="3116">
        <v>15</v>
      </c>
    </row>
    <row r="125" spans="1:6" ht="24">
      <c r="A125" s="3116">
        <v>53</v>
      </c>
      <c r="B125" s="3794"/>
      <c r="C125" s="3116" t="s">
        <v>2762</v>
      </c>
      <c r="D125" s="3090" t="s">
        <v>2763</v>
      </c>
      <c r="E125" s="3116">
        <v>0.1</v>
      </c>
      <c r="F125" s="3116">
        <v>15</v>
      </c>
    </row>
    <row r="126" spans="1:6" ht="13.5">
      <c r="A126" s="3116">
        <v>54</v>
      </c>
      <c r="B126" s="3116" t="s">
        <v>2764</v>
      </c>
      <c r="C126" s="3116" t="s">
        <v>2765</v>
      </c>
      <c r="D126" s="3090" t="s">
        <v>2766</v>
      </c>
      <c r="E126" s="3116">
        <v>0.1</v>
      </c>
      <c r="F126" s="3116">
        <v>15</v>
      </c>
    </row>
    <row r="127" spans="1:6" ht="13.5">
      <c r="A127" s="3116">
        <v>55</v>
      </c>
      <c r="B127" s="3794" t="s">
        <v>2767</v>
      </c>
      <c r="C127" s="3116" t="s">
        <v>2768</v>
      </c>
      <c r="D127" s="3090" t="s">
        <v>2769</v>
      </c>
      <c r="E127" s="3116">
        <v>0.1</v>
      </c>
      <c r="F127" s="3116">
        <v>15</v>
      </c>
    </row>
    <row r="128" spans="1:6" ht="13.5">
      <c r="A128" s="3116">
        <v>56</v>
      </c>
      <c r="B128" s="3794"/>
      <c r="C128" s="3116" t="s">
        <v>2770</v>
      </c>
      <c r="D128" s="3090" t="s">
        <v>2771</v>
      </c>
      <c r="E128" s="3116">
        <v>0.1</v>
      </c>
      <c r="F128" s="3116">
        <v>15</v>
      </c>
    </row>
    <row r="129" spans="1:6" ht="24">
      <c r="A129" s="3116">
        <v>57</v>
      </c>
      <c r="B129" s="3794"/>
      <c r="C129" s="3116" t="s">
        <v>2772</v>
      </c>
      <c r="D129" s="3090" t="s">
        <v>2773</v>
      </c>
      <c r="E129" s="3116">
        <v>0.1</v>
      </c>
      <c r="F129" s="3116">
        <v>15</v>
      </c>
    </row>
    <row r="130" spans="1:6" ht="24">
      <c r="A130" s="3116">
        <v>58</v>
      </c>
      <c r="B130" s="3794" t="s">
        <v>2774</v>
      </c>
      <c r="C130" s="3116" t="s">
        <v>2775</v>
      </c>
      <c r="D130" s="3090" t="s">
        <v>2776</v>
      </c>
      <c r="E130" s="3116">
        <v>0.1</v>
      </c>
      <c r="F130" s="3116">
        <v>15</v>
      </c>
    </row>
    <row r="131" spans="1:6" ht="13.5">
      <c r="A131" s="3116">
        <v>59</v>
      </c>
      <c r="B131" s="3794"/>
      <c r="C131" s="3116" t="s">
        <v>2777</v>
      </c>
      <c r="D131" s="3090" t="s">
        <v>2778</v>
      </c>
      <c r="E131" s="3116">
        <v>0.1</v>
      </c>
      <c r="F131" s="3116">
        <v>15</v>
      </c>
    </row>
    <row r="132" spans="1:6" ht="13.5">
      <c r="A132" s="3116">
        <v>60</v>
      </c>
      <c r="B132" s="3795" t="s">
        <v>2779</v>
      </c>
      <c r="C132" s="3116" t="s">
        <v>2780</v>
      </c>
      <c r="D132" s="3090" t="s">
        <v>2781</v>
      </c>
      <c r="E132" s="3116">
        <v>0.1</v>
      </c>
      <c r="F132" s="3116">
        <v>15</v>
      </c>
    </row>
    <row r="133" spans="1:6" ht="13.5">
      <c r="A133" s="3116">
        <v>61</v>
      </c>
      <c r="B133" s="3796"/>
      <c r="C133" s="3116" t="s">
        <v>2782</v>
      </c>
      <c r="D133" s="3090" t="s">
        <v>2783</v>
      </c>
      <c r="E133" s="3116">
        <v>0.1</v>
      </c>
      <c r="F133" s="3116">
        <v>15</v>
      </c>
    </row>
    <row r="134" spans="1:6" ht="24">
      <c r="A134" s="3116">
        <v>62</v>
      </c>
      <c r="B134" s="3116" t="s">
        <v>2784</v>
      </c>
      <c r="C134" s="3116" t="s">
        <v>2785</v>
      </c>
      <c r="D134" s="3090" t="s">
        <v>2786</v>
      </c>
      <c r="E134" s="3116">
        <v>0.1</v>
      </c>
      <c r="F134" s="3116">
        <v>15</v>
      </c>
    </row>
    <row r="135" spans="1:6" ht="13.5">
      <c r="A135" s="3116">
        <v>63</v>
      </c>
      <c r="B135" s="3794" t="s">
        <v>2787</v>
      </c>
      <c r="C135" s="3116" t="s">
        <v>2788</v>
      </c>
      <c r="D135" s="3090" t="s">
        <v>2789</v>
      </c>
      <c r="E135" s="3116">
        <v>0.1</v>
      </c>
      <c r="F135" s="3116">
        <v>15</v>
      </c>
    </row>
    <row r="136" spans="1:6" ht="13.5">
      <c r="A136" s="3116">
        <v>64</v>
      </c>
      <c r="B136" s="3794"/>
      <c r="C136" s="3116" t="s">
        <v>2790</v>
      </c>
      <c r="D136" s="3090" t="s">
        <v>2791</v>
      </c>
      <c r="E136" s="3116">
        <v>0.1</v>
      </c>
      <c r="F136" s="3116">
        <v>15</v>
      </c>
    </row>
    <row r="137" spans="1:6" ht="13.5">
      <c r="A137" s="3116">
        <v>65</v>
      </c>
      <c r="B137" s="3116" t="s">
        <v>2792</v>
      </c>
      <c r="C137" s="3116" t="s">
        <v>2793</v>
      </c>
      <c r="D137" s="3090" t="s">
        <v>2794</v>
      </c>
      <c r="E137" s="3116">
        <v>0.1</v>
      </c>
      <c r="F137" s="3116">
        <v>15</v>
      </c>
    </row>
    <row r="138" spans="1:6" ht="13.5">
      <c r="A138" s="3116"/>
      <c r="B138" s="3116"/>
      <c r="C138" s="3116"/>
      <c r="D138" s="3116"/>
      <c r="E138" s="3116" t="s">
        <v>2795</v>
      </c>
      <c r="F138" s="3116"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2796</v>
      </c>
      <c r="B1" s="3125"/>
      <c r="C1" s="3125"/>
      <c r="D1" s="3125"/>
      <c r="E1" s="3125"/>
      <c r="F1" s="3125"/>
      <c r="G1" s="3125"/>
      <c r="H1" s="3125"/>
      <c r="I1" s="3125"/>
      <c r="J1" s="3125"/>
      <c r="K1" s="3125"/>
      <c r="L1" s="3125"/>
      <c r="M1" s="3125"/>
      <c r="N1" s="749"/>
    </row>
    <row r="2" spans="1:20">
      <c r="A2" s="3126" t="s">
        <v>2797</v>
      </c>
      <c r="B2" s="3127" t="s">
        <v>2593</v>
      </c>
      <c r="C2" s="3127" t="s">
        <v>2594</v>
      </c>
      <c r="D2" s="3127" t="s">
        <v>2595</v>
      </c>
      <c r="E2" s="3127" t="s">
        <v>2596</v>
      </c>
      <c r="F2" s="3127" t="s">
        <v>2597</v>
      </c>
      <c r="G2" s="3127" t="s">
        <v>2598</v>
      </c>
      <c r="H2" s="3128" t="s">
        <v>2599</v>
      </c>
      <c r="I2" s="3128" t="s">
        <v>2600</v>
      </c>
      <c r="J2" s="3129" t="s">
        <v>2601</v>
      </c>
      <c r="K2" s="3129" t="s">
        <v>2602</v>
      </c>
      <c r="L2" s="3129" t="s">
        <v>2603</v>
      </c>
      <c r="M2" s="3130" t="s">
        <v>2604</v>
      </c>
      <c r="Q2" s="3140" t="s">
        <v>2802</v>
      </c>
      <c r="R2" s="3140" t="s">
        <v>2803</v>
      </c>
      <c r="S2" s="3140" t="s">
        <v>2804</v>
      </c>
      <c r="T2" s="3140" t="s">
        <v>2805</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2798</v>
      </c>
      <c r="B93" s="3125"/>
      <c r="C93" s="3125"/>
      <c r="D93" s="3125"/>
      <c r="E93" s="3125"/>
      <c r="F93" s="3125"/>
      <c r="G93" s="3125"/>
      <c r="H93" s="3125"/>
      <c r="I93" s="3125"/>
      <c r="J93" s="3125"/>
      <c r="K93" s="3125"/>
      <c r="L93" s="3125"/>
      <c r="M93" s="3125"/>
    </row>
    <row r="94" spans="1:20">
      <c r="A94" s="3126" t="s">
        <v>2797</v>
      </c>
      <c r="B94" s="3127" t="s">
        <v>2593</v>
      </c>
      <c r="C94" s="3127" t="s">
        <v>2594</v>
      </c>
      <c r="D94" s="3127" t="s">
        <v>2595</v>
      </c>
      <c r="E94" s="3127" t="s">
        <v>2596</v>
      </c>
      <c r="F94" s="3127" t="s">
        <v>2597</v>
      </c>
      <c r="G94" s="3127" t="s">
        <v>2598</v>
      </c>
      <c r="H94" s="3128" t="s">
        <v>2599</v>
      </c>
      <c r="I94" s="3128" t="s">
        <v>2600</v>
      </c>
      <c r="J94" s="3129" t="s">
        <v>2601</v>
      </c>
      <c r="K94" s="3129" t="s">
        <v>2602</v>
      </c>
      <c r="L94" s="3129" t="s">
        <v>2603</v>
      </c>
      <c r="M94" s="3130" t="s">
        <v>2604</v>
      </c>
      <c r="N94" s="750">
        <f>SUMPRODUCT((A95:A184=ROUNDDOWN(基准地价修正!G3,1))*(B94:M94=基准地价修正!G2)*(B95:M184))</f>
        <v>0.89739999999999998</v>
      </c>
      <c r="Q94" s="3140" t="s">
        <v>2802</v>
      </c>
      <c r="R94" s="3140" t="s">
        <v>2803</v>
      </c>
      <c r="S94" s="3140" t="s">
        <v>2804</v>
      </c>
      <c r="T94" s="3140" t="s">
        <v>2805</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2799</v>
      </c>
      <c r="B185" s="3125"/>
      <c r="C185" s="3125"/>
      <c r="D185" s="3125"/>
      <c r="E185" s="3125"/>
      <c r="F185" s="3125"/>
      <c r="G185" s="3125"/>
      <c r="H185" s="3125"/>
      <c r="I185" s="3125"/>
      <c r="J185" s="3125"/>
      <c r="K185" s="3125"/>
      <c r="L185" s="3125"/>
      <c r="M185" s="3125"/>
    </row>
    <row r="186" spans="1:20">
      <c r="A186" s="3126" t="s">
        <v>2797</v>
      </c>
      <c r="B186" s="3127" t="s">
        <v>2593</v>
      </c>
      <c r="C186" s="3127" t="s">
        <v>2594</v>
      </c>
      <c r="D186" s="3127" t="s">
        <v>2595</v>
      </c>
      <c r="E186" s="3127" t="s">
        <v>2596</v>
      </c>
      <c r="F186" s="3127" t="s">
        <v>2597</v>
      </c>
      <c r="G186" s="3127" t="s">
        <v>2598</v>
      </c>
      <c r="H186" s="3128" t="s">
        <v>2599</v>
      </c>
      <c r="I186" s="3128" t="s">
        <v>2600</v>
      </c>
      <c r="J186" s="3129" t="s">
        <v>2601</v>
      </c>
      <c r="K186" s="3129" t="s">
        <v>2602</v>
      </c>
      <c r="L186" s="3129" t="s">
        <v>2603</v>
      </c>
      <c r="M186" s="3130" t="s">
        <v>2604</v>
      </c>
      <c r="Q186" s="3140" t="s">
        <v>2802</v>
      </c>
      <c r="R186" s="3140" t="s">
        <v>2803</v>
      </c>
      <c r="S186" s="3140" t="s">
        <v>2804</v>
      </c>
      <c r="T186" s="3140" t="s">
        <v>2805</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2800</v>
      </c>
      <c r="B277" s="3125"/>
      <c r="C277" s="3125"/>
      <c r="D277" s="3125"/>
      <c r="E277" s="3125"/>
      <c r="F277" s="3125"/>
      <c r="G277" s="3125"/>
      <c r="H277" s="3125"/>
      <c r="I277" s="3125"/>
      <c r="J277" s="3125"/>
      <c r="K277" s="3125"/>
      <c r="L277" s="3125"/>
      <c r="M277" s="3125"/>
    </row>
    <row r="278" spans="1:21">
      <c r="A278" s="3126" t="s">
        <v>2797</v>
      </c>
      <c r="B278" s="3127" t="s">
        <v>2593</v>
      </c>
      <c r="C278" s="3127" t="s">
        <v>2594</v>
      </c>
      <c r="D278" s="3127" t="s">
        <v>2595</v>
      </c>
      <c r="E278" s="3127" t="s">
        <v>2596</v>
      </c>
      <c r="F278" s="3127" t="s">
        <v>2597</v>
      </c>
      <c r="G278" s="3127" t="s">
        <v>2598</v>
      </c>
      <c r="H278" s="3128" t="s">
        <v>2599</v>
      </c>
      <c r="I278" s="3128" t="s">
        <v>2600</v>
      </c>
      <c r="J278" s="3129" t="s">
        <v>2601</v>
      </c>
      <c r="K278" s="3129" t="s">
        <v>2602</v>
      </c>
      <c r="L278" s="3129" t="s">
        <v>2603</v>
      </c>
      <c r="M278" s="3130" t="s">
        <v>2604</v>
      </c>
      <c r="Q278" s="3140" t="s">
        <v>2802</v>
      </c>
      <c r="R278" s="3140" t="s">
        <v>2803</v>
      </c>
      <c r="S278" s="3140" t="s">
        <v>2806</v>
      </c>
      <c r="T278" s="3140" t="s">
        <v>2807</v>
      </c>
      <c r="U278" s="3140" t="s">
        <v>2805</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2801</v>
      </c>
      <c r="B369" s="3138"/>
      <c r="C369" s="3138"/>
      <c r="D369" s="3138"/>
      <c r="E369" s="3138"/>
      <c r="F369" s="3138"/>
      <c r="G369" s="3138"/>
      <c r="H369" s="3138"/>
      <c r="I369" s="3138"/>
      <c r="J369" s="3138"/>
      <c r="K369" s="3138"/>
      <c r="L369" s="3138"/>
      <c r="M369" s="3138"/>
    </row>
    <row r="370" spans="1:20">
      <c r="A370" s="3126" t="s">
        <v>2797</v>
      </c>
      <c r="B370" s="3127" t="s">
        <v>2593</v>
      </c>
      <c r="C370" s="3127" t="s">
        <v>2594</v>
      </c>
      <c r="D370" s="3127" t="s">
        <v>2595</v>
      </c>
      <c r="E370" s="3127" t="s">
        <v>2596</v>
      </c>
      <c r="F370" s="3127" t="s">
        <v>2597</v>
      </c>
      <c r="G370" s="3127" t="s">
        <v>2598</v>
      </c>
      <c r="H370" s="3128" t="s">
        <v>2599</v>
      </c>
      <c r="I370" s="3128" t="s">
        <v>2600</v>
      </c>
      <c r="J370" s="3129" t="s">
        <v>2601</v>
      </c>
      <c r="K370" s="3129" t="s">
        <v>2602</v>
      </c>
      <c r="L370" s="3129" t="s">
        <v>2603</v>
      </c>
      <c r="M370" s="3130" t="s">
        <v>2604</v>
      </c>
      <c r="N370" s="750">
        <f>SUMPRODUCT((A371:A460=ROUNDDOWN(基准地价修正!G3,1))*(B370:M370=基准地价修正!G2)*(B371:M460))</f>
        <v>0.85</v>
      </c>
      <c r="Q370" s="3140" t="s">
        <v>2802</v>
      </c>
      <c r="R370" s="3140" t="s">
        <v>2803</v>
      </c>
      <c r="S370" s="3140" t="s">
        <v>2804</v>
      </c>
      <c r="T370" s="3140" t="s">
        <v>2805</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493"/>
      <c r="B4" s="3491" t="s">
        <v>917</v>
      </c>
      <c r="C4" s="3491"/>
      <c r="D4" s="3491"/>
      <c r="E4" s="1493"/>
    </row>
    <row r="5" spans="1:5" ht="16.5" thickTop="1">
      <c r="A5" s="1491"/>
      <c r="B5" s="3489" t="s">
        <v>909</v>
      </c>
      <c r="C5" s="1494" t="s">
        <v>910</v>
      </c>
      <c r="D5" s="850">
        <f ca="1">结果表!H101</f>
        <v>18019</v>
      </c>
      <c r="E5" s="1491"/>
    </row>
    <row r="6" spans="1:5" ht="15.75">
      <c r="A6" s="1491"/>
      <c r="B6" s="3489"/>
      <c r="C6" s="1494" t="s">
        <v>911</v>
      </c>
      <c r="D6" s="850" t="str">
        <f ca="1">NUMBERSTRING(INT(D5*10000),2)&amp;"元整"</f>
        <v>壹亿捌仟零壹拾玖万元整</v>
      </c>
      <c r="E6" s="1491"/>
    </row>
    <row r="7" spans="1:5" ht="15.75">
      <c r="A7" s="1491"/>
      <c r="B7" s="3494"/>
      <c r="C7" s="1495" t="s">
        <v>912</v>
      </c>
      <c r="D7" s="851">
        <f ca="1">结果表!H102</f>
        <v>27519</v>
      </c>
      <c r="E7" s="1491"/>
    </row>
    <row r="8" spans="1:5" ht="15.75">
      <c r="A8" s="1491"/>
      <c r="B8" s="3495" t="str">
        <f>结果表!E103</f>
        <v>2.估价师知悉的法定优先受偿款</v>
      </c>
      <c r="C8" s="1496" t="s">
        <v>913</v>
      </c>
      <c r="D8" s="851">
        <f>结果表!H103</f>
        <v>0</v>
      </c>
      <c r="E8" s="1491"/>
    </row>
    <row r="9" spans="1:5" ht="15.75">
      <c r="A9" s="1491"/>
      <c r="B9" s="349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8" t="str">
        <f>结果表!E107</f>
        <v>3.房地产抵押价值</v>
      </c>
      <c r="C13" s="1499" t="s">
        <v>910</v>
      </c>
      <c r="D13" s="853">
        <f ca="1">结果表!H107</f>
        <v>18019</v>
      </c>
      <c r="E13" s="1491"/>
    </row>
    <row r="14" spans="1:5" ht="15.75">
      <c r="A14" s="1491"/>
      <c r="B14" s="3489"/>
      <c r="C14" s="1494" t="s">
        <v>911</v>
      </c>
      <c r="D14" s="850" t="str">
        <f ca="1">NUMBERSTRING(INT(D13*10000),2)&amp;"元整"</f>
        <v>壹亿捌仟零壹拾玖万元整</v>
      </c>
      <c r="E14" s="1491"/>
    </row>
    <row r="15" spans="1:5" ht="15">
      <c r="A15" s="1491"/>
      <c r="B15" s="3494"/>
      <c r="C15" s="1495" t="s">
        <v>921</v>
      </c>
      <c r="D15" s="859">
        <f ca="1">结果表!H108</f>
        <v>27519</v>
      </c>
      <c r="E15" s="1491"/>
    </row>
    <row r="16" spans="1:5" ht="15">
      <c r="A16" s="1491"/>
      <c r="B16" s="3495" t="str">
        <f>结果表!E109</f>
        <v>——</v>
      </c>
      <c r="C16" s="1499" t="s">
        <v>922</v>
      </c>
      <c r="D16" s="1500" t="str">
        <f>结果表!H109</f>
        <v>——</v>
      </c>
      <c r="E16" s="1491"/>
    </row>
    <row r="17" spans="1:5" ht="15.75">
      <c r="A17" s="1491"/>
      <c r="B17" s="3496"/>
      <c r="C17" s="1494" t="s">
        <v>923</v>
      </c>
      <c r="D17" s="850" t="e">
        <f>NUMBERSTRING(INT(D16*10000),2)&amp;"元整"</f>
        <v>#VALUE!</v>
      </c>
      <c r="E17" s="1491"/>
    </row>
    <row r="18" spans="1:5" ht="15">
      <c r="A18" s="1491"/>
      <c r="B18" s="3497"/>
      <c r="C18" s="1495" t="s">
        <v>912</v>
      </c>
      <c r="D18" s="859" t="str">
        <f>结果表!H110</f>
        <v>——</v>
      </c>
      <c r="E18" s="1491"/>
    </row>
    <row r="19" spans="1:5" ht="15.75">
      <c r="A19" s="1491"/>
      <c r="B19" s="3488" t="str">
        <f>结果表!E111</f>
        <v>——</v>
      </c>
      <c r="C19" s="1499" t="s">
        <v>910</v>
      </c>
      <c r="D19" s="851" t="str">
        <f>结果表!H111</f>
        <v>——</v>
      </c>
      <c r="E19" s="1491"/>
    </row>
    <row r="20" spans="1:5" ht="15.75">
      <c r="A20" s="1491"/>
      <c r="B20" s="3489"/>
      <c r="C20" s="1494" t="s">
        <v>923</v>
      </c>
      <c r="D20" s="850" t="e">
        <f>NUMBERSTRING(INT(D19*10000),2)&amp;"元整"</f>
        <v>#VALUE!</v>
      </c>
      <c r="E20" s="1491"/>
    </row>
    <row r="21" spans="1:5" ht="15.75" thickBot="1">
      <c r="A21" s="1491"/>
      <c r="B21" s="349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36039</v>
      </c>
      <c r="C2" s="2" t="s">
        <v>106</v>
      </c>
      <c r="D2" s="199"/>
      <c r="E2" s="199"/>
      <c r="F2" s="199"/>
      <c r="G2" s="199"/>
    </row>
    <row r="3" spans="1:7" s="200" customFormat="1" ht="18" customHeight="1" thickBot="1">
      <c r="A3" s="203" t="s">
        <v>58</v>
      </c>
      <c r="B3" s="204">
        <f ca="1">ROUND(B2*10000/'数据-汇总表'!E3,0)</f>
        <v>55040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131</v>
      </c>
      <c r="D10" s="845">
        <f>'数据-汇总表'!E6</f>
        <v>6547.83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131</v>
      </c>
      <c r="D19" s="849">
        <f>'数据-汇总表'!E3</f>
        <v>6547.83</v>
      </c>
      <c r="E19" s="211">
        <f>'数据-取费表'!B31</f>
        <v>200</v>
      </c>
      <c r="F19" s="231"/>
      <c r="G19" s="1" t="s">
        <v>436</v>
      </c>
    </row>
    <row r="20" spans="1:7" s="214" customFormat="1" ht="13.5" customHeight="1">
      <c r="A20" s="777" t="s">
        <v>419</v>
      </c>
      <c r="B20" s="210" t="s">
        <v>77</v>
      </c>
      <c r="C20" s="232">
        <f>ROUND((C5+C19)*F20,0)</f>
        <v>622</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2730</v>
      </c>
      <c r="D22" s="235">
        <f ca="1">C26</f>
        <v>1.9E-3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17</v>
      </c>
      <c r="D24" s="238"/>
      <c r="E24" s="238"/>
      <c r="F24" s="239"/>
      <c r="G24" s="240" t="s">
        <v>82</v>
      </c>
    </row>
    <row r="25" spans="1:7" s="214" customFormat="1" ht="24">
      <c r="A25" s="780" t="s">
        <v>348</v>
      </c>
      <c r="B25" s="215" t="s">
        <v>420</v>
      </c>
      <c r="C25" s="1105">
        <f ca="1">ROUND(IF('数据-取费表'!B22&lt;=1,C20*F22*'数据-取费表'!B23/2,C20*(POWER((1+F22),'数据-取费表'!B23/2)-1)),0)</f>
        <v>39</v>
      </c>
      <c r="D25" s="238"/>
      <c r="E25" s="241"/>
      <c r="F25" s="239"/>
      <c r="G25" s="242" t="s">
        <v>83</v>
      </c>
    </row>
    <row r="26" spans="1:7" s="214" customFormat="1">
      <c r="A26" s="780" t="s">
        <v>350</v>
      </c>
      <c r="B26" s="215" t="s">
        <v>422</v>
      </c>
      <c r="C26" s="238">
        <f ca="1">ROUND(IF('数据-取费表'!B22&lt;=1,F21*F22*'数据-取费表'!B23/2,F21*(POWER((1+F22),'数据-取费表'!B23/2)-1)),4)</f>
        <v>1.9E-3</v>
      </c>
      <c r="D26" s="238"/>
      <c r="E26" s="241"/>
      <c r="F26" s="239"/>
      <c r="G26" s="243"/>
    </row>
    <row r="27" spans="1:7" s="214" customFormat="1" ht="24.75">
      <c r="A27" s="777" t="s">
        <v>342</v>
      </c>
      <c r="B27" s="244" t="s">
        <v>85</v>
      </c>
      <c r="C27" s="245">
        <f>C28</f>
        <v>4273</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4273</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31214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3967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3602</v>
      </c>
      <c r="D34" s="217"/>
      <c r="E34" s="220"/>
      <c r="F34" s="257">
        <f>IF('数据-取费表'!B24=0,1,'数据-取费表'!N16)</f>
        <v>1</v>
      </c>
      <c r="G34" s="219" t="s">
        <v>89</v>
      </c>
    </row>
    <row r="35" spans="1:7" ht="13.5" customHeight="1">
      <c r="A35" s="780" t="s">
        <v>351</v>
      </c>
      <c r="B35" s="215" t="s">
        <v>33</v>
      </c>
      <c r="C35" s="220">
        <f>ROUND(C34*F35,0)</f>
        <v>180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131</v>
      </c>
      <c r="D37" s="217">
        <f>'数据-汇总表'!E3</f>
        <v>6547.83</v>
      </c>
      <c r="E37" s="249">
        <f>'数据-取费表'!B35</f>
        <v>200</v>
      </c>
      <c r="F37" s="259"/>
      <c r="G37" s="261" t="s">
        <v>92</v>
      </c>
    </row>
    <row r="38" spans="1:7" ht="13.5" customHeight="1">
      <c r="A38" s="780" t="s">
        <v>354</v>
      </c>
      <c r="B38" s="215" t="s">
        <v>36</v>
      </c>
      <c r="C38" s="220">
        <f>ROUND(C34*F38,0)</f>
        <v>54</v>
      </c>
      <c r="D38" s="220"/>
      <c r="E38" s="220"/>
      <c r="F38" s="259">
        <f>'数据-取费表'!B36</f>
        <v>1.4999999999999999E-2</v>
      </c>
      <c r="G38" s="219" t="s">
        <v>90</v>
      </c>
    </row>
    <row r="39" spans="1:7" s="214" customFormat="1" ht="13.5" customHeight="1">
      <c r="A39" s="777" t="s">
        <v>338</v>
      </c>
      <c r="B39" s="210" t="s">
        <v>77</v>
      </c>
      <c r="C39" s="232">
        <f>ROUND(C33*F20,0)</f>
        <v>119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256</v>
      </c>
      <c r="D41" s="235">
        <f ca="1">C44</f>
        <v>1.9E-3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249</v>
      </c>
      <c r="D42" s="238"/>
      <c r="E42" s="238"/>
      <c r="F42" s="239"/>
      <c r="G42" s="3689" t="s">
        <v>94</v>
      </c>
    </row>
    <row r="43" spans="1:7" ht="13.5" customHeight="1">
      <c r="A43" s="780" t="s">
        <v>347</v>
      </c>
      <c r="B43" s="215" t="s">
        <v>426</v>
      </c>
      <c r="C43" s="238">
        <f ca="1">ROUND(IF('数据-取费表'!B22&lt;=1,C39*F22*'数据-取费表'!B21/2,C39*(POWER((1+F22),'数据-取费表'!B21/2)-1)),0)</f>
        <v>7</v>
      </c>
      <c r="D43" s="238"/>
      <c r="E43" s="238"/>
      <c r="F43" s="239"/>
      <c r="G43" s="3690"/>
    </row>
    <row r="44" spans="1:7" ht="13.5" customHeight="1">
      <c r="A44" s="780" t="s">
        <v>348</v>
      </c>
      <c r="B44" s="215" t="s">
        <v>428</v>
      </c>
      <c r="C44" s="238">
        <f ca="1">ROUND(IF('数据-取费表'!B22&lt;=1,C40*F22*'数据-取费表'!B21/2,C40*(POWER((1+F22),'数据-取费表'!B21/2)-1)),4)</f>
        <v>1.9E-3</v>
      </c>
      <c r="D44" s="238"/>
      <c r="E44" s="238"/>
      <c r="F44" s="239"/>
      <c r="G44" s="3691"/>
    </row>
    <row r="45" spans="1:7" s="214" customFormat="1" ht="13.5" customHeight="1">
      <c r="A45" s="777" t="s">
        <v>341</v>
      </c>
      <c r="B45" s="244" t="s">
        <v>85</v>
      </c>
      <c r="C45" s="245">
        <f>C46</f>
        <v>817</v>
      </c>
      <c r="D45" s="235">
        <f>C47</f>
        <v>6.0000000000000001E-3</v>
      </c>
      <c r="E45" s="236" t="s">
        <v>102</v>
      </c>
      <c r="F45" s="246"/>
      <c r="G45" s="247" t="s">
        <v>434</v>
      </c>
    </row>
    <row r="46" spans="1:7" s="214" customFormat="1" ht="13.5" customHeight="1">
      <c r="A46" s="780" t="s">
        <v>349</v>
      </c>
      <c r="B46" s="248" t="s">
        <v>427</v>
      </c>
      <c r="C46" s="249">
        <f>ROUND((C33+C39)*F27,0)</f>
        <v>817</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5677</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4825</v>
      </c>
      <c r="D51" s="232"/>
      <c r="E51" s="232"/>
      <c r="F51" s="264"/>
      <c r="G51" s="234" t="s">
        <v>37</v>
      </c>
    </row>
    <row r="52" spans="1:7" s="208" customFormat="1" ht="16.5" thickBot="1">
      <c r="A52" s="265" t="s">
        <v>38</v>
      </c>
      <c r="B52" s="266"/>
      <c r="C52" s="267">
        <f ca="1">C31+C51</f>
        <v>36039</v>
      </c>
      <c r="D52" s="266"/>
      <c r="E52" s="266"/>
      <c r="F52" s="266"/>
      <c r="G52" s="268"/>
    </row>
    <row r="55" spans="1:7" ht="15">
      <c r="B55" s="270" t="s">
        <v>39</v>
      </c>
      <c r="C55" s="271"/>
    </row>
    <row r="56" spans="1:7">
      <c r="B56" s="273" t="s">
        <v>40</v>
      </c>
      <c r="C56" s="274">
        <f ca="1">ROUND(C51/C52,3)</f>
        <v>0.13400000000000001</v>
      </c>
    </row>
    <row r="57" spans="1:7">
      <c r="B57" s="273" t="s">
        <v>41</v>
      </c>
      <c r="C57" s="275">
        <f ca="1">1-C56</f>
        <v>0.86599999999999999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354" zoomScale="80" zoomScaleNormal="80" workbookViewId="0">
      <selection activeCell="A3" sqref="A3:G9"/>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8" t="s">
        <v>2839</v>
      </c>
      <c r="B1" s="3808"/>
      <c r="C1" s="3808"/>
      <c r="D1" s="3808"/>
      <c r="E1" s="3808"/>
      <c r="F1" s="3808"/>
      <c r="G1" s="3809"/>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2"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806" t="s">
        <v>2866</v>
      </c>
      <c r="B3" s="3228"/>
      <c r="C3" s="3229" t="s">
        <v>2809</v>
      </c>
      <c r="D3" s="3229" t="s">
        <v>2867</v>
      </c>
      <c r="E3" s="3229" t="s">
        <v>2811</v>
      </c>
      <c r="F3" s="3229" t="s">
        <v>2868</v>
      </c>
      <c r="G3" s="3229" t="s">
        <v>2629</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2" thickBot="1">
      <c r="A4" s="3807"/>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2"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2"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2"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2"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06" workbookViewId="0">
      <selection activeCell="A4" sqref="A4:G9"/>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0" t="s">
        <v>3181</v>
      </c>
      <c r="B1" s="3810"/>
    </row>
    <row r="2" spans="1:7" ht="14.25" thickBot="1">
      <c r="A2" s="3253"/>
      <c r="B2" s="3253"/>
    </row>
    <row r="3" spans="1:7" ht="14.25" thickBot="1">
      <c r="A3" s="3253"/>
      <c r="B3" s="3253"/>
      <c r="C3" s="3254" t="s">
        <v>2809</v>
      </c>
      <c r="D3" s="3254" t="s">
        <v>2867</v>
      </c>
      <c r="E3" s="3254" t="s">
        <v>2811</v>
      </c>
      <c r="F3" s="3254" t="s">
        <v>2868</v>
      </c>
      <c r="G3" s="3254" t="s">
        <v>2629</v>
      </c>
    </row>
    <row r="4" spans="1:7" ht="14.2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4.2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4.2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4.2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4.2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4.2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4.2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4.2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4.2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4.2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4.2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abSelected="1" workbookViewId="0">
      <selection activeCell="I15" sqref="I15"/>
    </sheetView>
  </sheetViews>
  <sheetFormatPr defaultColWidth="13.25" defaultRowHeight="13.5"/>
  <cols>
    <col min="1" max="16384" width="13.25" style="3288"/>
  </cols>
  <sheetData>
    <row r="1" spans="1:6">
      <c r="A1" s="3811" t="s">
        <v>3232</v>
      </c>
      <c r="B1" s="3811"/>
      <c r="C1" s="3811"/>
      <c r="D1" s="3811"/>
      <c r="E1" s="3811"/>
      <c r="F1" s="3812"/>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 sqref="E1:E1048576"/>
    </sheetView>
  </sheetViews>
  <sheetFormatPr defaultRowHeight="13.5"/>
  <cols>
    <col min="1" max="1" width="13.875" customWidth="1"/>
    <col min="11" max="17" width="0" hidden="1" customWidth="1"/>
    <col min="25" max="30" width="0" hidden="1" customWidth="1"/>
  </cols>
  <sheetData>
    <row r="1" spans="1:30">
      <c r="A1" s="3219">
        <f>基准地价修正!G23</f>
        <v>45051</v>
      </c>
      <c r="B1" s="3208" t="s">
        <v>2838</v>
      </c>
      <c r="C1" s="3209"/>
      <c r="D1" s="3209"/>
      <c r="E1" s="3209"/>
      <c r="F1" s="3209"/>
      <c r="G1" s="3209"/>
      <c r="H1" s="3209"/>
      <c r="I1" s="3209"/>
      <c r="J1" s="3163"/>
      <c r="K1" s="3209" t="s">
        <v>454</v>
      </c>
      <c r="L1" s="3209"/>
      <c r="M1" s="3209"/>
      <c r="N1" s="3209"/>
      <c r="O1" s="3209"/>
      <c r="P1" s="3209"/>
      <c r="Q1" s="3163"/>
      <c r="R1" s="3813" t="s">
        <v>456</v>
      </c>
      <c r="S1" s="3814"/>
      <c r="T1" s="3814"/>
      <c r="U1" s="3814"/>
      <c r="V1" s="3814"/>
      <c r="W1" s="3814"/>
      <c r="X1" s="3163"/>
      <c r="Y1" s="3813" t="s">
        <v>457</v>
      </c>
      <c r="Z1" s="3814"/>
      <c r="AA1" s="3814"/>
      <c r="AB1" s="3814"/>
      <c r="AC1" s="3814"/>
      <c r="AD1" s="3814"/>
    </row>
    <row r="2" spans="1:30" s="3141" customFormat="1" ht="14.25" thickBot="1">
      <c r="B2" s="3142"/>
      <c r="C2" s="3143"/>
      <c r="D2" s="3144" t="s">
        <v>2808</v>
      </c>
      <c r="E2" s="3145" t="s">
        <v>2809</v>
      </c>
      <c r="F2" s="3145" t="s">
        <v>2810</v>
      </c>
      <c r="G2" s="3145" t="s">
        <v>2811</v>
      </c>
      <c r="H2" s="3145" t="s">
        <v>2812</v>
      </c>
      <c r="I2" s="3145" t="s">
        <v>2629</v>
      </c>
      <c r="J2" s="3146"/>
      <c r="K2" s="3144" t="s">
        <v>2808</v>
      </c>
      <c r="L2" s="3145" t="s">
        <v>2809</v>
      </c>
      <c r="M2" s="3145" t="s">
        <v>2810</v>
      </c>
      <c r="N2" s="3145" t="s">
        <v>2811</v>
      </c>
      <c r="O2" s="3145" t="s">
        <v>2813</v>
      </c>
      <c r="P2" s="3145" t="s">
        <v>2629</v>
      </c>
      <c r="Q2" s="3146"/>
      <c r="R2" s="3144" t="s">
        <v>2808</v>
      </c>
      <c r="S2" s="3145" t="s">
        <v>2809</v>
      </c>
      <c r="T2" s="3145" t="s">
        <v>2810</v>
      </c>
      <c r="U2" s="3145" t="s">
        <v>2814</v>
      </c>
      <c r="V2" s="3145" t="s">
        <v>2815</v>
      </c>
      <c r="W2" s="3145" t="s">
        <v>2629</v>
      </c>
      <c r="X2" s="3146"/>
      <c r="Y2" s="3144" t="s">
        <v>2808</v>
      </c>
      <c r="Z2" s="3145" t="s">
        <v>2809</v>
      </c>
      <c r="AA2" s="3145" t="s">
        <v>2810</v>
      </c>
      <c r="AB2" s="3145" t="s">
        <v>2816</v>
      </c>
      <c r="AC2" s="3145" t="s">
        <v>2815</v>
      </c>
      <c r="AD2" s="3145" t="s">
        <v>2629</v>
      </c>
    </row>
    <row r="3" spans="1:30" s="3159" customFormat="1" ht="12.75">
      <c r="A3" s="3147" t="s">
        <v>2817</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3368</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3369</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3367</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3370</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3371</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3363</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3354</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2818</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2819</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2820</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2821</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2822</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3365</v>
      </c>
    </row>
    <row r="19" spans="1:30" s="3007" customFormat="1">
      <c r="I19" s="3206" t="s">
        <v>2823</v>
      </c>
    </row>
    <row r="20" spans="1:30" s="3007" customFormat="1"/>
    <row r="21" spans="1:30" s="3207" customFormat="1" ht="12.75">
      <c r="B21" s="3208" t="s">
        <v>2824</v>
      </c>
      <c r="C21" s="3209"/>
      <c r="D21" s="3209"/>
      <c r="E21" s="3209"/>
      <c r="F21" s="3209"/>
      <c r="G21" s="3209"/>
      <c r="H21" s="3209"/>
      <c r="I21" s="3209"/>
      <c r="J21" s="3163"/>
      <c r="K21" s="3209" t="s">
        <v>2825</v>
      </c>
      <c r="L21" s="3209"/>
      <c r="M21" s="3209"/>
      <c r="N21" s="3209"/>
      <c r="O21" s="3209"/>
      <c r="P21" s="3209"/>
      <c r="Q21" s="3163"/>
      <c r="R21" s="3813" t="s">
        <v>2826</v>
      </c>
      <c r="S21" s="3814"/>
      <c r="T21" s="3814"/>
      <c r="U21" s="3814"/>
      <c r="V21" s="3814"/>
      <c r="W21" s="3814"/>
      <c r="X21" s="3163"/>
      <c r="Y21" s="3813" t="s">
        <v>2827</v>
      </c>
      <c r="Z21" s="3814"/>
      <c r="AA21" s="3814"/>
      <c r="AB21" s="3814"/>
      <c r="AC21" s="3814"/>
      <c r="AD21" s="3814"/>
    </row>
    <row r="22" spans="1:30" s="3141" customFormat="1" ht="14.25" thickBot="1">
      <c r="B22" s="3142"/>
      <c r="C22" s="3143"/>
      <c r="D22" s="3144" t="s">
        <v>2828</v>
      </c>
      <c r="E22" s="3145" t="s">
        <v>2829</v>
      </c>
      <c r="F22" s="3145" t="s">
        <v>2830</v>
      </c>
      <c r="G22" s="3145" t="s">
        <v>2831</v>
      </c>
      <c r="H22" s="3145"/>
      <c r="I22" s="3145" t="s">
        <v>2832</v>
      </c>
      <c r="J22" s="3146"/>
      <c r="K22" s="3144" t="s">
        <v>2828</v>
      </c>
      <c r="L22" s="3145" t="s">
        <v>2829</v>
      </c>
      <c r="M22" s="3145" t="s">
        <v>2830</v>
      </c>
      <c r="N22" s="3145" t="s">
        <v>2831</v>
      </c>
      <c r="O22" s="3145"/>
      <c r="P22" s="3145" t="s">
        <v>2832</v>
      </c>
      <c r="Q22" s="3146"/>
      <c r="R22" s="3144" t="s">
        <v>2828</v>
      </c>
      <c r="S22" s="3145" t="s">
        <v>2829</v>
      </c>
      <c r="T22" s="3145" t="s">
        <v>2830</v>
      </c>
      <c r="U22" s="3145" t="s">
        <v>2831</v>
      </c>
      <c r="V22" s="3145"/>
      <c r="W22" s="3145" t="s">
        <v>2832</v>
      </c>
      <c r="X22" s="3146"/>
      <c r="Y22" s="3144" t="s">
        <v>2828</v>
      </c>
      <c r="Z22" s="3145" t="s">
        <v>2829</v>
      </c>
      <c r="AA22" s="3145" t="s">
        <v>2830</v>
      </c>
      <c r="AB22" s="3145" t="s">
        <v>2831</v>
      </c>
      <c r="AC22" s="3145"/>
      <c r="AD22" s="3145" t="s">
        <v>2832</v>
      </c>
    </row>
    <row r="23" spans="1:30" s="3159" customFormat="1" ht="12.75">
      <c r="A23" s="3147" t="s">
        <v>2833</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3368</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3369</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3367</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3370</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3371</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3364</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3354</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2834</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2835</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2836</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2837</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2822</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0" t="s">
        <v>452</v>
      </c>
      <c r="C1" s="3820"/>
      <c r="D1" s="3820"/>
      <c r="E1" s="3820"/>
      <c r="F1" s="3820"/>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45051</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2308</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workbookViewId="0">
      <selection activeCell="J36" sqref="J36"/>
    </sheetView>
  </sheetViews>
  <sheetFormatPr defaultRowHeight="13.5"/>
  <cols>
    <col min="4" max="4" width="14.75" customWidth="1"/>
    <col min="5" max="5" width="11.5" customWidth="1"/>
    <col min="6" max="6" width="14.375" customWidth="1"/>
  </cols>
  <sheetData>
    <row r="1" spans="1:22" ht="18.75">
      <c r="A1" s="3464" t="s">
        <v>3421</v>
      </c>
      <c r="B1" s="3464"/>
      <c r="C1" s="3464"/>
      <c r="D1" s="3464"/>
      <c r="E1" s="3464"/>
      <c r="F1" s="3464"/>
      <c r="G1" s="3464"/>
      <c r="H1" s="3464"/>
      <c r="I1" s="3464"/>
      <c r="J1" s="3464"/>
      <c r="K1" s="3464"/>
      <c r="L1" s="3464"/>
      <c r="M1" s="3464"/>
      <c r="N1" s="3464"/>
      <c r="O1" s="3464"/>
      <c r="P1" s="3464"/>
      <c r="Q1" s="3464"/>
      <c r="R1" s="3464"/>
      <c r="S1" s="3464"/>
      <c r="T1" s="3464"/>
      <c r="U1" s="3464"/>
      <c r="V1" s="3464"/>
    </row>
    <row r="2" spans="1:22">
      <c r="A2" s="3834" t="s">
        <v>3422</v>
      </c>
      <c r="B2" s="3836" t="s">
        <v>3423</v>
      </c>
      <c r="C2" s="3834" t="s">
        <v>3424</v>
      </c>
      <c r="D2" s="3838" t="s">
        <v>3425</v>
      </c>
      <c r="E2" s="3838" t="s">
        <v>3426</v>
      </c>
      <c r="F2" s="3840" t="s">
        <v>3427</v>
      </c>
      <c r="G2" s="3840"/>
      <c r="H2" s="3841"/>
      <c r="I2" s="3465"/>
      <c r="J2" s="3465"/>
      <c r="K2" s="3465"/>
      <c r="L2" s="3465"/>
      <c r="M2" s="3465"/>
      <c r="N2" s="3465"/>
      <c r="O2" s="3465"/>
      <c r="P2" s="3826"/>
      <c r="Q2" s="3826"/>
      <c r="R2" s="3826"/>
      <c r="S2" s="3826"/>
      <c r="T2" s="3826"/>
      <c r="U2" s="3466" t="s">
        <v>3428</v>
      </c>
      <c r="V2" s="3466" t="s">
        <v>3429</v>
      </c>
    </row>
    <row r="3" spans="1:22">
      <c r="A3" s="3835"/>
      <c r="B3" s="3837"/>
      <c r="C3" s="3835"/>
      <c r="D3" s="3839"/>
      <c r="E3" s="3839"/>
      <c r="F3" s="3467" t="s">
        <v>3430</v>
      </c>
      <c r="G3" s="3467" t="s">
        <v>3431</v>
      </c>
      <c r="H3" s="3467" t="s">
        <v>3432</v>
      </c>
      <c r="I3" s="3468" t="s">
        <v>3433</v>
      </c>
      <c r="J3" s="3468" t="s">
        <v>3434</v>
      </c>
      <c r="K3" s="3468" t="s">
        <v>3435</v>
      </c>
      <c r="L3" s="3468" t="s">
        <v>3436</v>
      </c>
      <c r="M3" s="3468" t="s">
        <v>3437</v>
      </c>
      <c r="N3" s="3468" t="s">
        <v>3438</v>
      </c>
      <c r="O3" s="3468" t="s">
        <v>3439</v>
      </c>
      <c r="P3" s="3468" t="s">
        <v>3440</v>
      </c>
      <c r="Q3" s="3468" t="s">
        <v>3441</v>
      </c>
      <c r="R3" s="3468" t="s">
        <v>3442</v>
      </c>
      <c r="S3" s="3468" t="s">
        <v>3443</v>
      </c>
      <c r="T3" s="3468" t="s">
        <v>3444</v>
      </c>
      <c r="U3" s="3468"/>
      <c r="V3" s="3468"/>
    </row>
    <row r="4" spans="1:22">
      <c r="A4" s="3827">
        <v>1</v>
      </c>
      <c r="B4" s="3828">
        <v>409</v>
      </c>
      <c r="C4" s="3830" t="s">
        <v>3445</v>
      </c>
      <c r="D4" s="3832">
        <v>675</v>
      </c>
      <c r="E4" s="3832">
        <v>675</v>
      </c>
      <c r="F4" s="3469">
        <v>72720</v>
      </c>
      <c r="G4" s="3469">
        <v>48480</v>
      </c>
      <c r="H4" s="3470" t="s">
        <v>3446</v>
      </c>
      <c r="I4" s="3833">
        <v>175500</v>
      </c>
      <c r="J4" s="3833">
        <v>175500</v>
      </c>
      <c r="K4" s="3833">
        <v>175500</v>
      </c>
      <c r="L4" s="3833">
        <v>175500</v>
      </c>
      <c r="M4" s="3833">
        <v>175500</v>
      </c>
      <c r="N4" s="3833">
        <v>175500</v>
      </c>
      <c r="O4" s="3833">
        <v>175500</v>
      </c>
      <c r="P4" s="3833">
        <v>175500</v>
      </c>
      <c r="Q4" s="3833">
        <v>175500</v>
      </c>
      <c r="R4" s="3833">
        <v>175500</v>
      </c>
      <c r="S4" s="3833">
        <v>175500</v>
      </c>
      <c r="T4" s="3833">
        <v>175500</v>
      </c>
      <c r="U4" s="3833">
        <v>2106000</v>
      </c>
      <c r="V4" s="3846"/>
    </row>
    <row r="5" spans="1:22">
      <c r="A5" s="3827"/>
      <c r="B5" s="3829"/>
      <c r="C5" s="3831"/>
      <c r="D5" s="3832"/>
      <c r="E5" s="3832"/>
      <c r="F5" s="3469">
        <v>97200</v>
      </c>
      <c r="G5" s="3469">
        <v>64800</v>
      </c>
      <c r="H5" s="3470" t="s">
        <v>3447</v>
      </c>
      <c r="I5" s="3833"/>
      <c r="J5" s="3833"/>
      <c r="K5" s="3833"/>
      <c r="L5" s="3833"/>
      <c r="M5" s="3833"/>
      <c r="N5" s="3833"/>
      <c r="O5" s="3833"/>
      <c r="P5" s="3833"/>
      <c r="Q5" s="3833"/>
      <c r="R5" s="3833"/>
      <c r="S5" s="3833"/>
      <c r="T5" s="3833"/>
      <c r="U5" s="3833"/>
      <c r="V5" s="3847"/>
    </row>
    <row r="6" spans="1:22">
      <c r="A6" s="3827"/>
      <c r="B6" s="3829"/>
      <c r="C6" s="3829"/>
      <c r="D6" s="3832"/>
      <c r="E6" s="3832"/>
      <c r="F6" s="3469">
        <v>110700</v>
      </c>
      <c r="G6" s="3469">
        <v>64800</v>
      </c>
      <c r="H6" s="3470" t="s">
        <v>3448</v>
      </c>
      <c r="I6" s="3833"/>
      <c r="J6" s="3833"/>
      <c r="K6" s="3833"/>
      <c r="L6" s="3833"/>
      <c r="M6" s="3833"/>
      <c r="N6" s="3833"/>
      <c r="O6" s="3833"/>
      <c r="P6" s="3833"/>
      <c r="Q6" s="3833"/>
      <c r="R6" s="3833"/>
      <c r="S6" s="3833"/>
      <c r="T6" s="3833"/>
      <c r="U6" s="3833"/>
      <c r="V6" s="3847"/>
    </row>
    <row r="7" spans="1:22">
      <c r="A7" s="3827">
        <v>2</v>
      </c>
      <c r="B7" s="3828" t="s">
        <v>3449</v>
      </c>
      <c r="C7" s="3830" t="s">
        <v>3450</v>
      </c>
      <c r="D7" s="3843">
        <v>1823</v>
      </c>
      <c r="E7" s="3843">
        <v>1823</v>
      </c>
      <c r="F7" s="3469">
        <v>229698</v>
      </c>
      <c r="G7" s="3469">
        <v>153132</v>
      </c>
      <c r="H7" s="3470" t="s">
        <v>3451</v>
      </c>
      <c r="I7" s="3833">
        <v>382830</v>
      </c>
      <c r="J7" s="3833">
        <v>382830</v>
      </c>
      <c r="K7" s="3833">
        <v>382830</v>
      </c>
      <c r="L7" s="3833">
        <v>382830</v>
      </c>
      <c r="M7" s="3833">
        <v>382830</v>
      </c>
      <c r="N7" s="3833">
        <v>382830</v>
      </c>
      <c r="O7" s="3833">
        <v>382830</v>
      </c>
      <c r="P7" s="3833">
        <v>382830</v>
      </c>
      <c r="Q7" s="3833">
        <v>382830</v>
      </c>
      <c r="R7" s="3833">
        <v>382830</v>
      </c>
      <c r="S7" s="3833">
        <v>382830</v>
      </c>
      <c r="T7" s="3833">
        <v>382830</v>
      </c>
      <c r="U7" s="3833">
        <v>4593960</v>
      </c>
      <c r="V7" s="3846"/>
    </row>
    <row r="8" spans="1:22">
      <c r="A8" s="3827"/>
      <c r="B8" s="3829"/>
      <c r="C8" s="3831"/>
      <c r="D8" s="3844"/>
      <c r="E8" s="3844"/>
      <c r="F8" s="3469">
        <v>248839.5</v>
      </c>
      <c r="G8" s="3469">
        <v>153132</v>
      </c>
      <c r="H8" s="3470" t="s">
        <v>3452</v>
      </c>
      <c r="I8" s="3833"/>
      <c r="J8" s="3833"/>
      <c r="K8" s="3833"/>
      <c r="L8" s="3833"/>
      <c r="M8" s="3833"/>
      <c r="N8" s="3833"/>
      <c r="O8" s="3833"/>
      <c r="P8" s="3833"/>
      <c r="Q8" s="3833"/>
      <c r="R8" s="3833"/>
      <c r="S8" s="3833"/>
      <c r="T8" s="3833"/>
      <c r="U8" s="3833"/>
      <c r="V8" s="3847"/>
    </row>
    <row r="9" spans="1:22">
      <c r="A9" s="3827"/>
      <c r="B9" s="3829"/>
      <c r="C9" s="3829"/>
      <c r="D9" s="3844"/>
      <c r="E9" s="3844"/>
      <c r="F9" s="3469">
        <v>268892.5</v>
      </c>
      <c r="G9" s="3469">
        <v>153132</v>
      </c>
      <c r="H9" s="3470" t="s">
        <v>3453</v>
      </c>
      <c r="I9" s="3833"/>
      <c r="J9" s="3833"/>
      <c r="K9" s="3833"/>
      <c r="L9" s="3833"/>
      <c r="M9" s="3833"/>
      <c r="N9" s="3833"/>
      <c r="O9" s="3833"/>
      <c r="P9" s="3833"/>
      <c r="Q9" s="3833"/>
      <c r="R9" s="3833"/>
      <c r="S9" s="3833"/>
      <c r="T9" s="3833"/>
      <c r="U9" s="3833"/>
      <c r="V9" s="3847"/>
    </row>
    <row r="10" spans="1:22">
      <c r="A10" s="3827"/>
      <c r="B10" s="3842"/>
      <c r="C10" s="3842"/>
      <c r="D10" s="3845"/>
      <c r="E10" s="3845"/>
      <c r="F10" s="3469">
        <v>289857</v>
      </c>
      <c r="G10" s="3469">
        <v>153132</v>
      </c>
      <c r="H10" s="3470" t="s">
        <v>3454</v>
      </c>
      <c r="I10" s="3833"/>
      <c r="J10" s="3833"/>
      <c r="K10" s="3833"/>
      <c r="L10" s="3833"/>
      <c r="M10" s="3833"/>
      <c r="N10" s="3833"/>
      <c r="O10" s="3833"/>
      <c r="P10" s="3833"/>
      <c r="Q10" s="3833"/>
      <c r="R10" s="3833"/>
      <c r="S10" s="3833"/>
      <c r="T10" s="3833"/>
      <c r="U10" s="3833"/>
      <c r="V10" s="3848"/>
    </row>
    <row r="11" spans="1:22">
      <c r="A11" s="3827">
        <v>3</v>
      </c>
      <c r="B11" s="3828">
        <v>408</v>
      </c>
      <c r="C11" s="3830" t="s">
        <v>3450</v>
      </c>
      <c r="D11" s="3843">
        <v>45</v>
      </c>
      <c r="E11" s="3843">
        <v>45</v>
      </c>
      <c r="F11" s="3469">
        <v>5670</v>
      </c>
      <c r="G11" s="3469">
        <v>3780</v>
      </c>
      <c r="H11" s="3470" t="s">
        <v>3451</v>
      </c>
      <c r="I11" s="3833">
        <v>9450</v>
      </c>
      <c r="J11" s="3833">
        <v>9450</v>
      </c>
      <c r="K11" s="3833">
        <v>9450</v>
      </c>
      <c r="L11" s="3833">
        <v>9450</v>
      </c>
      <c r="M11" s="3833">
        <v>9450</v>
      </c>
      <c r="N11" s="3833">
        <v>9450</v>
      </c>
      <c r="O11" s="3833">
        <v>9450</v>
      </c>
      <c r="P11" s="3833">
        <v>9450</v>
      </c>
      <c r="Q11" s="3833">
        <v>9450</v>
      </c>
      <c r="R11" s="3833">
        <v>9450</v>
      </c>
      <c r="S11" s="3833">
        <v>9450</v>
      </c>
      <c r="T11" s="3833">
        <v>9450</v>
      </c>
      <c r="U11" s="3833">
        <v>113400</v>
      </c>
      <c r="V11" s="3846"/>
    </row>
    <row r="12" spans="1:22">
      <c r="A12" s="3827"/>
      <c r="B12" s="3829"/>
      <c r="C12" s="3831"/>
      <c r="D12" s="3844"/>
      <c r="E12" s="3844"/>
      <c r="F12" s="3469">
        <v>6142.5</v>
      </c>
      <c r="G12" s="3469">
        <v>3780</v>
      </c>
      <c r="H12" s="3470" t="s">
        <v>3452</v>
      </c>
      <c r="I12" s="3833"/>
      <c r="J12" s="3833"/>
      <c r="K12" s="3833"/>
      <c r="L12" s="3833"/>
      <c r="M12" s="3833"/>
      <c r="N12" s="3833"/>
      <c r="O12" s="3833"/>
      <c r="P12" s="3833"/>
      <c r="Q12" s="3833"/>
      <c r="R12" s="3833"/>
      <c r="S12" s="3833"/>
      <c r="T12" s="3833"/>
      <c r="U12" s="3833"/>
      <c r="V12" s="3847"/>
    </row>
    <row r="13" spans="1:22">
      <c r="A13" s="3827"/>
      <c r="B13" s="3829"/>
      <c r="C13" s="3829"/>
      <c r="D13" s="3844"/>
      <c r="E13" s="3844"/>
      <c r="F13" s="3469">
        <v>6637.5</v>
      </c>
      <c r="G13" s="3469">
        <v>3780</v>
      </c>
      <c r="H13" s="3470" t="s">
        <v>3453</v>
      </c>
      <c r="I13" s="3833"/>
      <c r="J13" s="3833"/>
      <c r="K13" s="3833"/>
      <c r="L13" s="3833"/>
      <c r="M13" s="3833"/>
      <c r="N13" s="3833"/>
      <c r="O13" s="3833"/>
      <c r="P13" s="3833"/>
      <c r="Q13" s="3833"/>
      <c r="R13" s="3833"/>
      <c r="S13" s="3833"/>
      <c r="T13" s="3833"/>
      <c r="U13" s="3833"/>
      <c r="V13" s="3847"/>
    </row>
    <row r="14" spans="1:22">
      <c r="A14" s="3827"/>
      <c r="B14" s="3842"/>
      <c r="C14" s="3842"/>
      <c r="D14" s="3845"/>
      <c r="E14" s="3845"/>
      <c r="F14" s="3469">
        <v>7155</v>
      </c>
      <c r="G14" s="3469">
        <v>3780</v>
      </c>
      <c r="H14" s="3470" t="s">
        <v>3454</v>
      </c>
      <c r="I14" s="3833"/>
      <c r="J14" s="3833"/>
      <c r="K14" s="3833"/>
      <c r="L14" s="3833"/>
      <c r="M14" s="3833"/>
      <c r="N14" s="3833"/>
      <c r="O14" s="3833"/>
      <c r="P14" s="3833"/>
      <c r="Q14" s="3833"/>
      <c r="R14" s="3833"/>
      <c r="S14" s="3833"/>
      <c r="T14" s="3833"/>
      <c r="U14" s="3833"/>
      <c r="V14" s="3848"/>
    </row>
    <row r="15" spans="1:22">
      <c r="A15" s="3852">
        <v>4</v>
      </c>
      <c r="B15" s="3853" t="s">
        <v>3455</v>
      </c>
      <c r="C15" s="3854"/>
      <c r="D15" s="3855">
        <v>1610.88</v>
      </c>
      <c r="E15" s="3855">
        <v>1610.88</v>
      </c>
      <c r="F15" s="3471"/>
      <c r="G15" s="3471"/>
      <c r="H15" s="3472"/>
      <c r="I15" s="3849"/>
      <c r="J15" s="3849"/>
      <c r="K15" s="3849"/>
      <c r="L15" s="3849"/>
      <c r="M15" s="3849"/>
      <c r="N15" s="3849"/>
      <c r="O15" s="3849"/>
      <c r="P15" s="3849"/>
      <c r="Q15" s="3849"/>
      <c r="R15" s="3849"/>
      <c r="S15" s="3849"/>
      <c r="T15" s="3849"/>
      <c r="U15" s="3859">
        <v>0</v>
      </c>
      <c r="V15" s="3856"/>
    </row>
    <row r="16" spans="1:22">
      <c r="A16" s="3852"/>
      <c r="B16" s="3853"/>
      <c r="C16" s="3854"/>
      <c r="D16" s="3855"/>
      <c r="E16" s="3855"/>
      <c r="F16" s="3471"/>
      <c r="G16" s="3471"/>
      <c r="H16" s="3472"/>
      <c r="I16" s="3850"/>
      <c r="J16" s="3850"/>
      <c r="K16" s="3850"/>
      <c r="L16" s="3850"/>
      <c r="M16" s="3850"/>
      <c r="N16" s="3850"/>
      <c r="O16" s="3850"/>
      <c r="P16" s="3850"/>
      <c r="Q16" s="3850"/>
      <c r="R16" s="3850"/>
      <c r="S16" s="3850"/>
      <c r="T16" s="3850"/>
      <c r="U16" s="3859"/>
      <c r="V16" s="3857"/>
    </row>
    <row r="17" spans="1:22">
      <c r="A17" s="3852"/>
      <c r="B17" s="3853"/>
      <c r="C17" s="3854"/>
      <c r="D17" s="3855"/>
      <c r="E17" s="3855"/>
      <c r="F17" s="3471"/>
      <c r="G17" s="3471"/>
      <c r="H17" s="3472"/>
      <c r="I17" s="3850"/>
      <c r="J17" s="3850"/>
      <c r="K17" s="3850"/>
      <c r="L17" s="3850"/>
      <c r="M17" s="3850"/>
      <c r="N17" s="3850"/>
      <c r="O17" s="3850"/>
      <c r="P17" s="3850"/>
      <c r="Q17" s="3850"/>
      <c r="R17" s="3850"/>
      <c r="S17" s="3850"/>
      <c r="T17" s="3850"/>
      <c r="U17" s="3859"/>
      <c r="V17" s="3857"/>
    </row>
    <row r="18" spans="1:22">
      <c r="A18" s="3852"/>
      <c r="B18" s="3853"/>
      <c r="C18" s="3854"/>
      <c r="D18" s="3855"/>
      <c r="E18" s="3855"/>
      <c r="F18" s="3471"/>
      <c r="G18" s="3471"/>
      <c r="H18" s="3472"/>
      <c r="I18" s="3850"/>
      <c r="J18" s="3850"/>
      <c r="K18" s="3850"/>
      <c r="L18" s="3850"/>
      <c r="M18" s="3850"/>
      <c r="N18" s="3850"/>
      <c r="O18" s="3850"/>
      <c r="P18" s="3850"/>
      <c r="Q18" s="3850"/>
      <c r="R18" s="3850"/>
      <c r="S18" s="3850"/>
      <c r="T18" s="3850"/>
      <c r="U18" s="3859"/>
      <c r="V18" s="3857"/>
    </row>
    <row r="19" spans="1:22">
      <c r="A19" s="3852"/>
      <c r="B19" s="3853"/>
      <c r="C19" s="3854"/>
      <c r="D19" s="3855"/>
      <c r="E19" s="3855"/>
      <c r="F19" s="3471"/>
      <c r="G19" s="3471"/>
      <c r="H19" s="3472"/>
      <c r="I19" s="3851"/>
      <c r="J19" s="3851"/>
      <c r="K19" s="3851"/>
      <c r="L19" s="3851"/>
      <c r="M19" s="3851"/>
      <c r="N19" s="3851"/>
      <c r="O19" s="3851"/>
      <c r="P19" s="3851"/>
      <c r="Q19" s="3851"/>
      <c r="R19" s="3851"/>
      <c r="S19" s="3851"/>
      <c r="T19" s="3851"/>
      <c r="U19" s="3859"/>
      <c r="V19" s="3858"/>
    </row>
    <row r="20" spans="1:22">
      <c r="A20" s="3473"/>
      <c r="B20" s="3474" t="s">
        <v>3456</v>
      </c>
      <c r="C20" s="3475"/>
      <c r="D20" s="3476">
        <v>4153.88</v>
      </c>
      <c r="E20" s="3476">
        <v>4153.88</v>
      </c>
      <c r="F20" s="3477">
        <v>346068</v>
      </c>
      <c r="G20" s="3477">
        <v>221712</v>
      </c>
      <c r="H20" s="3478"/>
      <c r="I20" s="3479">
        <v>567780</v>
      </c>
      <c r="J20" s="3479">
        <v>567780</v>
      </c>
      <c r="K20" s="3479">
        <v>567780</v>
      </c>
      <c r="L20" s="3479">
        <v>567780</v>
      </c>
      <c r="M20" s="3479">
        <v>567780</v>
      </c>
      <c r="N20" s="3479">
        <v>567780</v>
      </c>
      <c r="O20" s="3479">
        <v>567780</v>
      </c>
      <c r="P20" s="3479">
        <v>567780</v>
      </c>
      <c r="Q20" s="3479">
        <v>567780</v>
      </c>
      <c r="R20" s="3479">
        <v>567780</v>
      </c>
      <c r="S20" s="3479">
        <v>567780</v>
      </c>
      <c r="T20" s="3479">
        <v>567780</v>
      </c>
      <c r="U20" s="3479">
        <v>6813360</v>
      </c>
      <c r="V20" s="3479">
        <v>0</v>
      </c>
    </row>
    <row r="21" spans="1:22">
      <c r="D21" s="3482" t="s">
        <v>3461</v>
      </c>
      <c r="E21" s="3482" t="s">
        <v>3462</v>
      </c>
      <c r="F21" s="3483" t="s">
        <v>3463</v>
      </c>
      <c r="G21" s="3482" t="s">
        <v>3464</v>
      </c>
      <c r="H21" s="3482" t="s">
        <v>3465</v>
      </c>
    </row>
    <row r="22" spans="1:22">
      <c r="D22" s="3480">
        <f>F6+F7+F11</f>
        <v>346068</v>
      </c>
      <c r="E22" s="3481">
        <f>D4+D7+D11</f>
        <v>2543</v>
      </c>
      <c r="F22" s="3481">
        <f>ROUND(E22/E20*'数据-基础表'!I13,2)</f>
        <v>4008.57</v>
      </c>
      <c r="G22" s="3481">
        <f>D22/F22/30</f>
        <v>2.8777344539324496</v>
      </c>
      <c r="H22">
        <v>6.2</v>
      </c>
    </row>
    <row r="23" spans="1:22">
      <c r="F23" s="3481">
        <f>'数据-基础表'!I5-Sheet1!F22</f>
        <v>2539.2599999999998</v>
      </c>
      <c r="G23" s="3481"/>
      <c r="H23">
        <v>6.2</v>
      </c>
      <c r="L23">
        <v>14</v>
      </c>
    </row>
    <row r="24" spans="1:22">
      <c r="L24">
        <f>L23*0.5</f>
        <v>7</v>
      </c>
    </row>
    <row r="28" spans="1:22">
      <c r="F28">
        <v>2023</v>
      </c>
      <c r="G28">
        <v>2024</v>
      </c>
      <c r="H28">
        <v>2025</v>
      </c>
      <c r="I28">
        <v>2026</v>
      </c>
      <c r="J28">
        <v>2027</v>
      </c>
      <c r="K28">
        <v>2028</v>
      </c>
      <c r="L28">
        <v>2029</v>
      </c>
      <c r="M28">
        <v>2030</v>
      </c>
      <c r="N28">
        <v>2031</v>
      </c>
    </row>
    <row r="29" spans="1:22">
      <c r="E29" s="3480">
        <f>D4</f>
        <v>675</v>
      </c>
      <c r="F29">
        <f>ROUND(F6/D4/30,2)</f>
        <v>5.47</v>
      </c>
      <c r="G29">
        <f>F29</f>
        <v>5.47</v>
      </c>
      <c r="H29">
        <f>G29</f>
        <v>5.47</v>
      </c>
      <c r="I29">
        <f>ROUND(H29*1.05,2)</f>
        <v>5.74</v>
      </c>
      <c r="J29">
        <f>I29</f>
        <v>5.74</v>
      </c>
      <c r="K29">
        <f>J29</f>
        <v>5.74</v>
      </c>
      <c r="L29">
        <f>ROUND(K29*1.05,2)</f>
        <v>6.03</v>
      </c>
      <c r="M29">
        <f>L29</f>
        <v>6.03</v>
      </c>
      <c r="N29">
        <f>M29</f>
        <v>6.03</v>
      </c>
      <c r="O29">
        <f>ROUND(AVERAGE(F29:N29),2)</f>
        <v>5.75</v>
      </c>
    </row>
    <row r="30" spans="1:22">
      <c r="E30" s="3481">
        <f>D7</f>
        <v>1823</v>
      </c>
      <c r="F30">
        <f>ROUND(F7/D7/30,2)</f>
        <v>4.2</v>
      </c>
      <c r="G30">
        <f>F30</f>
        <v>4.2</v>
      </c>
      <c r="H30">
        <f>ROUND(F8/D7/30,2)</f>
        <v>4.55</v>
      </c>
      <c r="I30">
        <f>H30</f>
        <v>4.55</v>
      </c>
      <c r="J30">
        <f>I30</f>
        <v>4.55</v>
      </c>
      <c r="K30">
        <f>ROUND(F9/D7/30,2)</f>
        <v>4.92</v>
      </c>
      <c r="L30">
        <f>K30</f>
        <v>4.92</v>
      </c>
      <c r="M30">
        <f>L30</f>
        <v>4.92</v>
      </c>
      <c r="N30">
        <f>ROUND(F10/D7/30,2)</f>
        <v>5.3</v>
      </c>
      <c r="O30">
        <f t="shared" ref="O30:O31" si="0">ROUND(AVERAGE(F30:N30),2)</f>
        <v>4.68</v>
      </c>
    </row>
    <row r="31" spans="1:22">
      <c r="E31" s="3481">
        <f>D11</f>
        <v>45</v>
      </c>
      <c r="F31">
        <f>ROUND(F11/$D$11/30,2)</f>
        <v>4.2</v>
      </c>
      <c r="G31">
        <f>F31</f>
        <v>4.2</v>
      </c>
      <c r="H31">
        <f>ROUND(F12/$D$11/30,2)</f>
        <v>4.55</v>
      </c>
      <c r="I31">
        <f>H31</f>
        <v>4.55</v>
      </c>
      <c r="J31">
        <f>I31</f>
        <v>4.55</v>
      </c>
      <c r="K31">
        <f>ROUND(F13/$D$11/30,2)</f>
        <v>4.92</v>
      </c>
      <c r="L31">
        <f>K31</f>
        <v>4.92</v>
      </c>
      <c r="M31">
        <f>L31</f>
        <v>4.92</v>
      </c>
      <c r="N31">
        <f>ROUND(F14/$D$11/30,2)</f>
        <v>5.3</v>
      </c>
      <c r="O31">
        <f t="shared" si="0"/>
        <v>4.68</v>
      </c>
    </row>
    <row r="32" spans="1:22">
      <c r="O32" s="3481">
        <f>(E29*O29+E30*O30+E31*O31)/E22</f>
        <v>4.9640149429807314</v>
      </c>
    </row>
    <row r="33" spans="15:15">
      <c r="O33" s="3481">
        <f>O32*E22/F22</f>
        <v>3.1491254986192083</v>
      </c>
    </row>
  </sheetData>
  <mergeCells count="83">
    <mergeCell ref="V15:V19"/>
    <mergeCell ref="P15:P19"/>
    <mergeCell ref="Q15:Q19"/>
    <mergeCell ref="R15:R19"/>
    <mergeCell ref="S15:S19"/>
    <mergeCell ref="T15:T19"/>
    <mergeCell ref="U15:U19"/>
    <mergeCell ref="S11:S14"/>
    <mergeCell ref="T11:T14"/>
    <mergeCell ref="U11:U14"/>
    <mergeCell ref="V11:V14"/>
    <mergeCell ref="Q11:Q14"/>
    <mergeCell ref="R11:R14"/>
    <mergeCell ref="A15:A19"/>
    <mergeCell ref="B15:B19"/>
    <mergeCell ref="C15:C19"/>
    <mergeCell ref="D15:D19"/>
    <mergeCell ref="E15:E19"/>
    <mergeCell ref="I15:I19"/>
    <mergeCell ref="M11:M14"/>
    <mergeCell ref="N11:N14"/>
    <mergeCell ref="O11:O14"/>
    <mergeCell ref="P11:P14"/>
    <mergeCell ref="O15:O19"/>
    <mergeCell ref="J15:J19"/>
    <mergeCell ref="K15:K19"/>
    <mergeCell ref="L15:L19"/>
    <mergeCell ref="M15:M19"/>
    <mergeCell ref="N15:N19"/>
    <mergeCell ref="V7:V10"/>
    <mergeCell ref="A11:A14"/>
    <mergeCell ref="B11:B14"/>
    <mergeCell ref="C11:C14"/>
    <mergeCell ref="D11:D14"/>
    <mergeCell ref="E11:E14"/>
    <mergeCell ref="I11:I14"/>
    <mergeCell ref="J11:J14"/>
    <mergeCell ref="K11:K14"/>
    <mergeCell ref="L11:L14"/>
    <mergeCell ref="P7:P10"/>
    <mergeCell ref="Q7:Q10"/>
    <mergeCell ref="R7:R10"/>
    <mergeCell ref="S7:S10"/>
    <mergeCell ref="T7:T10"/>
    <mergeCell ref="U7:U10"/>
    <mergeCell ref="S4:S6"/>
    <mergeCell ref="T4:T6"/>
    <mergeCell ref="U4:U6"/>
    <mergeCell ref="V4:V6"/>
    <mergeCell ref="Q4:Q6"/>
    <mergeCell ref="R4:R6"/>
    <mergeCell ref="A7:A10"/>
    <mergeCell ref="B7:B10"/>
    <mergeCell ref="C7:C10"/>
    <mergeCell ref="D7:D10"/>
    <mergeCell ref="E7:E10"/>
    <mergeCell ref="I7:I10"/>
    <mergeCell ref="M4:M6"/>
    <mergeCell ref="N4:N6"/>
    <mergeCell ref="O4:O6"/>
    <mergeCell ref="P4:P6"/>
    <mergeCell ref="O7:O10"/>
    <mergeCell ref="J7:J10"/>
    <mergeCell ref="K7:K10"/>
    <mergeCell ref="L7:L10"/>
    <mergeCell ref="M7:M10"/>
    <mergeCell ref="N7:N10"/>
    <mergeCell ref="P2:T2"/>
    <mergeCell ref="A4:A6"/>
    <mergeCell ref="B4:B6"/>
    <mergeCell ref="C4:C6"/>
    <mergeCell ref="D4:D6"/>
    <mergeCell ref="E4:E6"/>
    <mergeCell ref="I4:I6"/>
    <mergeCell ref="J4:J6"/>
    <mergeCell ref="K4:K6"/>
    <mergeCell ref="L4:L6"/>
    <mergeCell ref="A2:A3"/>
    <mergeCell ref="B2:B3"/>
    <mergeCell ref="C2:C3"/>
    <mergeCell ref="D2:D3"/>
    <mergeCell ref="E2:E3"/>
    <mergeCell ref="F2:H2"/>
  </mergeCells>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5" t="str">
        <f>IF(项目基本情况!B9="房地产市场价值","估价结果一览表","结果表-2")</f>
        <v>结果表-2</v>
      </c>
      <c r="B1" s="3505"/>
      <c r="C1" s="3505"/>
      <c r="D1" s="3505"/>
      <c r="E1" s="3505"/>
      <c r="F1" s="3505"/>
      <c r="G1" s="3505"/>
      <c r="H1" s="3505"/>
      <c r="I1" s="3505"/>
    </row>
    <row r="2" spans="1:9" ht="30" customHeight="1" thickTop="1">
      <c r="A2" s="3506" t="s">
        <v>928</v>
      </c>
      <c r="B2" s="3506" t="s">
        <v>929</v>
      </c>
      <c r="C2" s="3506" t="s">
        <v>930</v>
      </c>
      <c r="D2" s="3506" t="str">
        <f>结果表!D116</f>
        <v>出让国有建设用地使用权价值</v>
      </c>
      <c r="E2" s="3506"/>
      <c r="F2" s="3506" t="str">
        <f>结果表!F116</f>
        <v>在建建筑物价值</v>
      </c>
      <c r="G2" s="3506"/>
      <c r="H2" s="3506" t="str">
        <f>IF(项目基本情况!B9="房地产市场价值","房地产市场价值","房地产价值")</f>
        <v>房地产价值</v>
      </c>
      <c r="I2" s="3506"/>
    </row>
    <row r="3" spans="1:9" ht="15">
      <c r="A3" s="3501"/>
      <c r="B3" s="3501"/>
      <c r="C3" s="3501"/>
      <c r="D3" s="854" t="s">
        <v>925</v>
      </c>
      <c r="E3" s="854" t="s">
        <v>931</v>
      </c>
      <c r="F3" s="854" t="s">
        <v>925</v>
      </c>
      <c r="G3" s="854" t="s">
        <v>926</v>
      </c>
      <c r="H3" s="854" t="s">
        <v>925</v>
      </c>
      <c r="I3" s="854" t="s">
        <v>926</v>
      </c>
    </row>
    <row r="4" spans="1:9" ht="30">
      <c r="A4" s="1505" t="str">
        <f>项目基本情况!S2</f>
        <v>北京市朝阳区朝阳区门外大街18号房地产</v>
      </c>
      <c r="B4" s="854">
        <f>项目基本情况!C17</f>
        <v>6547.83</v>
      </c>
      <c r="C4" s="854">
        <f>项目基本情况!C18</f>
        <v>750.35</v>
      </c>
      <c r="D4" s="854">
        <f ca="1">结果表!D118</f>
        <v>14163</v>
      </c>
      <c r="E4" s="854">
        <f ca="1">结果表!E118</f>
        <v>21630</v>
      </c>
      <c r="F4" s="854">
        <f ca="1">结果表!F118</f>
        <v>3856</v>
      </c>
      <c r="G4" s="854">
        <f ca="1">结果表!G118</f>
        <v>5889</v>
      </c>
      <c r="H4" s="854">
        <f ca="1">结果表!H118</f>
        <v>18019</v>
      </c>
      <c r="I4" s="854">
        <f ca="1">结果表!I118</f>
        <v>27519</v>
      </c>
    </row>
    <row r="5" spans="1:9" ht="30" customHeight="1">
      <c r="A5" s="3501" t="s">
        <v>927</v>
      </c>
      <c r="B5" s="3501"/>
      <c r="C5" s="3501"/>
      <c r="D5" s="3501" t="str">
        <f ca="1">结果表!D119</f>
        <v>壹亿肆仟壹佰陆拾叁万元整</v>
      </c>
      <c r="E5" s="3501"/>
      <c r="F5" s="3501" t="str">
        <f ca="1">结果表!F119</f>
        <v>叁仟捌佰伍拾陆万元整</v>
      </c>
      <c r="G5" s="3501"/>
      <c r="H5" s="3501" t="str">
        <f ca="1">结果表!H119</f>
        <v>壹亿捌仟零壹拾玖万元整</v>
      </c>
      <c r="I5" s="3501"/>
    </row>
    <row r="6" spans="1:9" ht="15.75">
      <c r="A6" s="3500" t="str">
        <f>结果表!A120</f>
        <v>估价师知悉的法定优先受偿款</v>
      </c>
      <c r="B6" s="3500"/>
      <c r="C6" s="3500"/>
      <c r="D6" s="3500">
        <f>结果表!D120</f>
        <v>0</v>
      </c>
      <c r="E6" s="3500"/>
      <c r="F6" s="3500"/>
      <c r="G6" s="3500"/>
      <c r="H6" s="3500"/>
      <c r="I6" s="3500"/>
    </row>
    <row r="7" spans="1:9" ht="15">
      <c r="A7" s="3501" t="s">
        <v>927</v>
      </c>
      <c r="B7" s="3501"/>
      <c r="C7" s="3501"/>
      <c r="D7" s="3502" t="str">
        <f>结果表!D121</f>
        <v>零元整</v>
      </c>
      <c r="E7" s="3503"/>
      <c r="F7" s="3503"/>
      <c r="G7" s="3503"/>
      <c r="H7" s="3503"/>
      <c r="I7" s="3504"/>
    </row>
    <row r="8" spans="1:9" ht="15.75">
      <c r="A8" s="3500" t="str">
        <f>结果表!A122</f>
        <v>房地产抵押价值</v>
      </c>
      <c r="B8" s="3500"/>
      <c r="C8" s="3500"/>
      <c r="D8" s="3500">
        <f ca="1">结果表!D122</f>
        <v>18019</v>
      </c>
      <c r="E8" s="3500"/>
      <c r="F8" s="3500"/>
      <c r="G8" s="3500"/>
      <c r="H8" s="3500"/>
      <c r="I8" s="3500"/>
    </row>
    <row r="9" spans="1:9" ht="15">
      <c r="A9" s="3501" t="s">
        <v>927</v>
      </c>
      <c r="B9" s="3501"/>
      <c r="C9" s="3501"/>
      <c r="D9" s="3501" t="str">
        <f ca="1">结果表!D123</f>
        <v>壹亿捌仟零壹拾玖万元整</v>
      </c>
      <c r="E9" s="3501"/>
      <c r="F9" s="3501"/>
      <c r="G9" s="3501"/>
      <c r="H9" s="3501"/>
      <c r="I9" s="3501"/>
    </row>
    <row r="10" spans="1:9" ht="15.75">
      <c r="A10" s="3500" t="str">
        <f>结果表!A124</f>
        <v/>
      </c>
      <c r="B10" s="3500"/>
      <c r="C10" s="3500"/>
      <c r="D10" s="3500" t="str">
        <f>结果表!D124</f>
        <v>——</v>
      </c>
      <c r="E10" s="3500"/>
      <c r="F10" s="3500"/>
      <c r="G10" s="3500"/>
      <c r="H10" s="3500"/>
      <c r="I10" s="3500"/>
    </row>
    <row r="11" spans="1:9" ht="15">
      <c r="A11" s="3501" t="s">
        <v>927</v>
      </c>
      <c r="B11" s="3501"/>
      <c r="C11" s="3501"/>
      <c r="D11" s="3501" t="e">
        <f>结果表!D125</f>
        <v>#VALUE!</v>
      </c>
      <c r="E11" s="3501"/>
      <c r="F11" s="3501"/>
      <c r="G11" s="3501"/>
      <c r="H11" s="3501"/>
      <c r="I11" s="3501"/>
    </row>
    <row r="12" spans="1:9" ht="15.75">
      <c r="A12" s="3500" t="str">
        <f>结果表!A126</f>
        <v/>
      </c>
      <c r="B12" s="3500"/>
      <c r="C12" s="3500"/>
      <c r="D12" s="3500" t="str">
        <f>结果表!D126</f>
        <v>——</v>
      </c>
      <c r="E12" s="3500"/>
      <c r="F12" s="3500"/>
      <c r="G12" s="3500"/>
      <c r="H12" s="3500"/>
      <c r="I12" s="3500"/>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3" t="s">
        <v>949</v>
      </c>
      <c r="B1" s="3513"/>
      <c r="C1" s="3513"/>
      <c r="D1" s="3513"/>
    </row>
    <row r="2" spans="1:4" ht="18">
      <c r="A2" s="3514" t="s">
        <v>933</v>
      </c>
      <c r="B2" s="3514"/>
      <c r="C2" s="3514"/>
      <c r="D2" s="3514"/>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14" t="s">
        <v>939</v>
      </c>
      <c r="B6" s="3514"/>
      <c r="C6" s="3514"/>
      <c r="D6" s="351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5"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07" t="str">
        <f>IF(项目基本情况!B8="抵押","4.本次评估估价师所知悉的法定优先受偿款情况说明如下：","——")</f>
        <v>4.本次评估估价师所知悉的法定优先受偿款情况说明如下：</v>
      </c>
      <c r="B14" s="3512"/>
      <c r="C14" s="3512"/>
      <c r="D14" s="3512"/>
    </row>
    <row r="15" spans="1:4" ht="42" customHeight="1">
      <c r="A15" s="3507" t="str">
        <f>IF(项目基本情况!B8="抵押","（1）"&amp;CONCATENATE(项目基本情况!L20,项目基本情况!L21,项目基本情况!L22),"——")</f>
        <v>（1）根据估价对象《房屋所有权证》原件、《国有土地使用权》原件，截至价值时点，估价对象抵押权未见登记。</v>
      </c>
      <c r="B15" s="3507"/>
      <c r="C15" s="3507"/>
      <c r="D15" s="3507"/>
    </row>
    <row r="16" spans="1:4" ht="30" customHeight="1">
      <c r="A16" s="3509" t="s">
        <v>943</v>
      </c>
      <c r="B16" s="3509"/>
      <c r="C16" s="3509"/>
      <c r="D16" s="3509"/>
    </row>
    <row r="17" spans="1:4" ht="144" customHeight="1">
      <c r="A17" s="3509" t="s">
        <v>944</v>
      </c>
      <c r="B17" s="3509"/>
      <c r="C17" s="3509"/>
      <c r="D17" s="3509"/>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7"/>
      <c r="C20" s="3507"/>
      <c r="D20" s="3507"/>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8">
        <v>42551</v>
      </c>
      <c r="D31" s="35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1" t="s">
        <v>956</v>
      </c>
      <c r="B15" s="3516" t="s">
        <v>109</v>
      </c>
      <c r="C15" s="3517"/>
    </row>
    <row r="16" spans="1:7" ht="13.5">
      <c r="A16" s="3522"/>
      <c r="B16" s="3516" t="s">
        <v>42</v>
      </c>
      <c r="C16" s="3517"/>
    </row>
    <row r="17" spans="1:3" ht="13.5">
      <c r="A17" s="3522"/>
      <c r="B17" s="3519" t="s">
        <v>957</v>
      </c>
      <c r="C17" s="1532" t="s">
        <v>956</v>
      </c>
    </row>
    <row r="18" spans="1:3" ht="13.5">
      <c r="A18" s="3522"/>
      <c r="B18" s="3519"/>
      <c r="C18" s="1532" t="s">
        <v>958</v>
      </c>
    </row>
    <row r="19" spans="1:3" ht="13.5">
      <c r="A19" s="3522"/>
      <c r="B19" s="3519"/>
      <c r="C19" s="1532" t="s">
        <v>959</v>
      </c>
    </row>
    <row r="20" spans="1:3" ht="13.5">
      <c r="A20" s="3523"/>
      <c r="B20" s="3518" t="s">
        <v>960</v>
      </c>
      <c r="C20" s="3517"/>
    </row>
    <row r="21" spans="1:3" ht="13.5">
      <c r="A21" s="1533" t="s">
        <v>961</v>
      </c>
      <c r="B21" s="1534"/>
      <c r="C21" s="1535"/>
    </row>
    <row r="22" spans="1:3" ht="13.5">
      <c r="A22" s="3520" t="s">
        <v>962</v>
      </c>
      <c r="B22" s="3518" t="s">
        <v>963</v>
      </c>
      <c r="C22" s="3517"/>
    </row>
    <row r="23" spans="1:3" ht="13.5">
      <c r="A23" s="3520"/>
      <c r="B23" s="3518" t="s">
        <v>964</v>
      </c>
      <c r="C23" s="3517"/>
    </row>
    <row r="24" spans="1:3" ht="13.5">
      <c r="A24" s="3520"/>
      <c r="B24" s="3518" t="s">
        <v>965</v>
      </c>
      <c r="C24" s="3517"/>
    </row>
    <row r="25" spans="1:3" ht="13.5">
      <c r="A25" s="3520"/>
      <c r="B25" s="3519" t="s">
        <v>966</v>
      </c>
      <c r="C25" s="1532" t="s">
        <v>967</v>
      </c>
    </row>
    <row r="26" spans="1:3" ht="13.5">
      <c r="A26" s="3520"/>
      <c r="B26" s="3519"/>
      <c r="C26" s="1532" t="s">
        <v>968</v>
      </c>
    </row>
    <row r="27" spans="1:3" ht="13.5">
      <c r="A27" s="3520"/>
      <c r="B27" s="3519"/>
      <c r="C27" s="1532" t="s">
        <v>969</v>
      </c>
    </row>
    <row r="28" spans="1:3" ht="13.5">
      <c r="A28" s="3520"/>
      <c r="B28" s="3519"/>
      <c r="C28" s="1532" t="s">
        <v>970</v>
      </c>
    </row>
    <row r="29" spans="1:3" ht="13.5">
      <c r="A29" s="3520"/>
      <c r="B29" s="3519"/>
      <c r="C29" s="1532" t="s">
        <v>971</v>
      </c>
    </row>
    <row r="30" spans="1:3" ht="13.5">
      <c r="A30" s="3520"/>
      <c r="B30" s="3519"/>
      <c r="C30" s="1532" t="s">
        <v>972</v>
      </c>
    </row>
    <row r="31" spans="1:3" ht="13.5">
      <c r="A31" s="3520"/>
      <c r="B31" s="3519"/>
      <c r="C31" s="1532" t="s">
        <v>973</v>
      </c>
    </row>
    <row r="32" spans="1:3" ht="13.5">
      <c r="A32" s="3520"/>
      <c r="B32" s="3519"/>
      <c r="C32" s="1532" t="s">
        <v>974</v>
      </c>
    </row>
    <row r="33" spans="1:3" ht="13.5">
      <c r="A33" s="3520"/>
      <c r="B33" s="351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45102</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4" t="s">
        <v>2159</v>
      </c>
      <c r="B17" s="3524"/>
      <c r="C17" s="3524"/>
      <c r="D17" s="3524"/>
      <c r="E17" s="3524"/>
      <c r="F17" s="3524"/>
      <c r="G17" s="3524"/>
      <c r="H17" s="3524"/>
    </row>
    <row r="18" spans="1:8" ht="24" customHeight="1">
      <c r="A18" s="3525" t="s">
        <v>2160</v>
      </c>
      <c r="B18" s="3525"/>
      <c r="C18" s="3525"/>
      <c r="D18" s="2343"/>
      <c r="E18" s="3526" t="s">
        <v>2161</v>
      </c>
      <c r="F18" s="3525"/>
      <c r="G18" s="3525"/>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收益法-未出租</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2023-06-25T01:15:38Z</dcterms:modified>
</cp:coreProperties>
</file>