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35" yWindow="0" windowWidth="12015" windowHeight="10080" tabRatio="899" firstSheet="17"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Sheet1" sheetId="80" r:id="rId14"/>
    <sheet name="数据-汇总表" sheetId="6" r:id="rId15"/>
    <sheet name="数据-取费表" sheetId="1" r:id="rId16"/>
    <sheet name="估价对象房地状况" sheetId="20" r:id="rId17"/>
    <sheet name="系统读取表" sheetId="74" r:id="rId18"/>
    <sheet name="结果表" sheetId="9" r:id="rId19"/>
    <sheet name="基准地价修正" sheetId="43" r:id="rId20"/>
    <sheet name="成本法" sheetId="68" r:id="rId21"/>
    <sheet name="成本法 (元)" sheetId="69" state="hidden" r:id="rId22"/>
    <sheet name="假设开发法" sheetId="12" state="hidden" r:id="rId23"/>
    <sheet name="收益法-未出租" sheetId="81" r:id="rId24"/>
    <sheet name="收益法" sheetId="15" r:id="rId25"/>
    <sheet name="收益法 (元)" sheetId="67" state="hidden" r:id="rId26"/>
    <sheet name="收益法-酒店模型" sheetId="77" state="hidden" r:id="rId27"/>
    <sheet name="收益法（汇总）" sheetId="70"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 name="Sheet2" sheetId="82" state="hidden" r:id="rId48"/>
  </sheets>
  <externalReferences>
    <externalReference r:id="rId49"/>
    <externalReference r:id="rId50"/>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19">基准地价修正!$A$1:$J$44,基准地价修正!$A$47:$H$101,基准地价修正!$R$1:$V$16</definedName>
    <definedName name="_xlnm.Print_Area" localSheetId="22">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23">'收益法-未出租'!$A$1:$F$43,'收益法-未出租'!$H$3:$M$29,'收益法-未出租'!$A$46:$F$71,'收益法-未出租'!$I$46:$N$65</definedName>
    <definedName name="_xlnm.Print_Area" localSheetId="14">'数据-汇总表'!$A$1:$P$32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L7" i="1" l="1"/>
  <c r="AB6" i="1"/>
  <c r="F29" i="80"/>
  <c r="E22" i="80"/>
  <c r="Z6" i="1"/>
  <c r="AM7" i="1"/>
  <c r="AK7" i="1"/>
  <c r="Q72" i="81" l="1"/>
  <c r="Q59" i="81"/>
  <c r="K59" i="81"/>
  <c r="P74" i="81" s="1"/>
  <c r="F59" i="81"/>
  <c r="Q58" i="81"/>
  <c r="Q51" i="81"/>
  <c r="J50" i="81"/>
  <c r="M47" i="81"/>
  <c r="D46" i="81"/>
  <c r="F33" i="81"/>
  <c r="F61" i="81" s="1"/>
  <c r="F31" i="81"/>
  <c r="F23" i="81"/>
  <c r="D24" i="81" s="1"/>
  <c r="D23" i="81"/>
  <c r="D22" i="81"/>
  <c r="F21" i="81"/>
  <c r="F20" i="81"/>
  <c r="M19" i="81"/>
  <c r="F18" i="81"/>
  <c r="M17" i="81"/>
  <c r="F17" i="81"/>
  <c r="F15" i="81"/>
  <c r="E31" i="80"/>
  <c r="E30" i="80"/>
  <c r="E29" i="80"/>
  <c r="N31" i="80"/>
  <c r="K31" i="80"/>
  <c r="L31" i="80" s="1"/>
  <c r="M31" i="80" s="1"/>
  <c r="I31" i="80"/>
  <c r="J31" i="80" s="1"/>
  <c r="H31" i="80"/>
  <c r="F31" i="80"/>
  <c r="G31" i="80" s="1"/>
  <c r="O31" i="80" s="1"/>
  <c r="N30" i="80"/>
  <c r="K30" i="80"/>
  <c r="L30" i="80" s="1"/>
  <c r="M30" i="80" s="1"/>
  <c r="J30" i="80"/>
  <c r="O30" i="80" s="1"/>
  <c r="I30" i="80"/>
  <c r="H30" i="80"/>
  <c r="F30" i="80"/>
  <c r="G30" i="80"/>
  <c r="L24" i="80"/>
  <c r="D22" i="80"/>
  <c r="F22" i="80"/>
  <c r="F19" i="6" s="1"/>
  <c r="G22" i="80" l="1"/>
  <c r="G29" i="80"/>
  <c r="H29" i="80" s="1"/>
  <c r="I29" i="80" s="1"/>
  <c r="J29" i="80" s="1"/>
  <c r="K29" i="80" s="1"/>
  <c r="L29" i="80" s="1"/>
  <c r="M29" i="80" s="1"/>
  <c r="N29" i="80" s="1"/>
  <c r="P61" i="81"/>
  <c r="N6" i="1"/>
  <c r="N19" i="1"/>
  <c r="N21" i="1" s="1"/>
  <c r="A3" i="3"/>
  <c r="B6" i="4"/>
  <c r="Y6" i="1" l="1"/>
  <c r="N7" i="1"/>
  <c r="Y7" i="1" s="1"/>
  <c r="O29" i="80"/>
  <c r="O32" i="80" s="1"/>
  <c r="O33" i="80" s="1"/>
  <c r="U6" i="1" s="1"/>
  <c r="P27" i="79" l="1"/>
  <c r="L26" i="79"/>
  <c r="M26" i="79"/>
  <c r="P26" i="79" s="1"/>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L14" i="79"/>
  <c r="K14" i="79"/>
  <c r="R14" i="79" s="1"/>
  <c r="I14" i="79"/>
  <c r="AC13" i="79"/>
  <c r="AB13" i="79"/>
  <c r="AA13" i="79"/>
  <c r="AD13" i="79" s="1"/>
  <c r="Z13" i="79"/>
  <c r="Y13" i="79"/>
  <c r="O13" i="79"/>
  <c r="N13" i="79"/>
  <c r="U13" i="79" s="1"/>
  <c r="M13" i="79"/>
  <c r="P13" i="79" s="1"/>
  <c r="L13" i="79"/>
  <c r="K13" i="79"/>
  <c r="R13" i="79" s="1"/>
  <c r="I13" i="79"/>
  <c r="AD12" i="79"/>
  <c r="AC12" i="79"/>
  <c r="AB12" i="79"/>
  <c r="AA12" i="79"/>
  <c r="Z12" i="79"/>
  <c r="Y12" i="79"/>
  <c r="O12" i="79"/>
  <c r="V12" i="79" s="1"/>
  <c r="N12" i="79"/>
  <c r="U12" i="79" s="1"/>
  <c r="M12" i="79"/>
  <c r="T12" i="79" s="1"/>
  <c r="W12" i="79" s="1"/>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U10" i="79" s="1"/>
  <c r="M10" i="79"/>
  <c r="T10" i="79" s="1"/>
  <c r="W10" i="79" s="1"/>
  <c r="L10" i="79"/>
  <c r="K10" i="79"/>
  <c r="I10" i="79"/>
  <c r="AC9" i="79"/>
  <c r="AB9" i="79"/>
  <c r="AA9" i="79"/>
  <c r="AD9" i="79" s="1"/>
  <c r="Z9" i="79"/>
  <c r="Y9" i="79"/>
  <c r="Y3" i="79" s="1"/>
  <c r="O9" i="79"/>
  <c r="N9" i="79"/>
  <c r="U3" i="79" s="1"/>
  <c r="M9" i="79"/>
  <c r="L9" i="79"/>
  <c r="K9" i="79"/>
  <c r="I9" i="79"/>
  <c r="AC5" i="79"/>
  <c r="AC3" i="79" s="1"/>
  <c r="AB5" i="79"/>
  <c r="AB3" i="79" s="1"/>
  <c r="AA5" i="79"/>
  <c r="AD5" i="79" s="1"/>
  <c r="Z5" i="79"/>
  <c r="Z3" i="79" s="1"/>
  <c r="Y5" i="79"/>
  <c r="O5" i="79"/>
  <c r="O3" i="79" s="1"/>
  <c r="N5" i="79"/>
  <c r="N3" i="79" s="1"/>
  <c r="M5" i="79"/>
  <c r="P5" i="79" s="1"/>
  <c r="L5" i="79"/>
  <c r="S3" i="79" s="1"/>
  <c r="K5" i="79"/>
  <c r="I5" i="79"/>
  <c r="V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M3" i="79"/>
  <c r="P3" i="79" s="1"/>
  <c r="U11" i="79"/>
  <c r="R12" i="79"/>
  <c r="V13" i="79"/>
  <c r="S14" i="79"/>
  <c r="AA3" i="79"/>
  <c r="AD3" i="79" s="1"/>
  <c r="V11" i="79"/>
  <c r="S12" i="79"/>
  <c r="T14" i="79"/>
  <c r="W14" i="79" s="1"/>
  <c r="T3" i="79"/>
  <c r="W3" i="79" s="1"/>
  <c r="R10" i="79"/>
  <c r="S10" i="79"/>
  <c r="R11" i="79"/>
  <c r="S13" i="79"/>
  <c r="V10" i="79"/>
  <c r="S11" i="79"/>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D11" i="77" s="1"/>
  <c r="E11" i="77" s="1"/>
  <c r="E7" i="77" s="1"/>
  <c r="C27" i="77" s="1"/>
  <c r="R13" i="77"/>
  <c r="R12" i="77"/>
  <c r="D12" i="77"/>
  <c r="R11" i="77"/>
  <c r="R10" i="77"/>
  <c r="D10" i="77"/>
  <c r="R9" i="77"/>
  <c r="D9" i="77"/>
  <c r="R8" i="77"/>
  <c r="R7" i="77"/>
  <c r="R4" i="77"/>
  <c r="R3" i="77"/>
  <c r="D7" i="77" l="1"/>
  <c r="C26" i="77" s="1"/>
  <c r="R14" i="77"/>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O24" i="71"/>
  <c r="C24" i="71"/>
  <c r="C23" i="71" s="1"/>
  <c r="Q25" i="71"/>
  <c r="P25" i="71"/>
  <c r="E24" i="71"/>
  <c r="V24" i="71" s="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c r="AG36" i="71"/>
  <c r="AH36" i="71"/>
  <c r="AD37" i="71"/>
  <c r="AE37" i="71"/>
  <c r="AF37" i="71" s="1"/>
  <c r="AG37" i="71"/>
  <c r="AH37" i="71"/>
  <c r="AD38" i="71"/>
  <c r="AE38" i="71"/>
  <c r="AF38" i="71" s="1"/>
  <c r="AG38" i="71"/>
  <c r="AH38" i="71"/>
  <c r="AH39" i="71"/>
  <c r="AG39" i="71"/>
  <c r="AE39" i="71"/>
  <c r="AF39" i="7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B87" i="71" s="1"/>
  <c r="B86" i="71" s="1"/>
  <c r="F87" i="71"/>
  <c r="F86" i="71" s="1"/>
  <c r="D85" i="71"/>
  <c r="F84" i="71"/>
  <c r="F83" i="71" s="1"/>
  <c r="F82" i="71" s="1"/>
  <c r="E84" i="71"/>
  <c r="E83" i="71"/>
  <c r="E82" i="71" s="1"/>
  <c r="C84" i="71"/>
  <c r="D84" i="71"/>
  <c r="B84" i="71"/>
  <c r="B83" i="71"/>
  <c r="B82" i="71"/>
  <c r="D81" i="71"/>
  <c r="Q80" i="71"/>
  <c r="P80" i="71"/>
  <c r="O80" i="71"/>
  <c r="N80" i="71"/>
  <c r="F80" i="71"/>
  <c r="F79" i="71" s="1"/>
  <c r="F78" i="71" s="1"/>
  <c r="E80" i="71"/>
  <c r="U80" i="71" s="1"/>
  <c r="C80" i="71"/>
  <c r="T80" i="71"/>
  <c r="B80" i="71"/>
  <c r="S80" i="71" s="1"/>
  <c r="Q79" i="71"/>
  <c r="P79" i="71"/>
  <c r="O79" i="71"/>
  <c r="N79" i="71"/>
  <c r="B79" i="71"/>
  <c r="B78" i="71"/>
  <c r="Q78" i="71"/>
  <c r="P78" i="71"/>
  <c r="O78" i="71"/>
  <c r="N78" i="71"/>
  <c r="Q77" i="71"/>
  <c r="P77" i="71"/>
  <c r="O77" i="71"/>
  <c r="N77" i="71"/>
  <c r="D77" i="71"/>
  <c r="Q76" i="71"/>
  <c r="P76" i="71"/>
  <c r="O76" i="71"/>
  <c r="N76" i="71"/>
  <c r="F76" i="71"/>
  <c r="V76" i="71"/>
  <c r="E76" i="71"/>
  <c r="U76" i="71" s="1"/>
  <c r="C76" i="71"/>
  <c r="C75"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c r="C72" i="71"/>
  <c r="D72" i="71" s="1"/>
  <c r="B72" i="71"/>
  <c r="S72" i="71"/>
  <c r="Q71" i="71"/>
  <c r="P71" i="71"/>
  <c r="O71" i="71"/>
  <c r="N71" i="71"/>
  <c r="F71" i="71"/>
  <c r="F70" i="71" s="1"/>
  <c r="B71" i="71"/>
  <c r="B70" i="71"/>
  <c r="Q70" i="71"/>
  <c r="P70" i="71"/>
  <c r="O70" i="71"/>
  <c r="N70" i="71"/>
  <c r="Q69" i="71"/>
  <c r="P69" i="71"/>
  <c r="O69" i="71"/>
  <c r="N69" i="71"/>
  <c r="D69" i="71"/>
  <c r="F68" i="71"/>
  <c r="V68" i="71" s="1"/>
  <c r="E68" i="71"/>
  <c r="P68" i="71"/>
  <c r="C68" i="71"/>
  <c r="B68" i="71"/>
  <c r="S68" i="71"/>
  <c r="F67" i="71"/>
  <c r="D65" i="71"/>
  <c r="Q64" i="71"/>
  <c r="P64" i="71"/>
  <c r="O64" i="71"/>
  <c r="N64" i="71"/>
  <c r="Q63" i="71"/>
  <c r="P63" i="71"/>
  <c r="O63" i="71"/>
  <c r="N63" i="71"/>
  <c r="Q62" i="71"/>
  <c r="P62" i="71"/>
  <c r="O62" i="71"/>
  <c r="N62" i="71"/>
  <c r="B63" i="71" s="1"/>
  <c r="B64" i="71" s="1"/>
  <c r="S64" i="71" s="1"/>
  <c r="Q61" i="71"/>
  <c r="F62" i="71" s="1"/>
  <c r="F63" i="71" s="1"/>
  <c r="F64" i="71"/>
  <c r="V64" i="71"/>
  <c r="P61" i="71"/>
  <c r="E62" i="71" s="1"/>
  <c r="E63" i="71" s="1"/>
  <c r="E64" i="71" s="1"/>
  <c r="U64" i="71" s="1"/>
  <c r="O61" i="71"/>
  <c r="C62" i="71" s="1"/>
  <c r="N61" i="71"/>
  <c r="B62" i="71"/>
  <c r="D61" i="71"/>
  <c r="Q60" i="71"/>
  <c r="P60" i="71"/>
  <c r="O60" i="71"/>
  <c r="N60" i="71"/>
  <c r="Q59" i="71"/>
  <c r="P59" i="71"/>
  <c r="O59" i="71"/>
  <c r="N59" i="71"/>
  <c r="Q58" i="71"/>
  <c r="P58" i="71"/>
  <c r="O58" i="71"/>
  <c r="N58" i="71"/>
  <c r="Q57" i="71"/>
  <c r="F58" i="71"/>
  <c r="F59" i="71"/>
  <c r="F60" i="71"/>
  <c r="V60" i="71" s="1"/>
  <c r="P57" i="71"/>
  <c r="E58" i="71" s="1"/>
  <c r="O57" i="71"/>
  <c r="C58" i="71"/>
  <c r="C59" i="71" s="1"/>
  <c r="N57" i="71"/>
  <c r="B58" i="71"/>
  <c r="B59" i="71"/>
  <c r="B60" i="71"/>
  <c r="S60" i="71" s="1"/>
  <c r="D57" i="71"/>
  <c r="Q56" i="71"/>
  <c r="P56" i="71"/>
  <c r="O56" i="71"/>
  <c r="N56" i="71"/>
  <c r="Q55" i="71"/>
  <c r="P55" i="71"/>
  <c r="O55" i="71"/>
  <c r="N55" i="71"/>
  <c r="Q54" i="71"/>
  <c r="P54" i="71"/>
  <c r="O54" i="71"/>
  <c r="N54" i="71"/>
  <c r="C54" i="71"/>
  <c r="Q53" i="71"/>
  <c r="F54" i="71" s="1"/>
  <c r="F55" i="71" s="1"/>
  <c r="F56" i="71" s="1"/>
  <c r="V56" i="71"/>
  <c r="P53" i="71"/>
  <c r="E54" i="71" s="1"/>
  <c r="E55" i="71" s="1"/>
  <c r="E56" i="71" s="1"/>
  <c r="U56" i="71" s="1"/>
  <c r="O53" i="71"/>
  <c r="N53" i="71"/>
  <c r="B54" i="71" s="1"/>
  <c r="B55" i="71" s="1"/>
  <c r="B56" i="71" s="1"/>
  <c r="S56" i="71" s="1"/>
  <c r="D53" i="71"/>
  <c r="Q52" i="71"/>
  <c r="P52" i="71"/>
  <c r="O52" i="71"/>
  <c r="N52" i="71"/>
  <c r="Q51" i="71"/>
  <c r="P51" i="71"/>
  <c r="O51" i="71"/>
  <c r="N51" i="71"/>
  <c r="Q50" i="71"/>
  <c r="F51" i="71" s="1"/>
  <c r="F52" i="71" s="1"/>
  <c r="V52" i="71" s="1"/>
  <c r="P50" i="71"/>
  <c r="E51" i="71" s="1"/>
  <c r="E52" i="71" s="1"/>
  <c r="U52" i="71" s="1"/>
  <c r="O50" i="71"/>
  <c r="N50" i="71"/>
  <c r="Q49" i="71"/>
  <c r="F50" i="71"/>
  <c r="P49" i="71"/>
  <c r="E50" i="71"/>
  <c r="O49" i="71"/>
  <c r="C50" i="71" s="1"/>
  <c r="N49" i="71"/>
  <c r="B50" i="71"/>
  <c r="B51" i="71" s="1"/>
  <c r="B52" i="71" s="1"/>
  <c r="S52" i="71" s="1"/>
  <c r="D49" i="71"/>
  <c r="T48" i="71"/>
  <c r="Q48" i="71"/>
  <c r="P48" i="71"/>
  <c r="O48" i="71"/>
  <c r="N48" i="71"/>
  <c r="D48" i="71"/>
  <c r="Q47" i="71"/>
  <c r="P47" i="71"/>
  <c r="O47" i="71"/>
  <c r="N47" i="71"/>
  <c r="Q46" i="71"/>
  <c r="P46" i="71"/>
  <c r="O46" i="71"/>
  <c r="N46" i="71"/>
  <c r="F46" i="71"/>
  <c r="F47" i="71"/>
  <c r="F48" i="71" s="1"/>
  <c r="V48" i="71" s="1"/>
  <c r="Q45" i="71"/>
  <c r="P45" i="71"/>
  <c r="E46" i="71" s="1"/>
  <c r="E47" i="71" s="1"/>
  <c r="E48" i="71" s="1"/>
  <c r="U48" i="71" s="1"/>
  <c r="O45" i="71"/>
  <c r="C46" i="71" s="1"/>
  <c r="C47" i="71" s="1"/>
  <c r="D47" i="71" s="1"/>
  <c r="N45" i="71"/>
  <c r="B46" i="71"/>
  <c r="B47" i="71" s="1"/>
  <c r="B48" i="71" s="1"/>
  <c r="S48" i="71" s="1"/>
  <c r="D45" i="71"/>
  <c r="Q44" i="71"/>
  <c r="P44" i="71"/>
  <c r="O44" i="71"/>
  <c r="N44" i="71"/>
  <c r="Q43" i="71"/>
  <c r="P43" i="71"/>
  <c r="O43" i="71"/>
  <c r="N43" i="71"/>
  <c r="Q42" i="71"/>
  <c r="P42" i="71"/>
  <c r="O42" i="71"/>
  <c r="N42" i="71"/>
  <c r="F42" i="71"/>
  <c r="F43" i="71" s="1"/>
  <c r="F44" i="71" s="1"/>
  <c r="V44" i="71" s="1"/>
  <c r="Q41" i="71"/>
  <c r="P41" i="71"/>
  <c r="E42" i="71"/>
  <c r="E43" i="71"/>
  <c r="E44" i="71" s="1"/>
  <c r="U44" i="71" s="1"/>
  <c r="O41" i="71"/>
  <c r="C42" i="71" s="1"/>
  <c r="N41" i="71"/>
  <c r="B42" i="71" s="1"/>
  <c r="B43" i="71" s="1"/>
  <c r="B44" i="71"/>
  <c r="S44" i="71"/>
  <c r="D41" i="71"/>
  <c r="Q40" i="71"/>
  <c r="P40" i="71"/>
  <c r="O40" i="71"/>
  <c r="N40" i="71"/>
  <c r="Q39" i="71"/>
  <c r="P39" i="71"/>
  <c r="AA39" i="71"/>
  <c r="O39" i="71"/>
  <c r="Y39" i="71" s="1"/>
  <c r="Z39" i="71" s="1"/>
  <c r="N39" i="71"/>
  <c r="X39" i="71"/>
  <c r="Q38" i="71"/>
  <c r="AB38" i="71"/>
  <c r="P38" i="71"/>
  <c r="AA38" i="71" s="1"/>
  <c r="O38" i="71"/>
  <c r="Y38" i="71" s="1"/>
  <c r="Z38" i="71" s="1"/>
  <c r="N38" i="71"/>
  <c r="Q37" i="71"/>
  <c r="P37" i="71"/>
  <c r="AA37" i="71" s="1"/>
  <c r="O37" i="71"/>
  <c r="N37" i="71"/>
  <c r="D37" i="71"/>
  <c r="Q36" i="71"/>
  <c r="P36" i="71"/>
  <c r="O36" i="71"/>
  <c r="N36" i="71"/>
  <c r="Q35" i="71"/>
  <c r="P35" i="71"/>
  <c r="O35" i="71"/>
  <c r="Y34" i="71" s="1"/>
  <c r="Z34" i="71" s="1"/>
  <c r="N35" i="71"/>
  <c r="X35" i="71" s="1"/>
  <c r="Q34" i="71"/>
  <c r="P34" i="71"/>
  <c r="O34" i="71"/>
  <c r="N34" i="71"/>
  <c r="Q33" i="71"/>
  <c r="P33" i="71"/>
  <c r="AA33" i="71" s="1"/>
  <c r="O33" i="71"/>
  <c r="C34" i="71" s="1"/>
  <c r="D34" i="71" s="1"/>
  <c r="N33" i="71"/>
  <c r="D33" i="71"/>
  <c r="Q32" i="71"/>
  <c r="P32" i="71"/>
  <c r="O32" i="71"/>
  <c r="N32" i="71"/>
  <c r="X32" i="71" s="1"/>
  <c r="Q31" i="71"/>
  <c r="P31" i="71"/>
  <c r="O31" i="71"/>
  <c r="Y30" i="71" s="1"/>
  <c r="Z30" i="71" s="1"/>
  <c r="N31" i="71"/>
  <c r="X29" i="71" s="1"/>
  <c r="Q30" i="71"/>
  <c r="AB30" i="71" s="1"/>
  <c r="P30" i="71"/>
  <c r="O30" i="71"/>
  <c r="N30" i="71"/>
  <c r="F30" i="71"/>
  <c r="Q29" i="71"/>
  <c r="P29" i="71"/>
  <c r="E30" i="71" s="1"/>
  <c r="E31" i="71" s="1"/>
  <c r="E32" i="71" s="1"/>
  <c r="U32" i="71" s="1"/>
  <c r="O29" i="71"/>
  <c r="N29" i="71"/>
  <c r="D29" i="71"/>
  <c r="O28" i="71"/>
  <c r="N28" i="71"/>
  <c r="B34" i="71"/>
  <c r="B35" i="71"/>
  <c r="B36" i="71" s="1"/>
  <c r="S36" i="71" s="1"/>
  <c r="X33" i="71"/>
  <c r="B38" i="71"/>
  <c r="B39" i="71" s="1"/>
  <c r="B40" i="71" s="1"/>
  <c r="S40" i="71" s="1"/>
  <c r="X37" i="71"/>
  <c r="X31" i="71"/>
  <c r="AA31" i="71"/>
  <c r="C35" i="71"/>
  <c r="C36" i="71" s="1"/>
  <c r="X34" i="71"/>
  <c r="X36" i="71"/>
  <c r="AA36" i="71"/>
  <c r="C38" i="71"/>
  <c r="X38" i="71"/>
  <c r="C28" i="71"/>
  <c r="D28" i="71" s="1"/>
  <c r="U28" i="71" s="1"/>
  <c r="Y25" i="71"/>
  <c r="Z25" i="71" s="1"/>
  <c r="B28" i="71"/>
  <c r="B27" i="71" s="1"/>
  <c r="B26" i="71" s="1"/>
  <c r="X27" i="71"/>
  <c r="X28" i="71"/>
  <c r="D46" i="71"/>
  <c r="P28" i="71"/>
  <c r="AA3" i="71" s="1"/>
  <c r="E59" i="71"/>
  <c r="E60" i="71"/>
  <c r="U60" i="71" s="1"/>
  <c r="U68" i="71"/>
  <c r="E67" i="71"/>
  <c r="P67" i="71" s="1"/>
  <c r="Q28" i="71"/>
  <c r="C63" i="71"/>
  <c r="C64" i="71" s="1"/>
  <c r="D62" i="71"/>
  <c r="D68" i="71"/>
  <c r="C67" i="71"/>
  <c r="Q68" i="71"/>
  <c r="E71" i="71"/>
  <c r="E70" i="71" s="1"/>
  <c r="D76" i="71"/>
  <c r="C79" i="71"/>
  <c r="E79" i="71"/>
  <c r="E78" i="71" s="1"/>
  <c r="D80" i="71"/>
  <c r="C83" i="71"/>
  <c r="C87" i="71"/>
  <c r="D87" i="71" s="1"/>
  <c r="S28" i="71"/>
  <c r="F28" i="71"/>
  <c r="F27" i="71" s="1"/>
  <c r="F26" i="71" s="1"/>
  <c r="E28" i="71"/>
  <c r="V28" i="71" s="1"/>
  <c r="E27" i="71"/>
  <c r="E26" i="71" s="1"/>
  <c r="AA28" i="71"/>
  <c r="D63" i="71"/>
  <c r="D83" i="71"/>
  <c r="C82" i="71"/>
  <c r="D82" i="71"/>
  <c r="C60" i="71"/>
  <c r="T60" i="71" s="1"/>
  <c r="D59" i="71"/>
  <c r="D35"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c r="F25" i="40"/>
  <c r="S25" i="40" s="1"/>
  <c r="Q29" i="39"/>
  <c r="Z29" i="39" s="1"/>
  <c r="D102" i="39"/>
  <c r="E102" i="39" s="1"/>
  <c r="F102" i="39" s="1"/>
  <c r="G102" i="39" s="1"/>
  <c r="F29" i="39"/>
  <c r="AA29" i="39" s="1"/>
  <c r="Q18" i="36"/>
  <c r="Z18" i="36" s="1"/>
  <c r="D66" i="36"/>
  <c r="E66" i="36"/>
  <c r="F66" i="36"/>
  <c r="G66" i="36" s="1"/>
  <c r="H18" i="36"/>
  <c r="U18" i="36" s="1"/>
  <c r="F18" i="36"/>
  <c r="C18" i="36"/>
  <c r="Q18" i="35"/>
  <c r="Z18" i="35" s="1"/>
  <c r="D68" i="35"/>
  <c r="E68" i="35"/>
  <c r="F18" i="35"/>
  <c r="AA18" i="35" s="1"/>
  <c r="C18" i="35"/>
  <c r="Q21" i="37"/>
  <c r="Z21" i="37" s="1"/>
  <c r="D77" i="37"/>
  <c r="E77" i="37" s="1"/>
  <c r="F77" i="37" s="1"/>
  <c r="G77" i="37" s="1"/>
  <c r="C21" i="37"/>
  <c r="Q21" i="34"/>
  <c r="Z21" i="34" s="1"/>
  <c r="D84" i="34"/>
  <c r="E84" i="34" s="1"/>
  <c r="F84" i="34" s="1"/>
  <c r="G84" i="34" s="1"/>
  <c r="F21" i="34"/>
  <c r="AA21" i="34"/>
  <c r="C21" i="34"/>
  <c r="Z21" i="33"/>
  <c r="Q21" i="33"/>
  <c r="D83" i="33"/>
  <c r="E83" i="33" s="1"/>
  <c r="C21" i="33"/>
  <c r="C21" i="21"/>
  <c r="Q21" i="21"/>
  <c r="Z21" i="21"/>
  <c r="H19" i="21"/>
  <c r="D83" i="21"/>
  <c r="E83" i="21" s="1"/>
  <c r="F21" i="21"/>
  <c r="D81" i="21"/>
  <c r="G20" i="20"/>
  <c r="B88" i="43"/>
  <c r="C22" i="20"/>
  <c r="B100" i="43" s="1"/>
  <c r="C25" i="40"/>
  <c r="C29" i="39"/>
  <c r="S21" i="34"/>
  <c r="F94" i="40"/>
  <c r="H25" i="40"/>
  <c r="AB25" i="40" s="1"/>
  <c r="G94" i="40"/>
  <c r="J25" i="40"/>
  <c r="H29" i="39"/>
  <c r="J29" i="39"/>
  <c r="AC29" i="39" s="1"/>
  <c r="J18" i="36"/>
  <c r="AC18" i="36" s="1"/>
  <c r="F68" i="35"/>
  <c r="H18" i="35"/>
  <c r="S18" i="35"/>
  <c r="G68" i="35"/>
  <c r="J18" i="35"/>
  <c r="W18" i="35" s="1"/>
  <c r="H21" i="37"/>
  <c r="F21" i="37"/>
  <c r="H21" i="34"/>
  <c r="U21" i="34" s="1"/>
  <c r="F83" i="33"/>
  <c r="H21" i="33"/>
  <c r="F21" i="33"/>
  <c r="AA21" i="33" s="1"/>
  <c r="H1" i="69"/>
  <c r="AC25" i="40"/>
  <c r="W25" i="40"/>
  <c r="W29" i="39"/>
  <c r="W18" i="36"/>
  <c r="AB21" i="37"/>
  <c r="U21" i="37"/>
  <c r="AA21" i="37"/>
  <c r="S21" i="37"/>
  <c r="AB21" i="34"/>
  <c r="S21" i="33"/>
  <c r="AB18" i="35"/>
  <c r="U18" i="35"/>
  <c r="AC18" i="35"/>
  <c r="J21" i="37"/>
  <c r="J21" i="34"/>
  <c r="W21" i="34" s="1"/>
  <c r="G83" i="33"/>
  <c r="J21" i="33"/>
  <c r="W21" i="33" s="1"/>
  <c r="F83" i="21"/>
  <c r="H21" i="21"/>
  <c r="U21" i="21" s="1"/>
  <c r="F38" i="69"/>
  <c r="E37" i="69"/>
  <c r="F36" i="69"/>
  <c r="F35" i="69"/>
  <c r="F21" i="69"/>
  <c r="F40" i="69" s="1"/>
  <c r="F20" i="69"/>
  <c r="F39" i="69" s="1"/>
  <c r="E10" i="69"/>
  <c r="E9" i="69"/>
  <c r="C7" i="69"/>
  <c r="AC21" i="37"/>
  <c r="W21" i="37"/>
  <c r="AC21" i="34"/>
  <c r="AB21" i="21"/>
  <c r="G83" i="21"/>
  <c r="J21" i="21"/>
  <c r="W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D56" i="43" s="1"/>
  <c r="M55" i="43"/>
  <c r="N55" i="43" s="1"/>
  <c r="K55" i="43"/>
  <c r="J55" i="43" s="1"/>
  <c r="D55" i="43" s="1"/>
  <c r="M54" i="43"/>
  <c r="N54" i="43" s="1"/>
  <c r="K54" i="43"/>
  <c r="J54" i="43" s="1"/>
  <c r="D54" i="43"/>
  <c r="M53" i="43"/>
  <c r="N53" i="43" s="1"/>
  <c r="K53" i="43"/>
  <c r="J53" i="43" s="1"/>
  <c r="M52" i="43"/>
  <c r="N52" i="43" s="1"/>
  <c r="K52" i="43"/>
  <c r="M51" i="43"/>
  <c r="N51" i="43" s="1"/>
  <c r="K51" i="43"/>
  <c r="J51" i="43" s="1"/>
  <c r="D51" i="43"/>
  <c r="M50" i="43"/>
  <c r="N50" i="43" s="1"/>
  <c r="K50" i="43"/>
  <c r="J50" i="43" s="1"/>
  <c r="D50" i="43"/>
  <c r="Q72" i="15"/>
  <c r="Q58" i="15"/>
  <c r="Q51" i="15"/>
  <c r="Q59" i="15"/>
  <c r="AE13" i="1"/>
  <c r="M47" i="15"/>
  <c r="AG13" i="1"/>
  <c r="J50" i="15"/>
  <c r="J51" i="15" s="1"/>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c r="I10" i="31" s="1"/>
  <c r="J10" i="31" s="1"/>
  <c r="K10" i="3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c r="G6" i="31"/>
  <c r="H6" i="31" s="1"/>
  <c r="I6" i="31" s="1"/>
  <c r="J6" i="31" s="1"/>
  <c r="K6" i="31" s="1"/>
  <c r="L6" i="31" s="1"/>
  <c r="M6" i="31" s="1"/>
  <c r="N6" i="31" s="1"/>
  <c r="O6" i="31" s="1"/>
  <c r="P6" i="31" s="1"/>
  <c r="Q6" i="31" s="1"/>
  <c r="R6" i="31" s="1"/>
  <c r="S6" i="31" s="1"/>
  <c r="B2" i="1"/>
  <c r="J51" i="81" s="1"/>
  <c r="E15" i="4"/>
  <c r="F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L111" i="3" s="1"/>
  <c r="BM111" i="3"/>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G108" i="3"/>
  <c r="BT107" i="3"/>
  <c r="BS107" i="3"/>
  <c r="BR107" i="3"/>
  <c r="BQ107" i="3"/>
  <c r="BP107" i="3"/>
  <c r="BO107" i="3"/>
  <c r="BN107" i="3"/>
  <c r="BM107" i="3"/>
  <c r="BL107" i="3"/>
  <c r="BK107" i="3"/>
  <c r="BJ107" i="3"/>
  <c r="BI107" i="3"/>
  <c r="BH107" i="3"/>
  <c r="BG107" i="3"/>
  <c r="BF107" i="3"/>
  <c r="BE107" i="3"/>
  <c r="BD107" i="3"/>
  <c r="BA107" i="3" s="1"/>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G103" i="3" s="1"/>
  <c r="H103" i="3"/>
  <c r="BT102" i="3"/>
  <c r="BS102" i="3"/>
  <c r="BR102" i="3"/>
  <c r="BQ102" i="3"/>
  <c r="BP102" i="3"/>
  <c r="BO102" i="3"/>
  <c r="BL102" i="3" s="1"/>
  <c r="BN102" i="3"/>
  <c r="BM102" i="3"/>
  <c r="BK102" i="3"/>
  <c r="BJ102" i="3"/>
  <c r="BI102" i="3"/>
  <c r="BH102" i="3"/>
  <c r="BG102" i="3"/>
  <c r="BA102" i="3" s="1"/>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G92" i="3" s="1"/>
  <c r="H92" i="3"/>
  <c r="BT91" i="3"/>
  <c r="BS91" i="3"/>
  <c r="BR91" i="3"/>
  <c r="BQ91" i="3"/>
  <c r="BP91" i="3"/>
  <c r="BO91" i="3"/>
  <c r="BN91" i="3"/>
  <c r="BM91" i="3"/>
  <c r="BL91" i="3" s="1"/>
  <c r="BK91" i="3"/>
  <c r="BJ91" i="3"/>
  <c r="BI91" i="3"/>
  <c r="BH91" i="3"/>
  <c r="BA91" i="3" s="1"/>
  <c r="AZ91" i="3" s="1"/>
  <c r="BG91" i="3"/>
  <c r="BF91" i="3"/>
  <c r="BE91" i="3"/>
  <c r="BD91" i="3"/>
  <c r="BC91" i="3"/>
  <c r="BB91" i="3"/>
  <c r="AX91" i="3"/>
  <c r="AW91" i="3"/>
  <c r="AV91" i="3"/>
  <c r="AC91" i="3"/>
  <c r="H91" i="3"/>
  <c r="BT90" i="3"/>
  <c r="BS90" i="3"/>
  <c r="BR90" i="3"/>
  <c r="BL90" i="3" s="1"/>
  <c r="BQ90" i="3"/>
  <c r="BP90" i="3"/>
  <c r="BO90" i="3"/>
  <c r="BN90" i="3"/>
  <c r="BM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L86" i="3" s="1"/>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L81" i="3" s="1"/>
  <c r="BM81" i="3"/>
  <c r="BK81" i="3"/>
  <c r="BJ81" i="3"/>
  <c r="BI81" i="3"/>
  <c r="BH81" i="3"/>
  <c r="BG81" i="3"/>
  <c r="BA81" i="3" s="1"/>
  <c r="AZ81" i="3" s="1"/>
  <c r="BF81" i="3"/>
  <c r="BE81" i="3"/>
  <c r="BD81" i="3"/>
  <c r="BC81" i="3"/>
  <c r="BB81" i="3"/>
  <c r="AX81" i="3"/>
  <c r="AW81" i="3"/>
  <c r="AV81" i="3"/>
  <c r="AC81" i="3"/>
  <c r="H81" i="3"/>
  <c r="G81" i="3" s="1"/>
  <c r="BT80" i="3"/>
  <c r="BS80" i="3"/>
  <c r="BR80" i="3"/>
  <c r="BL80" i="3" s="1"/>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A78" i="3" s="1"/>
  <c r="BD78" i="3"/>
  <c r="BC78" i="3"/>
  <c r="BB78" i="3"/>
  <c r="AX78" i="3"/>
  <c r="AW78" i="3"/>
  <c r="AV78" i="3"/>
  <c r="AC78" i="3"/>
  <c r="H78" i="3"/>
  <c r="G78" i="3" s="1"/>
  <c r="BT77" i="3"/>
  <c r="BS77" i="3"/>
  <c r="BR77" i="3"/>
  <c r="BQ77" i="3"/>
  <c r="BP77" i="3"/>
  <c r="BL77" i="3" s="1"/>
  <c r="BO77" i="3"/>
  <c r="BN77" i="3"/>
  <c r="BM77" i="3"/>
  <c r="BK77" i="3"/>
  <c r="BJ77" i="3"/>
  <c r="BI77" i="3"/>
  <c r="BH77" i="3"/>
  <c r="BG77" i="3"/>
  <c r="BF77" i="3"/>
  <c r="BE77" i="3"/>
  <c r="BD77" i="3"/>
  <c r="BC77" i="3"/>
  <c r="BB77" i="3"/>
  <c r="AX77" i="3"/>
  <c r="AW77" i="3"/>
  <c r="AV77" i="3"/>
  <c r="AC77" i="3"/>
  <c r="H77" i="3"/>
  <c r="G77" i="3" s="1"/>
  <c r="BT76" i="3"/>
  <c r="BS76" i="3"/>
  <c r="BR76" i="3"/>
  <c r="BL76" i="3" s="1"/>
  <c r="BQ76" i="3"/>
  <c r="BP76" i="3"/>
  <c r="BO76" i="3"/>
  <c r="BN76" i="3"/>
  <c r="BM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G75" i="3"/>
  <c r="BT74" i="3"/>
  <c r="BS74" i="3"/>
  <c r="BR74" i="3"/>
  <c r="BQ74" i="3"/>
  <c r="BP74" i="3"/>
  <c r="BO74" i="3"/>
  <c r="BN74" i="3"/>
  <c r="BM74" i="3"/>
  <c r="BL74" i="3" s="1"/>
  <c r="BK74" i="3"/>
  <c r="BJ74" i="3"/>
  <c r="BI74" i="3"/>
  <c r="BH74" i="3"/>
  <c r="BG74" i="3"/>
  <c r="BF74" i="3"/>
  <c r="BE74" i="3"/>
  <c r="BA74" i="3" s="1"/>
  <c r="BD74" i="3"/>
  <c r="BC74" i="3"/>
  <c r="BB74" i="3"/>
  <c r="AX74" i="3"/>
  <c r="AW74" i="3"/>
  <c r="AV74" i="3"/>
  <c r="AC74" i="3"/>
  <c r="H74" i="3"/>
  <c r="BT73" i="3"/>
  <c r="BS73" i="3"/>
  <c r="BR73" i="3"/>
  <c r="BQ73" i="3"/>
  <c r="BP73" i="3"/>
  <c r="BO73" i="3"/>
  <c r="BN73" i="3"/>
  <c r="BM73" i="3"/>
  <c r="BL73" i="3" s="1"/>
  <c r="BK73" i="3"/>
  <c r="BJ73" i="3"/>
  <c r="BI73" i="3"/>
  <c r="BH73" i="3"/>
  <c r="BG73" i="3"/>
  <c r="BA73" i="3" s="1"/>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L71" i="3" s="1"/>
  <c r="BQ71" i="3"/>
  <c r="BP71" i="3"/>
  <c r="BO71" i="3"/>
  <c r="BN71" i="3"/>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A69" i="3" s="1"/>
  <c r="BF69" i="3"/>
  <c r="BE69" i="3"/>
  <c r="BD69" i="3"/>
  <c r="BC69" i="3"/>
  <c r="BB69" i="3"/>
  <c r="AX69" i="3"/>
  <c r="AW69" i="3"/>
  <c r="AV69" i="3"/>
  <c r="AC69" i="3"/>
  <c r="H69" i="3"/>
  <c r="G69" i="3"/>
  <c r="BT68" i="3"/>
  <c r="BS68" i="3"/>
  <c r="BR68" i="3"/>
  <c r="BQ68" i="3"/>
  <c r="BP68" i="3"/>
  <c r="BO68" i="3"/>
  <c r="BN68" i="3"/>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A65" i="3" s="1"/>
  <c r="BE65" i="3"/>
  <c r="BD65" i="3"/>
  <c r="BC65" i="3"/>
  <c r="BB65" i="3"/>
  <c r="AX65" i="3"/>
  <c r="AW65" i="3"/>
  <c r="AV65" i="3"/>
  <c r="AC65" i="3"/>
  <c r="G65" i="3" s="1"/>
  <c r="H65" i="3"/>
  <c r="BT64" i="3"/>
  <c r="BS64" i="3"/>
  <c r="BR64" i="3"/>
  <c r="BQ64" i="3"/>
  <c r="BL64" i="3" s="1"/>
  <c r="BP64" i="3"/>
  <c r="BO64" i="3"/>
  <c r="BN64" i="3"/>
  <c r="BM64" i="3"/>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A62" i="3" s="1"/>
  <c r="BD62" i="3"/>
  <c r="BC62" i="3"/>
  <c r="BB62" i="3"/>
  <c r="AX62" i="3"/>
  <c r="AW62" i="3"/>
  <c r="AV62" i="3"/>
  <c r="AC62" i="3"/>
  <c r="G62" i="3" s="1"/>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G61" i="3"/>
  <c r="BT60" i="3"/>
  <c r="BS60" i="3"/>
  <c r="BR60" i="3"/>
  <c r="BL60" i="3" s="1"/>
  <c r="BQ60" i="3"/>
  <c r="BP60" i="3"/>
  <c r="BO60" i="3"/>
  <c r="BN60" i="3"/>
  <c r="BM60" i="3"/>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L58" i="3" s="1"/>
  <c r="BM58" i="3"/>
  <c r="BK58" i="3"/>
  <c r="BJ58" i="3"/>
  <c r="BI58" i="3"/>
  <c r="BH58" i="3"/>
  <c r="BG58" i="3"/>
  <c r="BF58" i="3"/>
  <c r="BA58" i="3" s="1"/>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c r="BT56" i="3"/>
  <c r="BS56" i="3"/>
  <c r="BR56" i="3"/>
  <c r="BQ56" i="3"/>
  <c r="BP56" i="3"/>
  <c r="BO56" i="3"/>
  <c r="BN56" i="3"/>
  <c r="BM56" i="3"/>
  <c r="BL56" i="3"/>
  <c r="BK56" i="3"/>
  <c r="BJ56" i="3"/>
  <c r="BI56" i="3"/>
  <c r="BH56" i="3"/>
  <c r="BG56" i="3"/>
  <c r="BF56" i="3"/>
  <c r="BE56" i="3"/>
  <c r="BD56" i="3"/>
  <c r="BA56" i="3" s="1"/>
  <c r="AZ56" i="3" s="1"/>
  <c r="BC56" i="3"/>
  <c r="BB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s="1"/>
  <c r="BK54" i="3"/>
  <c r="BJ54" i="3"/>
  <c r="BI54" i="3"/>
  <c r="BH54" i="3"/>
  <c r="BG54" i="3"/>
  <c r="BF54" i="3"/>
  <c r="BA54" i="3" s="1"/>
  <c r="BE54" i="3"/>
  <c r="BD54" i="3"/>
  <c r="BC54" i="3"/>
  <c r="BB54" i="3"/>
  <c r="AX54" i="3"/>
  <c r="AW54" i="3"/>
  <c r="AV54" i="3"/>
  <c r="AC54" i="3"/>
  <c r="H54" i="3"/>
  <c r="G54" i="3"/>
  <c r="BT53" i="3"/>
  <c r="BS53" i="3"/>
  <c r="BR53" i="3"/>
  <c r="BQ53" i="3"/>
  <c r="BL53" i="3" s="1"/>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K52" i="3"/>
  <c r="BJ52" i="3"/>
  <c r="BI52" i="3"/>
  <c r="BH52" i="3"/>
  <c r="BG52" i="3"/>
  <c r="BF52" i="3"/>
  <c r="BE52" i="3"/>
  <c r="BD52" i="3"/>
  <c r="BC52" i="3"/>
  <c r="BB52" i="3"/>
  <c r="BA52" i="3" s="1"/>
  <c r="AX52" i="3"/>
  <c r="AW52" i="3"/>
  <c r="AV52" i="3"/>
  <c r="AC52" i="3"/>
  <c r="H52" i="3"/>
  <c r="G52" i="3"/>
  <c r="BT51" i="3"/>
  <c r="BS51" i="3"/>
  <c r="BR51" i="3"/>
  <c r="BQ51" i="3"/>
  <c r="BP51" i="3"/>
  <c r="BO51" i="3"/>
  <c r="BN51" i="3"/>
  <c r="BM51" i="3"/>
  <c r="BL51" i="3" s="1"/>
  <c r="BK51" i="3"/>
  <c r="BJ51" i="3"/>
  <c r="BI51" i="3"/>
  <c r="BH51" i="3"/>
  <c r="BG51" i="3"/>
  <c r="BF51" i="3"/>
  <c r="BE51" i="3"/>
  <c r="BA51" i="3" s="1"/>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A46" i="3" s="1"/>
  <c r="BF46" i="3"/>
  <c r="BE46" i="3"/>
  <c r="BD46" i="3"/>
  <c r="BC46" i="3"/>
  <c r="BB46" i="3"/>
  <c r="AX46" i="3"/>
  <c r="AW46" i="3"/>
  <c r="AV46" i="3"/>
  <c r="AC46" i="3"/>
  <c r="H46" i="3"/>
  <c r="G46" i="3"/>
  <c r="BT45" i="3"/>
  <c r="BS45" i="3"/>
  <c r="BR45" i="3"/>
  <c r="BL45" i="3" s="1"/>
  <c r="BQ45" i="3"/>
  <c r="BP45" i="3"/>
  <c r="BO45" i="3"/>
  <c r="BN45" i="3"/>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K43" i="3"/>
  <c r="BJ43" i="3"/>
  <c r="BI43" i="3"/>
  <c r="BH43" i="3"/>
  <c r="BG43" i="3"/>
  <c r="BF43" i="3"/>
  <c r="BE43" i="3"/>
  <c r="BA43" i="3" s="1"/>
  <c r="BD43" i="3"/>
  <c r="BC43" i="3"/>
  <c r="BB43" i="3"/>
  <c r="AX43" i="3"/>
  <c r="AW43" i="3"/>
  <c r="AV43" i="3"/>
  <c r="AC43" i="3"/>
  <c r="H43" i="3"/>
  <c r="BT42" i="3"/>
  <c r="BS42" i="3"/>
  <c r="BR42" i="3"/>
  <c r="BQ42" i="3"/>
  <c r="BP42" i="3"/>
  <c r="BO42" i="3"/>
  <c r="BN42" i="3"/>
  <c r="BM42" i="3"/>
  <c r="BK42" i="3"/>
  <c r="BJ42" i="3"/>
  <c r="BI42" i="3"/>
  <c r="BH42" i="3"/>
  <c r="BG42" i="3"/>
  <c r="BA42" i="3" s="1"/>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c r="BT38" i="3"/>
  <c r="BS38" i="3"/>
  <c r="BR38" i="3"/>
  <c r="BQ38" i="3"/>
  <c r="BP38" i="3"/>
  <c r="BO38" i="3"/>
  <c r="BN38" i="3"/>
  <c r="BM38" i="3"/>
  <c r="BL38" i="3" s="1"/>
  <c r="BK38" i="3"/>
  <c r="BJ38" i="3"/>
  <c r="BI38" i="3"/>
  <c r="BH38" i="3"/>
  <c r="BG38" i="3"/>
  <c r="BF38" i="3"/>
  <c r="BE38" i="3"/>
  <c r="BA38" i="3" s="1"/>
  <c r="AZ38" i="3" s="1"/>
  <c r="BD38" i="3"/>
  <c r="BC38" i="3"/>
  <c r="BB38" i="3"/>
  <c r="AX38" i="3"/>
  <c r="AW38" i="3"/>
  <c r="AV38" i="3"/>
  <c r="AC38" i="3"/>
  <c r="H38" i="3"/>
  <c r="G38" i="3"/>
  <c r="BT37" i="3"/>
  <c r="BS37" i="3"/>
  <c r="BR37" i="3"/>
  <c r="BQ37" i="3"/>
  <c r="BP37" i="3"/>
  <c r="BL37" i="3" s="1"/>
  <c r="BO37" i="3"/>
  <c r="BN37" i="3"/>
  <c r="BM37" i="3"/>
  <c r="BK37" i="3"/>
  <c r="BJ37" i="3"/>
  <c r="BI37" i="3"/>
  <c r="BH37" i="3"/>
  <c r="BG37" i="3"/>
  <c r="BF37" i="3"/>
  <c r="BE37" i="3"/>
  <c r="BD37" i="3"/>
  <c r="BC37" i="3"/>
  <c r="BB37" i="3"/>
  <c r="AX37" i="3"/>
  <c r="AW37" i="3"/>
  <c r="AV37" i="3"/>
  <c r="AC37" i="3"/>
  <c r="H37" i="3"/>
  <c r="G37" i="3" s="1"/>
  <c r="BT36" i="3"/>
  <c r="BS36" i="3"/>
  <c r="BR36" i="3"/>
  <c r="BL36" i="3" s="1"/>
  <c r="BQ36" i="3"/>
  <c r="BP36" i="3"/>
  <c r="BO36" i="3"/>
  <c r="BN36" i="3"/>
  <c r="BM36" i="3"/>
  <c r="BK36" i="3"/>
  <c r="BJ36" i="3"/>
  <c r="BI36" i="3"/>
  <c r="BH36" i="3"/>
  <c r="BG36" i="3"/>
  <c r="BF36" i="3"/>
  <c r="BE36" i="3"/>
  <c r="BD36" i="3"/>
  <c r="BC36" i="3"/>
  <c r="BB36" i="3"/>
  <c r="BA36" i="3" s="1"/>
  <c r="AX36" i="3"/>
  <c r="AW36" i="3"/>
  <c r="AV36" i="3"/>
  <c r="AC36" i="3"/>
  <c r="H36" i="3"/>
  <c r="G36" i="3"/>
  <c r="BT35" i="3"/>
  <c r="BS35" i="3"/>
  <c r="BR35" i="3"/>
  <c r="BQ35" i="3"/>
  <c r="BP35" i="3"/>
  <c r="BO35" i="3"/>
  <c r="BN35" i="3"/>
  <c r="BM35" i="3"/>
  <c r="BL35" i="3" s="1"/>
  <c r="BK35" i="3"/>
  <c r="BJ35" i="3"/>
  <c r="BI35" i="3"/>
  <c r="BH35" i="3"/>
  <c r="BG35" i="3"/>
  <c r="BF35" i="3"/>
  <c r="BE35" i="3"/>
  <c r="BA35" i="3" s="1"/>
  <c r="BD35" i="3"/>
  <c r="BC35" i="3"/>
  <c r="BB35" i="3"/>
  <c r="AX35" i="3"/>
  <c r="AW35" i="3"/>
  <c r="AV35" i="3"/>
  <c r="AC35" i="3"/>
  <c r="H35" i="3"/>
  <c r="BT34" i="3"/>
  <c r="BS34" i="3"/>
  <c r="BR34" i="3"/>
  <c r="BQ34" i="3"/>
  <c r="BP34" i="3"/>
  <c r="BO34" i="3"/>
  <c r="BN34" i="3"/>
  <c r="BM34" i="3"/>
  <c r="BL34" i="3" s="1"/>
  <c r="BK34" i="3"/>
  <c r="BJ34" i="3"/>
  <c r="BI34" i="3"/>
  <c r="BH34" i="3"/>
  <c r="BG34" i="3"/>
  <c r="BA34" i="3" s="1"/>
  <c r="AZ34" i="3" s="1"/>
  <c r="BF34" i="3"/>
  <c r="BE34" i="3"/>
  <c r="BD34" i="3"/>
  <c r="BC34" i="3"/>
  <c r="BB34" i="3"/>
  <c r="AX34" i="3"/>
  <c r="AW34" i="3"/>
  <c r="AV34" i="3"/>
  <c r="AC34" i="3"/>
  <c r="H34" i="3"/>
  <c r="G34" i="3"/>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L32" i="3" s="1"/>
  <c r="BQ32" i="3"/>
  <c r="BP32" i="3"/>
  <c r="BO32" i="3"/>
  <c r="BN32" i="3"/>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A29" i="3" s="1"/>
  <c r="BF29" i="3"/>
  <c r="BE29" i="3"/>
  <c r="BD29" i="3"/>
  <c r="BC29" i="3"/>
  <c r="BB29" i="3"/>
  <c r="AX29" i="3"/>
  <c r="AW29" i="3"/>
  <c r="AV29" i="3"/>
  <c r="AC29" i="3"/>
  <c r="H29" i="3"/>
  <c r="G29" i="3"/>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c r="BT26" i="3"/>
  <c r="BS26" i="3"/>
  <c r="BR26" i="3"/>
  <c r="BQ26" i="3"/>
  <c r="BP26" i="3"/>
  <c r="BO26" i="3"/>
  <c r="BN26" i="3"/>
  <c r="BM26" i="3"/>
  <c r="BL26" i="3" s="1"/>
  <c r="BK26" i="3"/>
  <c r="BJ26" i="3"/>
  <c r="BI26" i="3"/>
  <c r="BH26" i="3"/>
  <c r="BG26" i="3"/>
  <c r="BF26" i="3"/>
  <c r="BE26" i="3"/>
  <c r="BA26" i="3" s="1"/>
  <c r="BD26" i="3"/>
  <c r="BC26" i="3"/>
  <c r="BB26" i="3"/>
  <c r="AX26" i="3"/>
  <c r="AW26" i="3"/>
  <c r="AV26" i="3"/>
  <c r="AC26" i="3"/>
  <c r="H26" i="3"/>
  <c r="BT25" i="3"/>
  <c r="BS25" i="3"/>
  <c r="BR25" i="3"/>
  <c r="BQ25" i="3"/>
  <c r="BP25" i="3"/>
  <c r="BO25" i="3"/>
  <c r="BN25" i="3"/>
  <c r="BL25" i="3" s="1"/>
  <c r="BM25" i="3"/>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A23" i="3" s="1"/>
  <c r="BB23" i="3"/>
  <c r="AX23" i="3"/>
  <c r="AW23" i="3"/>
  <c r="AV23" i="3"/>
  <c r="AC23" i="3"/>
  <c r="H23" i="3"/>
  <c r="G23" i="3" s="1"/>
  <c r="BT22" i="3"/>
  <c r="BS22" i="3"/>
  <c r="BR22" i="3"/>
  <c r="BQ22" i="3"/>
  <c r="BP22" i="3"/>
  <c r="BO22" i="3"/>
  <c r="BL22" i="3" s="1"/>
  <c r="BN22" i="3"/>
  <c r="BM22" i="3"/>
  <c r="BK22" i="3"/>
  <c r="BJ22" i="3"/>
  <c r="BI22" i="3"/>
  <c r="BH22" i="3"/>
  <c r="BG22" i="3"/>
  <c r="BA22" i="3" s="1"/>
  <c r="BF22" i="3"/>
  <c r="BE22" i="3"/>
  <c r="BD22" i="3"/>
  <c r="BC22" i="3"/>
  <c r="BB22" i="3"/>
  <c r="AX22" i="3"/>
  <c r="AW22" i="3"/>
  <c r="AV22" i="3"/>
  <c r="AC22" i="3"/>
  <c r="H22" i="3"/>
  <c r="G22" i="3" s="1"/>
  <c r="BT21" i="3"/>
  <c r="BS21" i="3"/>
  <c r="BR21" i="3"/>
  <c r="BL21" i="3" s="1"/>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A20" i="3" s="1"/>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c r="BT18" i="3"/>
  <c r="BS18" i="3"/>
  <c r="BR18" i="3"/>
  <c r="BQ18" i="3"/>
  <c r="BP18" i="3"/>
  <c r="BO18" i="3"/>
  <c r="BN18" i="3"/>
  <c r="BM18" i="3"/>
  <c r="BL18" i="3" s="1"/>
  <c r="BK18" i="3"/>
  <c r="BJ18" i="3"/>
  <c r="BI18" i="3"/>
  <c r="BH18" i="3"/>
  <c r="BG18" i="3"/>
  <c r="BF18" i="3"/>
  <c r="BE18" i="3"/>
  <c r="BA18" i="3" s="1"/>
  <c r="BD18" i="3"/>
  <c r="BC18" i="3"/>
  <c r="BB18" i="3"/>
  <c r="AX18" i="3"/>
  <c r="AW18" i="3"/>
  <c r="AV18" i="3"/>
  <c r="AC18" i="3"/>
  <c r="H18" i="3"/>
  <c r="G18" i="3" s="1"/>
  <c r="BT207" i="3"/>
  <c r="BS207" i="3"/>
  <c r="BR207" i="3"/>
  <c r="BQ207" i="3"/>
  <c r="BP207" i="3"/>
  <c r="BL207" i="3" s="1"/>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G205" i="3" s="1"/>
  <c r="BT204" i="3"/>
  <c r="BS204" i="3"/>
  <c r="BR204" i="3"/>
  <c r="BQ204" i="3"/>
  <c r="BP204" i="3"/>
  <c r="BO204" i="3"/>
  <c r="BN204" i="3"/>
  <c r="BM204" i="3"/>
  <c r="BK204" i="3"/>
  <c r="BJ204" i="3"/>
  <c r="BI204" i="3"/>
  <c r="BH204" i="3"/>
  <c r="BG204" i="3"/>
  <c r="BF204" i="3"/>
  <c r="BE204" i="3"/>
  <c r="BA204" i="3" s="1"/>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L202" i="3" s="1"/>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L201" i="3" s="1"/>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A190" i="3" s="1"/>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A184" i="3" s="1"/>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L182" i="3" s="1"/>
  <c r="BQ182" i="3"/>
  <c r="BP182" i="3"/>
  <c r="BO182" i="3"/>
  <c r="BN182" i="3"/>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L179" i="3" s="1"/>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G175" i="3" s="1"/>
  <c r="H175" i="3"/>
  <c r="BT174" i="3"/>
  <c r="BS174" i="3"/>
  <c r="BR174" i="3"/>
  <c r="BQ174" i="3"/>
  <c r="BP174" i="3"/>
  <c r="BO174" i="3"/>
  <c r="BN174" i="3"/>
  <c r="BM174" i="3"/>
  <c r="BK174" i="3"/>
  <c r="BJ174" i="3"/>
  <c r="BI174" i="3"/>
  <c r="BH174" i="3"/>
  <c r="BG174" i="3"/>
  <c r="BF174" i="3"/>
  <c r="BE174" i="3"/>
  <c r="BA174" i="3" s="1"/>
  <c r="BD174" i="3"/>
  <c r="BC174" i="3"/>
  <c r="BB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L170" i="3" s="1"/>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L165" i="3" s="1"/>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A162" i="3" s="1"/>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A157" i="3" s="1"/>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A156" i="3" s="1"/>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G154" i="3" s="1"/>
  <c r="BT153" i="3"/>
  <c r="BS153" i="3"/>
  <c r="BR153" i="3"/>
  <c r="BQ153" i="3"/>
  <c r="BL153" i="3" s="1"/>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L151" i="3" s="1"/>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L147" i="3" s="1"/>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c r="BT145" i="3"/>
  <c r="BS145" i="3"/>
  <c r="BR145" i="3"/>
  <c r="BQ145" i="3"/>
  <c r="BL145" i="3" s="1"/>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A144" i="3" s="1"/>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L142" i="3" s="1"/>
  <c r="BN142" i="3"/>
  <c r="BM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s="1"/>
  <c r="AX138" i="3"/>
  <c r="AW138" i="3"/>
  <c r="AV138" i="3"/>
  <c r="AC138" i="3"/>
  <c r="G138" i="3" s="1"/>
  <c r="H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A136" i="3" s="1"/>
  <c r="BC136" i="3"/>
  <c r="BB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G130" i="3" s="1"/>
  <c r="H130" i="3"/>
  <c r="BT129" i="3"/>
  <c r="BS129" i="3"/>
  <c r="BR129" i="3"/>
  <c r="BQ129" i="3"/>
  <c r="BP129" i="3"/>
  <c r="BO129" i="3"/>
  <c r="BN129" i="3"/>
  <c r="BM129" i="3"/>
  <c r="BL129" i="3" s="1"/>
  <c r="BK129" i="3"/>
  <c r="BJ129" i="3"/>
  <c r="BI129" i="3"/>
  <c r="BH129" i="3"/>
  <c r="BG129" i="3"/>
  <c r="BF129" i="3"/>
  <c r="BE129" i="3"/>
  <c r="BD129" i="3"/>
  <c r="BC129" i="3"/>
  <c r="BA129" i="3" s="1"/>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L127" i="3" s="1"/>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BT125" i="3"/>
  <c r="BS125" i="3"/>
  <c r="BR125" i="3"/>
  <c r="BQ125" i="3"/>
  <c r="BP125" i="3"/>
  <c r="BL125" i="3" s="1"/>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A117" i="3" s="1"/>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A116" i="3" s="1"/>
  <c r="BD116" i="3"/>
  <c r="BC116" i="3"/>
  <c r="BB116" i="3"/>
  <c r="AX116" i="3"/>
  <c r="AW116" i="3"/>
  <c r="AV116" i="3"/>
  <c r="AC116" i="3"/>
  <c r="H116" i="3"/>
  <c r="BT115" i="3"/>
  <c r="BS115" i="3"/>
  <c r="BR115" i="3"/>
  <c r="BQ115" i="3"/>
  <c r="BP115" i="3"/>
  <c r="BO115" i="3"/>
  <c r="BN115" i="3"/>
  <c r="BL115" i="3" s="1"/>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N114" i="3"/>
  <c r="BM114" i="3"/>
  <c r="BK114" i="3"/>
  <c r="BJ114" i="3"/>
  <c r="BI114" i="3"/>
  <c r="BH114" i="3"/>
  <c r="BG114" i="3"/>
  <c r="BF114" i="3"/>
  <c r="BE114" i="3"/>
  <c r="BD114" i="3"/>
  <c r="BC114" i="3"/>
  <c r="BA114" i="3" s="1"/>
  <c r="BB114" i="3"/>
  <c r="AX114" i="3"/>
  <c r="AW114" i="3"/>
  <c r="AV114" i="3"/>
  <c r="AC114" i="3"/>
  <c r="H114" i="3"/>
  <c r="G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BT301" i="3"/>
  <c r="BS301" i="3"/>
  <c r="BR301" i="3"/>
  <c r="BQ301" i="3"/>
  <c r="BP301" i="3"/>
  <c r="BO301" i="3"/>
  <c r="BN301" i="3"/>
  <c r="BL301" i="3" s="1"/>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s="1"/>
  <c r="BK296" i="3"/>
  <c r="BJ296" i="3"/>
  <c r="BI296" i="3"/>
  <c r="BH296" i="3"/>
  <c r="BG296" i="3"/>
  <c r="BF296" i="3"/>
  <c r="BE296" i="3"/>
  <c r="BA296" i="3" s="1"/>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s="1"/>
  <c r="BK294" i="3"/>
  <c r="BJ294" i="3"/>
  <c r="BI294" i="3"/>
  <c r="BH294" i="3"/>
  <c r="BG294" i="3"/>
  <c r="BF294" i="3"/>
  <c r="BE294" i="3"/>
  <c r="BA294" i="3" s="1"/>
  <c r="AZ294" i="3" s="1"/>
  <c r="BD294" i="3"/>
  <c r="BC294" i="3"/>
  <c r="BB294" i="3"/>
  <c r="AX294" i="3"/>
  <c r="AW294" i="3"/>
  <c r="AV294" i="3"/>
  <c r="AC294" i="3"/>
  <c r="H294" i="3"/>
  <c r="BT293" i="3"/>
  <c r="BS293" i="3"/>
  <c r="BR293" i="3"/>
  <c r="BQ293" i="3"/>
  <c r="BP293" i="3"/>
  <c r="BO293" i="3"/>
  <c r="BN293" i="3"/>
  <c r="BL293" i="3" s="1"/>
  <c r="BM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L290" i="3" s="1"/>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L287" i="3" s="1"/>
  <c r="BM287" i="3"/>
  <c r="BK287" i="3"/>
  <c r="BJ287" i="3"/>
  <c r="BI287" i="3"/>
  <c r="BH287" i="3"/>
  <c r="BG287" i="3"/>
  <c r="BF287" i="3"/>
  <c r="BE287" i="3"/>
  <c r="BD287" i="3"/>
  <c r="BC287" i="3"/>
  <c r="BB287" i="3"/>
  <c r="AX287" i="3"/>
  <c r="AW287" i="3"/>
  <c r="AV287" i="3"/>
  <c r="AC287" i="3"/>
  <c r="H287" i="3"/>
  <c r="G287" i="3" s="1"/>
  <c r="BT286" i="3"/>
  <c r="BS286" i="3"/>
  <c r="BR286" i="3"/>
  <c r="BQ286" i="3"/>
  <c r="BP286" i="3"/>
  <c r="BL286" i="3" s="1"/>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s="1"/>
  <c r="BT282" i="3"/>
  <c r="BS282" i="3"/>
  <c r="BR282" i="3"/>
  <c r="BQ282" i="3"/>
  <c r="BP282" i="3"/>
  <c r="BL282" i="3" s="1"/>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L280" i="3" s="1"/>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G279" i="3" s="1"/>
  <c r="H279" i="3"/>
  <c r="BT278" i="3"/>
  <c r="BS278" i="3"/>
  <c r="BR278" i="3"/>
  <c r="BQ278" i="3"/>
  <c r="BP278" i="3"/>
  <c r="BO278" i="3"/>
  <c r="BN278" i="3"/>
  <c r="BM278" i="3"/>
  <c r="BL278" i="3" s="1"/>
  <c r="BK278" i="3"/>
  <c r="BJ278" i="3"/>
  <c r="BI278" i="3"/>
  <c r="BH278" i="3"/>
  <c r="BG278" i="3"/>
  <c r="BF278" i="3"/>
  <c r="BE278" i="3"/>
  <c r="BD278" i="3"/>
  <c r="BC278" i="3"/>
  <c r="BA278" i="3" s="1"/>
  <c r="BB278" i="3"/>
  <c r="AX278" i="3"/>
  <c r="AW278" i="3"/>
  <c r="AV278" i="3"/>
  <c r="AC278" i="3"/>
  <c r="H278" i="3"/>
  <c r="G278" i="3" s="1"/>
  <c r="BT277" i="3"/>
  <c r="BS277" i="3"/>
  <c r="BR277" i="3"/>
  <c r="BQ277" i="3"/>
  <c r="BP277" i="3"/>
  <c r="BL277" i="3" s="1"/>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L275" i="3" s="1"/>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L268" i="3" s="1"/>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G267" i="3"/>
  <c r="BT266" i="3"/>
  <c r="BS266" i="3"/>
  <c r="BR266" i="3"/>
  <c r="BQ266" i="3"/>
  <c r="BP266" i="3"/>
  <c r="BO266" i="3"/>
  <c r="BN266" i="3"/>
  <c r="BM266" i="3"/>
  <c r="BL266" i="3" s="1"/>
  <c r="BK266" i="3"/>
  <c r="BJ266" i="3"/>
  <c r="BI266" i="3"/>
  <c r="BH266" i="3"/>
  <c r="BG266" i="3"/>
  <c r="BF266" i="3"/>
  <c r="BE266" i="3"/>
  <c r="BA266" i="3" s="1"/>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G259" i="3" s="1"/>
  <c r="BT258" i="3"/>
  <c r="BS258" i="3"/>
  <c r="BR258" i="3"/>
  <c r="BQ258" i="3"/>
  <c r="BP258" i="3"/>
  <c r="BL258" i="3" s="1"/>
  <c r="BO258" i="3"/>
  <c r="BN258" i="3"/>
  <c r="BM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A256" i="3" s="1"/>
  <c r="BD256" i="3"/>
  <c r="BC256" i="3"/>
  <c r="BB256" i="3"/>
  <c r="AX256" i="3"/>
  <c r="AW256" i="3"/>
  <c r="AV256" i="3"/>
  <c r="AC256" i="3"/>
  <c r="H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G250" i="3"/>
  <c r="BT249" i="3"/>
  <c r="BS249" i="3"/>
  <c r="BR249" i="3"/>
  <c r="BQ249" i="3"/>
  <c r="BP249" i="3"/>
  <c r="BO249" i="3"/>
  <c r="BN249" i="3"/>
  <c r="BM249" i="3"/>
  <c r="BL249" i="3" s="1"/>
  <c r="BK249" i="3"/>
  <c r="BJ249" i="3"/>
  <c r="BI249" i="3"/>
  <c r="BH249" i="3"/>
  <c r="BG249" i="3"/>
  <c r="BF249" i="3"/>
  <c r="BE249" i="3"/>
  <c r="BA249" i="3" s="1"/>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G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G240" i="3"/>
  <c r="BT239" i="3"/>
  <c r="BS239" i="3"/>
  <c r="BR239" i="3"/>
  <c r="BQ239" i="3"/>
  <c r="BP239" i="3"/>
  <c r="BO239" i="3"/>
  <c r="BN239" i="3"/>
  <c r="BM239" i="3"/>
  <c r="BL239" i="3" s="1"/>
  <c r="BK239" i="3"/>
  <c r="BJ239" i="3"/>
  <c r="BI239" i="3"/>
  <c r="BH239" i="3"/>
  <c r="BG239" i="3"/>
  <c r="BF239" i="3"/>
  <c r="BE239" i="3"/>
  <c r="BA239" i="3" s="1"/>
  <c r="AZ239" i="3" s="1"/>
  <c r="BD239" i="3"/>
  <c r="BC239" i="3"/>
  <c r="BB239" i="3"/>
  <c r="AX239" i="3"/>
  <c r="AW239" i="3"/>
  <c r="AV239" i="3"/>
  <c r="AC239" i="3"/>
  <c r="H239" i="3"/>
  <c r="G239" i="3" s="1"/>
  <c r="BT238" i="3"/>
  <c r="BS238" i="3"/>
  <c r="BR238" i="3"/>
  <c r="BQ238" i="3"/>
  <c r="BP238" i="3"/>
  <c r="BL238" i="3" s="1"/>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A232" i="3" s="1"/>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N229" i="3"/>
  <c r="BM229" i="3"/>
  <c r="BL229" i="3" s="1"/>
  <c r="BK229" i="3"/>
  <c r="BJ229" i="3"/>
  <c r="BI229" i="3"/>
  <c r="BH229" i="3"/>
  <c r="BG229" i="3"/>
  <c r="BF229" i="3"/>
  <c r="BE229" i="3"/>
  <c r="BA229" i="3" s="1"/>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L221" i="3" s="1"/>
  <c r="BO221" i="3"/>
  <c r="BN221" i="3"/>
  <c r="BM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L217" i="3" s="1"/>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L214" i="3" s="1"/>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A213" i="3" s="1"/>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G211" i="3"/>
  <c r="BT210" i="3"/>
  <c r="BS210" i="3"/>
  <c r="BR210" i="3"/>
  <c r="BQ210" i="3"/>
  <c r="BP210" i="3"/>
  <c r="BO210" i="3"/>
  <c r="BN210" i="3"/>
  <c r="BM210" i="3"/>
  <c r="BL210" i="3" s="1"/>
  <c r="BK210" i="3"/>
  <c r="BJ210" i="3"/>
  <c r="BI210" i="3"/>
  <c r="BH210" i="3"/>
  <c r="BG210" i="3"/>
  <c r="BF210" i="3"/>
  <c r="BE210" i="3"/>
  <c r="BA210" i="3" s="1"/>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A397" i="3" s="1"/>
  <c r="BD397" i="3"/>
  <c r="BC397" i="3"/>
  <c r="BB397" i="3"/>
  <c r="AX397" i="3"/>
  <c r="AW397" i="3"/>
  <c r="AV397" i="3"/>
  <c r="AC397" i="3"/>
  <c r="H397" i="3"/>
  <c r="G397" i="3" s="1"/>
  <c r="BT396" i="3"/>
  <c r="BS396" i="3"/>
  <c r="BR396" i="3"/>
  <c r="BQ396" i="3"/>
  <c r="BP396" i="3"/>
  <c r="BO396" i="3"/>
  <c r="BN396" i="3"/>
  <c r="BM396" i="3"/>
  <c r="BK396" i="3"/>
  <c r="BJ396" i="3"/>
  <c r="BI396" i="3"/>
  <c r="BH396" i="3"/>
  <c r="BA396" i="3" s="1"/>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L385" i="3" s="1"/>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L375" i="3" s="1"/>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L354" i="3" s="1"/>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L333" i="3" s="1"/>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L330" i="3" s="1"/>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L328" i="3" s="1"/>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A323" i="3" s="1"/>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A316" i="3" s="1"/>
  <c r="AZ316" i="3" s="1"/>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L492" i="3" s="1"/>
  <c r="BQ492" i="3"/>
  <c r="BP492" i="3"/>
  <c r="BO492" i="3"/>
  <c r="BN492" i="3"/>
  <c r="BM492" i="3"/>
  <c r="BK492" i="3"/>
  <c r="BJ492" i="3"/>
  <c r="BI492" i="3"/>
  <c r="BH492" i="3"/>
  <c r="BG492" i="3"/>
  <c r="BF492" i="3"/>
  <c r="BE492" i="3"/>
  <c r="BD492" i="3"/>
  <c r="BC492" i="3"/>
  <c r="BB492" i="3"/>
  <c r="BA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L489" i="3" s="1"/>
  <c r="BM489" i="3"/>
  <c r="BK489" i="3"/>
  <c r="BJ489" i="3"/>
  <c r="BI489" i="3"/>
  <c r="BH489" i="3"/>
  <c r="BG489" i="3"/>
  <c r="BA489" i="3" s="1"/>
  <c r="BF489" i="3"/>
  <c r="BE489" i="3"/>
  <c r="BD489" i="3"/>
  <c r="BC489" i="3"/>
  <c r="BB489" i="3"/>
  <c r="AX489" i="3"/>
  <c r="AW489" i="3"/>
  <c r="AV489" i="3"/>
  <c r="AC489" i="3"/>
  <c r="H489" i="3"/>
  <c r="G489" i="3" s="1"/>
  <c r="BT488" i="3"/>
  <c r="BS488" i="3"/>
  <c r="BR488" i="3"/>
  <c r="BL488" i="3" s="1"/>
  <c r="BQ488" i="3"/>
  <c r="BP488" i="3"/>
  <c r="BO488" i="3"/>
  <c r="BN488" i="3"/>
  <c r="BM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K484" i="3"/>
  <c r="BJ484" i="3"/>
  <c r="BI484" i="3"/>
  <c r="BH484" i="3"/>
  <c r="BG484" i="3"/>
  <c r="BF484" i="3"/>
  <c r="BE484" i="3"/>
  <c r="BD484" i="3"/>
  <c r="BC484" i="3"/>
  <c r="BB484" i="3"/>
  <c r="BA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A483" i="3" s="1"/>
  <c r="AZ483" i="3" s="1"/>
  <c r="BC483" i="3"/>
  <c r="BB483" i="3"/>
  <c r="AX483" i="3"/>
  <c r="AW483" i="3"/>
  <c r="AV483" i="3"/>
  <c r="AC483" i="3"/>
  <c r="H483" i="3"/>
  <c r="G483" i="3" s="1"/>
  <c r="BT482" i="3"/>
  <c r="BS482" i="3"/>
  <c r="BR482" i="3"/>
  <c r="BQ482" i="3"/>
  <c r="BP482" i="3"/>
  <c r="BO482" i="3"/>
  <c r="BL482" i="3" s="1"/>
  <c r="BN482" i="3"/>
  <c r="BM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L476" i="3" s="1"/>
  <c r="BQ476" i="3"/>
  <c r="BP476" i="3"/>
  <c r="BO476" i="3"/>
  <c r="BN476" i="3"/>
  <c r="BM476" i="3"/>
  <c r="BK476" i="3"/>
  <c r="BJ476" i="3"/>
  <c r="BI476" i="3"/>
  <c r="BH476" i="3"/>
  <c r="BG476" i="3"/>
  <c r="BF476" i="3"/>
  <c r="BE476" i="3"/>
  <c r="BD476" i="3"/>
  <c r="BC476" i="3"/>
  <c r="BB476" i="3"/>
  <c r="BA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A475" i="3" s="1"/>
  <c r="AZ475" i="3" s="1"/>
  <c r="BC475" i="3"/>
  <c r="BB475" i="3"/>
  <c r="AX475" i="3"/>
  <c r="AW475" i="3"/>
  <c r="AV475" i="3"/>
  <c r="AC475" i="3"/>
  <c r="H475" i="3"/>
  <c r="G475" i="3" s="1"/>
  <c r="BT474" i="3"/>
  <c r="BS474" i="3"/>
  <c r="BR474" i="3"/>
  <c r="BQ474" i="3"/>
  <c r="BP474" i="3"/>
  <c r="BO474" i="3"/>
  <c r="BL474" i="3" s="1"/>
  <c r="BN474" i="3"/>
  <c r="BM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A472" i="3" s="1"/>
  <c r="AZ472" i="3" s="1"/>
  <c r="BC472" i="3"/>
  <c r="BB472" i="3"/>
  <c r="AX472" i="3"/>
  <c r="AW472" i="3"/>
  <c r="AV472" i="3"/>
  <c r="AC472" i="3"/>
  <c r="H472" i="3"/>
  <c r="G472" i="3" s="1"/>
  <c r="BT471" i="3"/>
  <c r="BS471" i="3"/>
  <c r="BR471" i="3"/>
  <c r="BQ471" i="3"/>
  <c r="BP471" i="3"/>
  <c r="BO471" i="3"/>
  <c r="BL471" i="3" s="1"/>
  <c r="BN471" i="3"/>
  <c r="BM471" i="3"/>
  <c r="BK471" i="3"/>
  <c r="BJ471" i="3"/>
  <c r="BI471" i="3"/>
  <c r="BH471" i="3"/>
  <c r="BG471" i="3"/>
  <c r="BF471" i="3"/>
  <c r="BE471" i="3"/>
  <c r="BD471" i="3"/>
  <c r="BC471" i="3"/>
  <c r="BB471" i="3"/>
  <c r="BA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A469" i="3" s="1"/>
  <c r="AZ469" i="3" s="1"/>
  <c r="BF469" i="3"/>
  <c r="BE469" i="3"/>
  <c r="BD469" i="3"/>
  <c r="BC469" i="3"/>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A466" i="3" s="1"/>
  <c r="BF466" i="3"/>
  <c r="BE466" i="3"/>
  <c r="BD466" i="3"/>
  <c r="BC466" i="3"/>
  <c r="BB466" i="3"/>
  <c r="AX466" i="3"/>
  <c r="AW466" i="3"/>
  <c r="AV466" i="3"/>
  <c r="AC466" i="3"/>
  <c r="H466" i="3"/>
  <c r="G466" i="3" s="1"/>
  <c r="BT465" i="3"/>
  <c r="BS465" i="3"/>
  <c r="BR465" i="3"/>
  <c r="BL465" i="3" s="1"/>
  <c r="BQ465" i="3"/>
  <c r="BP465" i="3"/>
  <c r="BO465" i="3"/>
  <c r="BN465" i="3"/>
  <c r="BM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A463" i="3" s="1"/>
  <c r="BF463" i="3"/>
  <c r="BE463" i="3"/>
  <c r="BD463" i="3"/>
  <c r="BC463" i="3"/>
  <c r="BB463" i="3"/>
  <c r="AX463" i="3"/>
  <c r="AW463" i="3"/>
  <c r="AV463" i="3"/>
  <c r="AC463" i="3"/>
  <c r="H463" i="3"/>
  <c r="G463" i="3" s="1"/>
  <c r="BT462" i="3"/>
  <c r="BS462" i="3"/>
  <c r="BR462" i="3"/>
  <c r="BL462" i="3" s="1"/>
  <c r="BQ462" i="3"/>
  <c r="BP462" i="3"/>
  <c r="BO462" i="3"/>
  <c r="BN462" i="3"/>
  <c r="BM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A461" i="3" s="1"/>
  <c r="AZ461" i="3" s="1"/>
  <c r="BC461" i="3"/>
  <c r="BB461" i="3"/>
  <c r="AX461" i="3"/>
  <c r="AW461" i="3"/>
  <c r="AV461" i="3"/>
  <c r="AC461" i="3"/>
  <c r="H461" i="3"/>
  <c r="G461" i="3" s="1"/>
  <c r="BT460" i="3"/>
  <c r="BS460" i="3"/>
  <c r="BR460" i="3"/>
  <c r="BQ460" i="3"/>
  <c r="BP460" i="3"/>
  <c r="BO460" i="3"/>
  <c r="BL460" i="3" s="1"/>
  <c r="BN460" i="3"/>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A458" i="3" s="1"/>
  <c r="AZ458" i="3" s="1"/>
  <c r="BF458" i="3"/>
  <c r="BE458" i="3"/>
  <c r="BD458" i="3"/>
  <c r="BC458" i="3"/>
  <c r="BB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A452" i="3" s="1"/>
  <c r="AZ452" i="3" s="1"/>
  <c r="BF452" i="3"/>
  <c r="BE452" i="3"/>
  <c r="BD452" i="3"/>
  <c r="BC452" i="3"/>
  <c r="BB452" i="3"/>
  <c r="AX452" i="3"/>
  <c r="AW452" i="3"/>
  <c r="AV452" i="3"/>
  <c r="AC452" i="3"/>
  <c r="H452" i="3"/>
  <c r="G452" i="3" s="1"/>
  <c r="BT451" i="3"/>
  <c r="BS451" i="3"/>
  <c r="BR451" i="3"/>
  <c r="BL451" i="3" s="1"/>
  <c r="BQ451" i="3"/>
  <c r="BP451" i="3"/>
  <c r="BO451" i="3"/>
  <c r="BN451" i="3"/>
  <c r="BM451" i="3"/>
  <c r="BK451" i="3"/>
  <c r="BJ451" i="3"/>
  <c r="BI451" i="3"/>
  <c r="BH451" i="3"/>
  <c r="BG451" i="3"/>
  <c r="BF451" i="3"/>
  <c r="BE451" i="3"/>
  <c r="BD451" i="3"/>
  <c r="BC451" i="3"/>
  <c r="BB451" i="3"/>
  <c r="BA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L449" i="3" s="1"/>
  <c r="BN449" i="3"/>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A444" i="3" s="1"/>
  <c r="BF444" i="3"/>
  <c r="BE444" i="3"/>
  <c r="BD444" i="3"/>
  <c r="BC444" i="3"/>
  <c r="BB444" i="3"/>
  <c r="AX444" i="3"/>
  <c r="AW444" i="3"/>
  <c r="AV444" i="3"/>
  <c r="AC444" i="3"/>
  <c r="H444" i="3"/>
  <c r="G444" i="3" s="1"/>
  <c r="BT443" i="3"/>
  <c r="BS443" i="3"/>
  <c r="BR443" i="3"/>
  <c r="BL443" i="3" s="1"/>
  <c r="BQ443" i="3"/>
  <c r="BP443" i="3"/>
  <c r="BO443" i="3"/>
  <c r="BN443" i="3"/>
  <c r="BM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L441" i="3" s="1"/>
  <c r="BN441" i="3"/>
  <c r="BM441" i="3"/>
  <c r="BK441" i="3"/>
  <c r="BJ441" i="3"/>
  <c r="BI441" i="3"/>
  <c r="BH441" i="3"/>
  <c r="BG441" i="3"/>
  <c r="BF441" i="3"/>
  <c r="BE441" i="3"/>
  <c r="BD441" i="3"/>
  <c r="BC441" i="3"/>
  <c r="BB441" i="3"/>
  <c r="BA441" i="3" s="1"/>
  <c r="AX441" i="3"/>
  <c r="AW441" i="3"/>
  <c r="AV441" i="3"/>
  <c r="AC441" i="3"/>
  <c r="H441" i="3"/>
  <c r="G441" i="3" s="1"/>
  <c r="BT440" i="3"/>
  <c r="BS440" i="3"/>
  <c r="BR440" i="3"/>
  <c r="BL440" i="3" s="1"/>
  <c r="BQ440" i="3"/>
  <c r="BP440" i="3"/>
  <c r="BO440" i="3"/>
  <c r="BN440" i="3"/>
  <c r="BM440" i="3"/>
  <c r="BK440" i="3"/>
  <c r="BJ440" i="3"/>
  <c r="BI440" i="3"/>
  <c r="BH440" i="3"/>
  <c r="BG440" i="3"/>
  <c r="BF440" i="3"/>
  <c r="BE440" i="3"/>
  <c r="BD440" i="3"/>
  <c r="BC440" i="3"/>
  <c r="BB440" i="3"/>
  <c r="BA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A439" i="3" s="1"/>
  <c r="AZ439" i="3" s="1"/>
  <c r="BC439" i="3"/>
  <c r="BB439" i="3"/>
  <c r="AX439" i="3"/>
  <c r="AW439" i="3"/>
  <c r="AV439" i="3"/>
  <c r="AC439" i="3"/>
  <c r="H439" i="3"/>
  <c r="G439" i="3" s="1"/>
  <c r="BT438" i="3"/>
  <c r="BS438" i="3"/>
  <c r="BR438" i="3"/>
  <c r="BQ438" i="3"/>
  <c r="BP438" i="3"/>
  <c r="BO438" i="3"/>
  <c r="BL438" i="3" s="1"/>
  <c r="BN438" i="3"/>
  <c r="BM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A436" i="3" s="1"/>
  <c r="AZ436" i="3" s="1"/>
  <c r="BC436" i="3"/>
  <c r="BB436" i="3"/>
  <c r="AX436" i="3"/>
  <c r="AW436" i="3"/>
  <c r="AV436" i="3"/>
  <c r="AC436" i="3"/>
  <c r="H436" i="3"/>
  <c r="G436" i="3" s="1"/>
  <c r="BT435" i="3"/>
  <c r="BS435" i="3"/>
  <c r="BR435" i="3"/>
  <c r="BQ435" i="3"/>
  <c r="BP435" i="3"/>
  <c r="BO435" i="3"/>
  <c r="BL435" i="3" s="1"/>
  <c r="BN435" i="3"/>
  <c r="BM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L432" i="3" s="1"/>
  <c r="BN432" i="3"/>
  <c r="BM432" i="3"/>
  <c r="BK432" i="3"/>
  <c r="BJ432" i="3"/>
  <c r="BI432" i="3"/>
  <c r="BH432" i="3"/>
  <c r="BG432" i="3"/>
  <c r="BF432" i="3"/>
  <c r="BE432" i="3"/>
  <c r="BD432" i="3"/>
  <c r="BC432" i="3"/>
  <c r="BB432" i="3"/>
  <c r="BA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A424" i="3" s="1"/>
  <c r="AZ424" i="3" s="1"/>
  <c r="BF424" i="3"/>
  <c r="BE424" i="3"/>
  <c r="BD424" i="3"/>
  <c r="BC424" i="3"/>
  <c r="BB424" i="3"/>
  <c r="AX424" i="3"/>
  <c r="AW424" i="3"/>
  <c r="AV424" i="3"/>
  <c r="AC424" i="3"/>
  <c r="H424" i="3"/>
  <c r="G424" i="3" s="1"/>
  <c r="BT423" i="3"/>
  <c r="BS423" i="3"/>
  <c r="BR423" i="3"/>
  <c r="BL423" i="3" s="1"/>
  <c r="BQ423" i="3"/>
  <c r="BP423" i="3"/>
  <c r="BO423" i="3"/>
  <c r="BN423" i="3"/>
  <c r="BM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L421" i="3" s="1"/>
  <c r="BN421" i="3"/>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A419" i="3" s="1"/>
  <c r="AZ419" i="3" s="1"/>
  <c r="BF419" i="3"/>
  <c r="BE419" i="3"/>
  <c r="BD419" i="3"/>
  <c r="BC419" i="3"/>
  <c r="BB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A416" i="3" s="1"/>
  <c r="AZ416" i="3" s="1"/>
  <c r="BD416" i="3"/>
  <c r="BC416" i="3"/>
  <c r="BB416" i="3"/>
  <c r="AX416" i="3"/>
  <c r="AW416" i="3"/>
  <c r="AV416" i="3"/>
  <c r="AC416" i="3"/>
  <c r="H416" i="3"/>
  <c r="G416" i="3"/>
  <c r="BT415" i="3"/>
  <c r="BS415" i="3"/>
  <c r="BR415" i="3"/>
  <c r="BQ415" i="3"/>
  <c r="BP415" i="3"/>
  <c r="BL415" i="3" s="1"/>
  <c r="BO415" i="3"/>
  <c r="BN415" i="3"/>
  <c r="BM415" i="3"/>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A413" i="3" s="1"/>
  <c r="AZ413" i="3" s="1"/>
  <c r="BF413" i="3"/>
  <c r="BE413" i="3"/>
  <c r="BD413" i="3"/>
  <c r="BC413" i="3"/>
  <c r="BB413" i="3"/>
  <c r="AX413" i="3"/>
  <c r="AW413" i="3"/>
  <c r="AV413" i="3"/>
  <c r="AC413" i="3"/>
  <c r="H413" i="3"/>
  <c r="G413" i="3"/>
  <c r="BT412" i="3"/>
  <c r="BS412" i="3"/>
  <c r="BR412" i="3"/>
  <c r="BL412" i="3" s="1"/>
  <c r="BQ412" i="3"/>
  <c r="BP412" i="3"/>
  <c r="BO412" i="3"/>
  <c r="BN412" i="3"/>
  <c r="BM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A410" i="3" s="1"/>
  <c r="BF410" i="3"/>
  <c r="BE410" i="3"/>
  <c r="BD410" i="3"/>
  <c r="BC410" i="3"/>
  <c r="BB410" i="3"/>
  <c r="AX410" i="3"/>
  <c r="AW410" i="3"/>
  <c r="AV410" i="3"/>
  <c r="AC410" i="3"/>
  <c r="H410" i="3"/>
  <c r="G410" i="3"/>
  <c r="BT409" i="3"/>
  <c r="BS409" i="3"/>
  <c r="BR409" i="3"/>
  <c r="BL409" i="3" s="1"/>
  <c r="BQ409" i="3"/>
  <c r="BP409" i="3"/>
  <c r="BO409" i="3"/>
  <c r="BN409" i="3"/>
  <c r="BM409" i="3"/>
  <c r="BK409" i="3"/>
  <c r="BJ409" i="3"/>
  <c r="BI409" i="3"/>
  <c r="BH409" i="3"/>
  <c r="BG409" i="3"/>
  <c r="BF409" i="3"/>
  <c r="BE409" i="3"/>
  <c r="BD409" i="3"/>
  <c r="BC409" i="3"/>
  <c r="BB409" i="3"/>
  <c r="BA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A408" i="3" s="1"/>
  <c r="BC408" i="3"/>
  <c r="BB408" i="3"/>
  <c r="AX408" i="3"/>
  <c r="AW408" i="3"/>
  <c r="AV408" i="3"/>
  <c r="AC408" i="3"/>
  <c r="H408" i="3"/>
  <c r="G408" i="3" s="1"/>
  <c r="BT407" i="3"/>
  <c r="BS407" i="3"/>
  <c r="BR407" i="3"/>
  <c r="BQ407" i="3"/>
  <c r="BP407" i="3"/>
  <c r="BO407" i="3"/>
  <c r="BN407" i="3"/>
  <c r="BM407" i="3"/>
  <c r="BL407" i="3" s="1"/>
  <c r="BK407" i="3"/>
  <c r="BJ407" i="3"/>
  <c r="BI407" i="3"/>
  <c r="BH407" i="3"/>
  <c r="BG407" i="3"/>
  <c r="BA407" i="3" s="1"/>
  <c r="AZ407" i="3" s="1"/>
  <c r="BF407" i="3"/>
  <c r="BE407" i="3"/>
  <c r="BD407" i="3"/>
  <c r="BC407" i="3"/>
  <c r="BB407" i="3"/>
  <c r="AX407" i="3"/>
  <c r="AW407" i="3"/>
  <c r="AV407" i="3"/>
  <c r="AC407" i="3"/>
  <c r="H407" i="3"/>
  <c r="G407" i="3" s="1"/>
  <c r="BT406" i="3"/>
  <c r="BS406" i="3"/>
  <c r="BR406" i="3"/>
  <c r="BL406" i="3" s="1"/>
  <c r="BQ406" i="3"/>
  <c r="BP406" i="3"/>
  <c r="BO406" i="3"/>
  <c r="BN406" i="3"/>
  <c r="BM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A405" i="3" s="1"/>
  <c r="AZ405" i="3" s="1"/>
  <c r="BC405" i="3"/>
  <c r="BB405" i="3"/>
  <c r="AX405" i="3"/>
  <c r="AW405" i="3"/>
  <c r="AV405" i="3"/>
  <c r="AC405" i="3"/>
  <c r="H405" i="3"/>
  <c r="G405" i="3" s="1"/>
  <c r="BT404" i="3"/>
  <c r="BS404" i="3"/>
  <c r="BR404" i="3"/>
  <c r="BQ404" i="3"/>
  <c r="BP404" i="3"/>
  <c r="BO404" i="3"/>
  <c r="BL404" i="3" s="1"/>
  <c r="BN404" i="3"/>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A402" i="3" s="1"/>
  <c r="BF402" i="3"/>
  <c r="BE402" i="3"/>
  <c r="BD402" i="3"/>
  <c r="BC402" i="3"/>
  <c r="BB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C15" i="4"/>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F23" i="80" s="1"/>
  <c r="F20"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R5" i="3" s="1"/>
  <c r="BS493" i="3"/>
  <c r="BT493" i="3"/>
  <c r="H494" i="3"/>
  <c r="AC494" i="3"/>
  <c r="BB494" i="3"/>
  <c r="BC494" i="3"/>
  <c r="BD494" i="3"/>
  <c r="BE494" i="3"/>
  <c r="BA494" i="3" s="1"/>
  <c r="BF494" i="3"/>
  <c r="BG494" i="3"/>
  <c r="BH494" i="3"/>
  <c r="BI494" i="3"/>
  <c r="BJ494" i="3"/>
  <c r="BK494" i="3"/>
  <c r="BM494" i="3"/>
  <c r="BN494" i="3"/>
  <c r="BL494" i="3" s="1"/>
  <c r="BO494" i="3"/>
  <c r="BP494" i="3"/>
  <c r="BQ494" i="3"/>
  <c r="BR494" i="3"/>
  <c r="BS494" i="3"/>
  <c r="BT494" i="3"/>
  <c r="H495" i="3"/>
  <c r="AC495" i="3"/>
  <c r="BB495" i="3"/>
  <c r="BC495" i="3"/>
  <c r="BD495" i="3"/>
  <c r="BE495" i="3"/>
  <c r="BF495" i="3"/>
  <c r="BG495" i="3"/>
  <c r="BH495" i="3"/>
  <c r="BI495" i="3"/>
  <c r="BA495" i="3" s="1"/>
  <c r="BJ495" i="3"/>
  <c r="BK495" i="3"/>
  <c r="BM495" i="3"/>
  <c r="BN495" i="3"/>
  <c r="BO495" i="3"/>
  <c r="BP495" i="3"/>
  <c r="BR495" i="3"/>
  <c r="BS495" i="3"/>
  <c r="BT495" i="3"/>
  <c r="H496" i="3"/>
  <c r="AC496" i="3"/>
  <c r="BB496" i="3"/>
  <c r="BC496" i="3"/>
  <c r="BD496" i="3"/>
  <c r="BE496" i="3"/>
  <c r="BF496" i="3"/>
  <c r="BA496" i="3" s="1"/>
  <c r="AZ496" i="3" s="1"/>
  <c r="BG496" i="3"/>
  <c r="BH496" i="3"/>
  <c r="BI496" i="3"/>
  <c r="BJ496" i="3"/>
  <c r="BK496" i="3"/>
  <c r="BM496" i="3"/>
  <c r="BN496" i="3"/>
  <c r="BO496" i="3"/>
  <c r="BL496" i="3" s="1"/>
  <c r="BP496" i="3"/>
  <c r="BQ496" i="3"/>
  <c r="BR496" i="3"/>
  <c r="BS496" i="3"/>
  <c r="BT496" i="3"/>
  <c r="H497" i="3"/>
  <c r="AC497" i="3"/>
  <c r="BB497" i="3"/>
  <c r="BA497" i="3" s="1"/>
  <c r="BC497" i="3"/>
  <c r="BD497" i="3"/>
  <c r="BE497" i="3"/>
  <c r="BF497" i="3"/>
  <c r="BG497" i="3"/>
  <c r="BH497" i="3"/>
  <c r="BI497" i="3"/>
  <c r="BJ497" i="3"/>
  <c r="BK497" i="3"/>
  <c r="BM497" i="3"/>
  <c r="BN497" i="3"/>
  <c r="BO497" i="3"/>
  <c r="BP497" i="3"/>
  <c r="BR497" i="3"/>
  <c r="BS497" i="3"/>
  <c r="BT497" i="3"/>
  <c r="BT5" i="3" s="1"/>
  <c r="H498" i="3"/>
  <c r="AC498" i="3"/>
  <c r="G498" i="3" s="1"/>
  <c r="BB498" i="3"/>
  <c r="BC498" i="3"/>
  <c r="BD498" i="3"/>
  <c r="BE498" i="3"/>
  <c r="BF498" i="3"/>
  <c r="BG498" i="3"/>
  <c r="BG5" i="3" s="1"/>
  <c r="BH498" i="3"/>
  <c r="BI498" i="3"/>
  <c r="BJ498" i="3"/>
  <c r="BK498" i="3"/>
  <c r="BM498" i="3"/>
  <c r="BN498" i="3"/>
  <c r="BO498" i="3"/>
  <c r="BP498" i="3"/>
  <c r="BQ498" i="3"/>
  <c r="BR498" i="3"/>
  <c r="BS498" i="3"/>
  <c r="BT498" i="3"/>
  <c r="H499" i="3"/>
  <c r="AC499" i="3"/>
  <c r="BB499" i="3"/>
  <c r="BC499" i="3"/>
  <c r="BA499" i="3" s="1"/>
  <c r="AZ499" i="3" s="1"/>
  <c r="BD499" i="3"/>
  <c r="BE499" i="3"/>
  <c r="BF499" i="3"/>
  <c r="BG499" i="3"/>
  <c r="BH499" i="3"/>
  <c r="BI499" i="3"/>
  <c r="BJ499" i="3"/>
  <c r="BK499" i="3"/>
  <c r="BK5" i="3" s="1"/>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L500" i="3" s="1"/>
  <c r="BR500" i="3"/>
  <c r="BS500" i="3"/>
  <c r="BT500" i="3"/>
  <c r="H501" i="3"/>
  <c r="AC501" i="3"/>
  <c r="BB501" i="3"/>
  <c r="BC501" i="3"/>
  <c r="BD501" i="3"/>
  <c r="BE501" i="3"/>
  <c r="BF501" i="3"/>
  <c r="BG501" i="3"/>
  <c r="BH501" i="3"/>
  <c r="BI501" i="3"/>
  <c r="BJ501" i="3"/>
  <c r="BK501" i="3"/>
  <c r="BM501" i="3"/>
  <c r="BL501" i="3" s="1"/>
  <c r="BN501" i="3"/>
  <c r="BO501" i="3"/>
  <c r="BP501" i="3"/>
  <c r="BR501" i="3"/>
  <c r="BS501" i="3"/>
  <c r="BT501" i="3"/>
  <c r="H502" i="3"/>
  <c r="AC502" i="3"/>
  <c r="G502" i="3" s="1"/>
  <c r="BB502" i="3"/>
  <c r="BC502" i="3"/>
  <c r="BD502" i="3"/>
  <c r="BE502" i="3"/>
  <c r="BF502" i="3"/>
  <c r="BG502" i="3"/>
  <c r="BH502" i="3"/>
  <c r="BI502" i="3"/>
  <c r="BA502" i="3" s="1"/>
  <c r="AZ502" i="3" s="1"/>
  <c r="BJ502" i="3"/>
  <c r="BK502" i="3"/>
  <c r="BM502" i="3"/>
  <c r="BN502" i="3"/>
  <c r="BO502" i="3"/>
  <c r="BP502" i="3"/>
  <c r="BQ502" i="3"/>
  <c r="BR502" i="3"/>
  <c r="BL502" i="3" s="1"/>
  <c r="BS502" i="3"/>
  <c r="BT502" i="3"/>
  <c r="H503" i="3"/>
  <c r="AC503" i="3"/>
  <c r="BB503" i="3"/>
  <c r="BC503" i="3"/>
  <c r="BD503" i="3"/>
  <c r="BE503" i="3"/>
  <c r="BA503" i="3" s="1"/>
  <c r="BF503" i="3"/>
  <c r="BG503" i="3"/>
  <c r="BH503" i="3"/>
  <c r="BI503" i="3"/>
  <c r="BJ503" i="3"/>
  <c r="BK503" i="3"/>
  <c r="BM503" i="3"/>
  <c r="BN503" i="3"/>
  <c r="BL503" i="3" s="1"/>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A505" i="3" s="1"/>
  <c r="AZ505" i="3" s="1"/>
  <c r="BG505" i="3"/>
  <c r="BH505" i="3"/>
  <c r="BI505" i="3"/>
  <c r="BJ505" i="3"/>
  <c r="BK505" i="3"/>
  <c r="BM505" i="3"/>
  <c r="BN505" i="3"/>
  <c r="BO505" i="3"/>
  <c r="BL505" i="3" s="1"/>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A507" i="3" s="1"/>
  <c r="BH507" i="3"/>
  <c r="BI507" i="3"/>
  <c r="BJ507" i="3"/>
  <c r="BK507" i="3"/>
  <c r="BM507" i="3"/>
  <c r="BN507" i="3"/>
  <c r="BO507" i="3"/>
  <c r="BP507" i="3"/>
  <c r="BL507" i="3" s="1"/>
  <c r="BR507" i="3"/>
  <c r="BS507" i="3"/>
  <c r="BT507" i="3"/>
  <c r="H508" i="3"/>
  <c r="AC508" i="3"/>
  <c r="BB508" i="3"/>
  <c r="BC508" i="3"/>
  <c r="BD508" i="3"/>
  <c r="BA508" i="3" s="1"/>
  <c r="BE508" i="3"/>
  <c r="BF508" i="3"/>
  <c r="BG508" i="3"/>
  <c r="BH508" i="3"/>
  <c r="BI508" i="3"/>
  <c r="BJ508" i="3"/>
  <c r="BK508" i="3"/>
  <c r="BM508" i="3"/>
  <c r="BL508" i="3" s="1"/>
  <c r="BN508" i="3"/>
  <c r="BO508" i="3"/>
  <c r="BP508" i="3"/>
  <c r="BQ508" i="3"/>
  <c r="BR508" i="3"/>
  <c r="BS508" i="3"/>
  <c r="BT508" i="3"/>
  <c r="H509" i="3"/>
  <c r="G509" i="3" s="1"/>
  <c r="BB509" i="3"/>
  <c r="BC509" i="3"/>
  <c r="BD509" i="3"/>
  <c r="BE509" i="3"/>
  <c r="BF509" i="3"/>
  <c r="BG509" i="3"/>
  <c r="BH509" i="3"/>
  <c r="BI509" i="3"/>
  <c r="BA509" i="3" s="1"/>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L510" i="3" s="1"/>
  <c r="BP510" i="3"/>
  <c r="BQ510" i="3"/>
  <c r="BR510" i="3"/>
  <c r="BS510" i="3"/>
  <c r="BT510" i="3"/>
  <c r="H511" i="3"/>
  <c r="AC511" i="3"/>
  <c r="BB511" i="3"/>
  <c r="BA511" i="3" s="1"/>
  <c r="BC511" i="3"/>
  <c r="BD511" i="3"/>
  <c r="BE511" i="3"/>
  <c r="BF511" i="3"/>
  <c r="BG511" i="3"/>
  <c r="BH511" i="3"/>
  <c r="BI511" i="3"/>
  <c r="BJ511" i="3"/>
  <c r="BK511" i="3"/>
  <c r="BM511" i="3"/>
  <c r="BN511" i="3"/>
  <c r="BO511" i="3"/>
  <c r="BP511" i="3"/>
  <c r="BR511" i="3"/>
  <c r="BS511" i="3"/>
  <c r="BT511" i="3"/>
  <c r="BL511" i="3" s="1"/>
  <c r="H512" i="3"/>
  <c r="AC512" i="3"/>
  <c r="G512" i="3" s="1"/>
  <c r="BB512" i="3"/>
  <c r="BC512" i="3"/>
  <c r="BD512" i="3"/>
  <c r="BE512" i="3"/>
  <c r="BF512" i="3"/>
  <c r="BG512" i="3"/>
  <c r="BA512" i="3" s="1"/>
  <c r="AZ512" i="3" s="1"/>
  <c r="BH512" i="3"/>
  <c r="BI512" i="3"/>
  <c r="BJ512" i="3"/>
  <c r="BK512" i="3"/>
  <c r="BM512" i="3"/>
  <c r="BN512" i="3"/>
  <c r="BO512" i="3"/>
  <c r="BP512" i="3"/>
  <c r="BL512" i="3" s="1"/>
  <c r="BQ512" i="3"/>
  <c r="BR512" i="3"/>
  <c r="BS512" i="3"/>
  <c r="BT512" i="3"/>
  <c r="H513" i="3"/>
  <c r="AC513" i="3"/>
  <c r="BB513" i="3"/>
  <c r="BC513" i="3"/>
  <c r="BA513" i="3" s="1"/>
  <c r="AZ513" i="3" s="1"/>
  <c r="BD513" i="3"/>
  <c r="BE513" i="3"/>
  <c r="BF513" i="3"/>
  <c r="BG513" i="3"/>
  <c r="BH513" i="3"/>
  <c r="BI513" i="3"/>
  <c r="BJ513" i="3"/>
  <c r="BK513" i="3"/>
  <c r="BM513" i="3"/>
  <c r="BN513" i="3"/>
  <c r="BL513" i="3" s="1"/>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L514" i="3" s="1"/>
  <c r="BR514" i="3"/>
  <c r="BS514" i="3"/>
  <c r="BT514" i="3"/>
  <c r="H515" i="3"/>
  <c r="AC515" i="3"/>
  <c r="BB515" i="3"/>
  <c r="BC515" i="3"/>
  <c r="BD515" i="3"/>
  <c r="BA515" i="3" s="1"/>
  <c r="BE515" i="3"/>
  <c r="BF515" i="3"/>
  <c r="BG515" i="3"/>
  <c r="BH515" i="3"/>
  <c r="BI515" i="3"/>
  <c r="BJ515" i="3"/>
  <c r="BK515" i="3"/>
  <c r="BM515" i="3"/>
  <c r="BL515" i="3" s="1"/>
  <c r="BN515" i="3"/>
  <c r="BO515" i="3"/>
  <c r="BP515" i="3"/>
  <c r="BR515" i="3"/>
  <c r="BS515" i="3"/>
  <c r="BT515" i="3"/>
  <c r="H516" i="3"/>
  <c r="AC516" i="3"/>
  <c r="G516" i="3" s="1"/>
  <c r="BB516" i="3"/>
  <c r="BC516" i="3"/>
  <c r="BD516" i="3"/>
  <c r="BE516" i="3"/>
  <c r="BF516" i="3"/>
  <c r="BG516" i="3"/>
  <c r="BH516" i="3"/>
  <c r="BI516" i="3"/>
  <c r="BA516" i="3" s="1"/>
  <c r="BJ516" i="3"/>
  <c r="BK516" i="3"/>
  <c r="BM516" i="3"/>
  <c r="BN516" i="3"/>
  <c r="BO516" i="3"/>
  <c r="BP516" i="3"/>
  <c r="BQ516" i="3"/>
  <c r="BR516" i="3"/>
  <c r="BL516" i="3" s="1"/>
  <c r="BS516" i="3"/>
  <c r="BT516" i="3"/>
  <c r="H517" i="3"/>
  <c r="AC517" i="3"/>
  <c r="BB517" i="3"/>
  <c r="BC517" i="3"/>
  <c r="BD517" i="3"/>
  <c r="BE517" i="3"/>
  <c r="BA517" i="3" s="1"/>
  <c r="AZ517" i="3" s="1"/>
  <c r="BF517" i="3"/>
  <c r="BG517" i="3"/>
  <c r="BH517" i="3"/>
  <c r="BI517" i="3"/>
  <c r="BJ517" i="3"/>
  <c r="BK517" i="3"/>
  <c r="BM517" i="3"/>
  <c r="BN517" i="3"/>
  <c r="BL517" i="3" s="1"/>
  <c r="BO517" i="3"/>
  <c r="BP517" i="3"/>
  <c r="BR517" i="3"/>
  <c r="BS517" i="3"/>
  <c r="BT517" i="3"/>
  <c r="H518" i="3"/>
  <c r="AC518" i="3"/>
  <c r="BB518" i="3"/>
  <c r="BA518" i="3" s="1"/>
  <c r="AZ518" i="3" s="1"/>
  <c r="BC518" i="3"/>
  <c r="BD518" i="3"/>
  <c r="BE518" i="3"/>
  <c r="BF518" i="3"/>
  <c r="BG518" i="3"/>
  <c r="BH518" i="3"/>
  <c r="BI518" i="3"/>
  <c r="BJ518" i="3"/>
  <c r="BK518" i="3"/>
  <c r="BM518" i="3"/>
  <c r="BN518" i="3"/>
  <c r="BO518" i="3"/>
  <c r="BP518" i="3"/>
  <c r="BQ518" i="3"/>
  <c r="BR518" i="3"/>
  <c r="BS518" i="3"/>
  <c r="BL518" i="3" s="1"/>
  <c r="BT518" i="3"/>
  <c r="H519" i="3"/>
  <c r="G519" i="3" s="1"/>
  <c r="AC519" i="3"/>
  <c r="BB519" i="3"/>
  <c r="BC519" i="3"/>
  <c r="BD519" i="3"/>
  <c r="BE519" i="3"/>
  <c r="BF519" i="3"/>
  <c r="BG519" i="3"/>
  <c r="BH519" i="3"/>
  <c r="BI519" i="3"/>
  <c r="BJ519" i="3"/>
  <c r="BK519" i="3"/>
  <c r="BM519" i="3"/>
  <c r="BN519" i="3"/>
  <c r="BO519" i="3"/>
  <c r="BL519" i="3" s="1"/>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A522" i="3" s="1"/>
  <c r="AZ522" i="3" s="1"/>
  <c r="BF522" i="3"/>
  <c r="BG522" i="3"/>
  <c r="BH522" i="3"/>
  <c r="BI522" i="3"/>
  <c r="BJ522" i="3"/>
  <c r="BK522" i="3"/>
  <c r="BM522" i="3"/>
  <c r="BN522" i="3"/>
  <c r="BL522" i="3" s="1"/>
  <c r="BO522" i="3"/>
  <c r="BP522" i="3"/>
  <c r="BQ522" i="3"/>
  <c r="BR522" i="3"/>
  <c r="BS522" i="3"/>
  <c r="BT522" i="3"/>
  <c r="H523" i="3"/>
  <c r="AC523" i="3"/>
  <c r="G523" i="3" s="1"/>
  <c r="BB523" i="3"/>
  <c r="BC523" i="3"/>
  <c r="BD523" i="3"/>
  <c r="BE523" i="3"/>
  <c r="BF523" i="3"/>
  <c r="BG523" i="3"/>
  <c r="BH523" i="3"/>
  <c r="BI523" i="3"/>
  <c r="BA523" i="3" s="1"/>
  <c r="AZ523" i="3" s="1"/>
  <c r="BJ523" i="3"/>
  <c r="BK523" i="3"/>
  <c r="BM523" i="3"/>
  <c r="BN523" i="3"/>
  <c r="BO523" i="3"/>
  <c r="BP523" i="3"/>
  <c r="BR523" i="3"/>
  <c r="BS523" i="3"/>
  <c r="BL523" i="3" s="1"/>
  <c r="BT523" i="3"/>
  <c r="H524" i="3"/>
  <c r="AC524" i="3"/>
  <c r="BB524" i="3"/>
  <c r="BC524" i="3"/>
  <c r="BD524" i="3"/>
  <c r="BE524" i="3"/>
  <c r="BF524" i="3"/>
  <c r="BA524" i="3" s="1"/>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A528" i="3" s="1"/>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L530" i="3" s="1"/>
  <c r="BR530" i="3"/>
  <c r="BS530" i="3"/>
  <c r="BT530" i="3"/>
  <c r="H531" i="3"/>
  <c r="AC531" i="3"/>
  <c r="BB531" i="3"/>
  <c r="BC531" i="3"/>
  <c r="BD531" i="3"/>
  <c r="BA531" i="3" s="1"/>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A532" i="3" s="1"/>
  <c r="BJ532" i="3"/>
  <c r="BK532" i="3"/>
  <c r="BM532" i="3"/>
  <c r="BN532" i="3"/>
  <c r="BO532" i="3"/>
  <c r="BP532" i="3"/>
  <c r="BQ532" i="3"/>
  <c r="BR532" i="3"/>
  <c r="BS532" i="3"/>
  <c r="BT532" i="3"/>
  <c r="H533" i="3"/>
  <c r="AC533" i="3"/>
  <c r="BB533" i="3"/>
  <c r="BC533" i="3"/>
  <c r="BD533" i="3"/>
  <c r="BE533" i="3"/>
  <c r="BA533" i="3" s="1"/>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A535" i="3" s="1"/>
  <c r="BG535" i="3"/>
  <c r="BH535" i="3"/>
  <c r="BI535" i="3"/>
  <c r="BJ535" i="3"/>
  <c r="BK535" i="3"/>
  <c r="BM535" i="3"/>
  <c r="BN535" i="3"/>
  <c r="BO535" i="3"/>
  <c r="BL535" i="3" s="1"/>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L537" i="3" s="1"/>
  <c r="BR537" i="3"/>
  <c r="BS537" i="3"/>
  <c r="BT537" i="3"/>
  <c r="H538" i="3"/>
  <c r="AC538" i="3"/>
  <c r="BB538" i="3"/>
  <c r="BC538" i="3"/>
  <c r="BD538" i="3"/>
  <c r="BE538" i="3"/>
  <c r="BF538" i="3"/>
  <c r="BG538" i="3"/>
  <c r="BH538" i="3"/>
  <c r="BI538" i="3"/>
  <c r="BJ538" i="3"/>
  <c r="BK538" i="3"/>
  <c r="BM538" i="3"/>
  <c r="BL538" i="3" s="1"/>
  <c r="BN538" i="3"/>
  <c r="BO538" i="3"/>
  <c r="BP538" i="3"/>
  <c r="BQ538" i="3"/>
  <c r="BR538" i="3"/>
  <c r="BS538" i="3"/>
  <c r="BT538" i="3"/>
  <c r="H539" i="3"/>
  <c r="G539" i="3" s="1"/>
  <c r="AC539" i="3"/>
  <c r="BB539" i="3"/>
  <c r="BC539" i="3"/>
  <c r="BD539" i="3"/>
  <c r="BE539" i="3"/>
  <c r="BF539" i="3"/>
  <c r="BG539" i="3"/>
  <c r="BH539" i="3"/>
  <c r="BA539" i="3" s="1"/>
  <c r="BI539" i="3"/>
  <c r="BJ539" i="3"/>
  <c r="BK539" i="3"/>
  <c r="BM539" i="3"/>
  <c r="BN539" i="3"/>
  <c r="BO539" i="3"/>
  <c r="BP539" i="3"/>
  <c r="BR539" i="3"/>
  <c r="BS539" i="3"/>
  <c r="BT539" i="3"/>
  <c r="H540" i="3"/>
  <c r="AC540" i="3"/>
  <c r="BB540" i="3"/>
  <c r="BC540" i="3"/>
  <c r="BD540" i="3"/>
  <c r="BE540" i="3"/>
  <c r="BA540" i="3" s="1"/>
  <c r="BF540" i="3"/>
  <c r="BG540" i="3"/>
  <c r="BH540" i="3"/>
  <c r="BI540" i="3"/>
  <c r="BJ540" i="3"/>
  <c r="BK540" i="3"/>
  <c r="BM540" i="3"/>
  <c r="BN540" i="3"/>
  <c r="BL540" i="3" s="1"/>
  <c r="BO540" i="3"/>
  <c r="BP540" i="3"/>
  <c r="BQ540" i="3"/>
  <c r="BR540" i="3"/>
  <c r="BS540" i="3"/>
  <c r="BT540" i="3"/>
  <c r="H541" i="3"/>
  <c r="AC541" i="3"/>
  <c r="BB541" i="3"/>
  <c r="BC541" i="3"/>
  <c r="BD541" i="3"/>
  <c r="BE541" i="3"/>
  <c r="BF541" i="3"/>
  <c r="BG541" i="3"/>
  <c r="BH541" i="3"/>
  <c r="BI541" i="3"/>
  <c r="BA541" i="3" s="1"/>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A544" i="3" s="1"/>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L546" i="3" s="1"/>
  <c r="BQ546" i="3"/>
  <c r="BR546" i="3"/>
  <c r="BS546" i="3"/>
  <c r="BT546" i="3"/>
  <c r="H547" i="3"/>
  <c r="AC547" i="3"/>
  <c r="BB547" i="3"/>
  <c r="BC547" i="3"/>
  <c r="BD547" i="3"/>
  <c r="BE547" i="3"/>
  <c r="BF547" i="3"/>
  <c r="BG547" i="3"/>
  <c r="BH547" i="3"/>
  <c r="BI547" i="3"/>
  <c r="BJ547" i="3"/>
  <c r="BK547" i="3"/>
  <c r="BM547" i="3"/>
  <c r="BN547" i="3"/>
  <c r="BL547" i="3" s="1"/>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L552" i="3" s="1"/>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L554" i="3" s="1"/>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A556" i="3" s="1"/>
  <c r="BG556" i="3"/>
  <c r="BH556" i="3"/>
  <c r="BI556" i="3"/>
  <c r="BJ556" i="3"/>
  <c r="BK556" i="3"/>
  <c r="BM556" i="3"/>
  <c r="BN556" i="3"/>
  <c r="BO556" i="3"/>
  <c r="BL556" i="3" s="1"/>
  <c r="BP556" i="3"/>
  <c r="BQ556" i="3"/>
  <c r="BR556" i="3"/>
  <c r="BS556" i="3"/>
  <c r="BT556" i="3"/>
  <c r="H557" i="3"/>
  <c r="BB557" i="3"/>
  <c r="BC557" i="3"/>
  <c r="BD557" i="3"/>
  <c r="BE557" i="3"/>
  <c r="BF557" i="3"/>
  <c r="BG557" i="3"/>
  <c r="BH557" i="3"/>
  <c r="BI557" i="3"/>
  <c r="BJ557" i="3"/>
  <c r="BK557" i="3"/>
  <c r="BM557" i="3"/>
  <c r="BN557" i="3"/>
  <c r="BL557" i="3" s="1"/>
  <c r="BO557" i="3"/>
  <c r="BP557" i="3"/>
  <c r="BR557" i="3"/>
  <c r="BS557" i="3"/>
  <c r="BT557" i="3"/>
  <c r="H558" i="3"/>
  <c r="G558" i="3" s="1"/>
  <c r="AC558" i="3"/>
  <c r="BB558" i="3"/>
  <c r="BC558" i="3"/>
  <c r="BD558" i="3"/>
  <c r="BE558" i="3"/>
  <c r="BF558" i="3"/>
  <c r="BG558" i="3"/>
  <c r="BH558" i="3"/>
  <c r="BI558" i="3"/>
  <c r="BJ558" i="3"/>
  <c r="BK558" i="3"/>
  <c r="BM558" i="3"/>
  <c r="BN558" i="3"/>
  <c r="BO558" i="3"/>
  <c r="BP558" i="3"/>
  <c r="BL558" i="3" s="1"/>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A560" i="3" s="1"/>
  <c r="BI560" i="3"/>
  <c r="BJ560" i="3"/>
  <c r="BK560" i="3"/>
  <c r="BM560" i="3"/>
  <c r="BN560" i="3"/>
  <c r="BO560" i="3"/>
  <c r="BP560" i="3"/>
  <c r="BQ560" i="3"/>
  <c r="BL560" i="3" s="1"/>
  <c r="BR560" i="3"/>
  <c r="BS560" i="3"/>
  <c r="BT560" i="3"/>
  <c r="H561" i="3"/>
  <c r="AC561" i="3"/>
  <c r="BB561" i="3"/>
  <c r="BC561" i="3"/>
  <c r="BD561" i="3"/>
  <c r="BA561" i="3" s="1"/>
  <c r="BE561" i="3"/>
  <c r="BF561" i="3"/>
  <c r="BG561" i="3"/>
  <c r="BH561" i="3"/>
  <c r="BI561" i="3"/>
  <c r="BJ561" i="3"/>
  <c r="BK561" i="3"/>
  <c r="BM561" i="3"/>
  <c r="BL561" i="3" s="1"/>
  <c r="BN561" i="3"/>
  <c r="BO561" i="3"/>
  <c r="BP561" i="3"/>
  <c r="BR561" i="3"/>
  <c r="BS561" i="3"/>
  <c r="BT561" i="3"/>
  <c r="H562" i="3"/>
  <c r="AC562" i="3"/>
  <c r="G562" i="3" s="1"/>
  <c r="BB562" i="3"/>
  <c r="BC562" i="3"/>
  <c r="BA562" i="3" s="1"/>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A563" i="3" s="1"/>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L564" i="3" s="1"/>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A566" i="3" s="1"/>
  <c r="AZ566" i="3" s="1"/>
  <c r="BE566" i="3"/>
  <c r="BF566" i="3"/>
  <c r="BG566" i="3"/>
  <c r="BH566" i="3"/>
  <c r="BI566" i="3"/>
  <c r="BJ566" i="3"/>
  <c r="BK566" i="3"/>
  <c r="BM566" i="3"/>
  <c r="BL566" i="3" s="1"/>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L567" i="3" s="1"/>
  <c r="BS567" i="3"/>
  <c r="BT567" i="3"/>
  <c r="H568" i="3"/>
  <c r="AC568" i="3"/>
  <c r="BB568" i="3"/>
  <c r="BC568" i="3"/>
  <c r="BD568" i="3"/>
  <c r="BE568" i="3"/>
  <c r="BA568" i="3" s="1"/>
  <c r="AZ568" i="3" s="1"/>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A571" i="3" s="1"/>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L574" i="3" s="1"/>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A576" i="3" s="1"/>
  <c r="BH576" i="3"/>
  <c r="BI576" i="3"/>
  <c r="BJ576" i="3"/>
  <c r="BK576" i="3"/>
  <c r="BM576" i="3"/>
  <c r="BN576" i="3"/>
  <c r="BO576" i="3"/>
  <c r="BP576" i="3"/>
  <c r="BL576" i="3" s="1"/>
  <c r="BQ576" i="3"/>
  <c r="BR576" i="3"/>
  <c r="BS576" i="3"/>
  <c r="BT576" i="3"/>
  <c r="H577" i="3"/>
  <c r="AC577" i="3"/>
  <c r="BB577" i="3"/>
  <c r="BC577" i="3"/>
  <c r="BD577" i="3"/>
  <c r="BE577" i="3"/>
  <c r="BF577" i="3"/>
  <c r="BG577" i="3"/>
  <c r="BH577" i="3"/>
  <c r="BI577" i="3"/>
  <c r="BJ577" i="3"/>
  <c r="BK577" i="3"/>
  <c r="BM577" i="3"/>
  <c r="BN577" i="3"/>
  <c r="BL577" i="3" s="1"/>
  <c r="BO577" i="3"/>
  <c r="BP577" i="3"/>
  <c r="BR577" i="3"/>
  <c r="BS577" i="3"/>
  <c r="BT577" i="3"/>
  <c r="H578" i="3"/>
  <c r="G578" i="3" s="1"/>
  <c r="AC578" i="3"/>
  <c r="BB578" i="3"/>
  <c r="BC578" i="3"/>
  <c r="BD578" i="3"/>
  <c r="BE578" i="3"/>
  <c r="BF578" i="3"/>
  <c r="BG578" i="3"/>
  <c r="BA578" i="3" s="1"/>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L579" i="3" s="1"/>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A581" i="3" s="1"/>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F35" i="39" s="1"/>
  <c r="AA35" i="39" s="1"/>
  <c r="B111" i="39"/>
  <c r="J30" i="36"/>
  <c r="H30" i="36"/>
  <c r="F30" i="36"/>
  <c r="AA30" i="36" s="1"/>
  <c r="C26" i="35"/>
  <c r="C79" i="35" s="1"/>
  <c r="J31" i="35"/>
  <c r="W31" i="35" s="1"/>
  <c r="H31" i="35"/>
  <c r="F31" i="35"/>
  <c r="S31" i="35" s="1"/>
  <c r="D87" i="35"/>
  <c r="E87" i="35"/>
  <c r="F87" i="35" s="1"/>
  <c r="G87" i="35" s="1"/>
  <c r="H87" i="35"/>
  <c r="I87" i="35" s="1"/>
  <c r="J87" i="35" s="1"/>
  <c r="K87" i="35" s="1"/>
  <c r="L87" i="35" s="1"/>
  <c r="M87" i="35" s="1"/>
  <c r="H34" i="37"/>
  <c r="D101" i="37"/>
  <c r="F34" i="37"/>
  <c r="D99" i="37"/>
  <c r="E99" i="37"/>
  <c r="F99" i="37" s="1"/>
  <c r="G99" i="37" s="1"/>
  <c r="H99" i="37" s="1"/>
  <c r="I99" i="37" s="1"/>
  <c r="J99" i="37" s="1"/>
  <c r="K99" i="37" s="1"/>
  <c r="L99" i="37" s="1"/>
  <c r="M99" i="37" s="1"/>
  <c r="H42" i="34"/>
  <c r="J42" i="34"/>
  <c r="W42" i="34"/>
  <c r="F42" i="34"/>
  <c r="J38" i="34"/>
  <c r="W38" i="34"/>
  <c r="D114" i="34"/>
  <c r="E114" i="34" s="1"/>
  <c r="F38" i="34"/>
  <c r="S38" i="34"/>
  <c r="D112" i="34"/>
  <c r="E112" i="34"/>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B118" i="40"/>
  <c r="B116" i="40"/>
  <c r="F38" i="40"/>
  <c r="S38" i="40" s="1"/>
  <c r="AA38" i="40"/>
  <c r="D115" i="40"/>
  <c r="E115" i="40" s="1"/>
  <c r="F115" i="40" s="1"/>
  <c r="G115" i="40"/>
  <c r="H115" i="40"/>
  <c r="I115" i="40"/>
  <c r="J115" i="40" s="1"/>
  <c r="K115" i="40" s="1"/>
  <c r="L115" i="40" s="1"/>
  <c r="M115" i="40"/>
  <c r="D113" i="40"/>
  <c r="E113" i="40"/>
  <c r="F113" i="40"/>
  <c r="G113" i="40"/>
  <c r="H113" i="40" s="1"/>
  <c r="I113" i="40"/>
  <c r="J113" i="40" s="1"/>
  <c r="K113" i="40"/>
  <c r="L113" i="40" s="1"/>
  <c r="M113" i="40" s="1"/>
  <c r="D111" i="40"/>
  <c r="E111" i="40"/>
  <c r="F111" i="40" s="1"/>
  <c r="M107" i="40"/>
  <c r="L107" i="40"/>
  <c r="K107" i="40"/>
  <c r="J107" i="40"/>
  <c r="H107" i="40"/>
  <c r="G107" i="40"/>
  <c r="F107" i="40"/>
  <c r="E107" i="40"/>
  <c r="D107" i="40"/>
  <c r="C107" i="40"/>
  <c r="B105" i="40"/>
  <c r="H33" i="40" s="1"/>
  <c r="J33" i="40"/>
  <c r="W33" i="40" s="1"/>
  <c r="B103" i="40"/>
  <c r="J32" i="40" s="1"/>
  <c r="AC32" i="40"/>
  <c r="B101" i="40"/>
  <c r="J31" i="40"/>
  <c r="D100" i="40"/>
  <c r="E100" i="40" s="1"/>
  <c r="F100" i="40"/>
  <c r="G100" i="40" s="1"/>
  <c r="H100" i="40" s="1"/>
  <c r="I100" i="40" s="1"/>
  <c r="J100" i="40" s="1"/>
  <c r="K100" i="40" s="1"/>
  <c r="L100" i="40" s="1"/>
  <c r="M100" i="40" s="1"/>
  <c r="D98" i="40"/>
  <c r="J28" i="40"/>
  <c r="AC28" i="40" s="1"/>
  <c r="D96" i="40"/>
  <c r="E96" i="40"/>
  <c r="F96" i="40"/>
  <c r="G96" i="40" s="1"/>
  <c r="H96" i="40" s="1"/>
  <c r="I96" i="40" s="1"/>
  <c r="J96" i="40" s="1"/>
  <c r="K96" i="40" s="1"/>
  <c r="L96" i="40" s="1"/>
  <c r="M96" i="40" s="1"/>
  <c r="B95" i="40"/>
  <c r="D92" i="40"/>
  <c r="E92" i="40" s="1"/>
  <c r="F92" i="40"/>
  <c r="G92" i="40" s="1"/>
  <c r="D90" i="40"/>
  <c r="E90" i="40" s="1"/>
  <c r="F90" i="40"/>
  <c r="G90" i="40" s="1"/>
  <c r="D88" i="40"/>
  <c r="E88" i="40" s="1"/>
  <c r="D86" i="40"/>
  <c r="E86" i="40" s="1"/>
  <c r="F86" i="40" s="1"/>
  <c r="G86" i="40"/>
  <c r="D84" i="40"/>
  <c r="E84" i="40" s="1"/>
  <c r="F84" i="40" s="1"/>
  <c r="G84" i="40" s="1"/>
  <c r="B81" i="40"/>
  <c r="B79" i="40"/>
  <c r="J13" i="40" s="1"/>
  <c r="B77"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s="1"/>
  <c r="J38" i="40"/>
  <c r="AC38" i="40"/>
  <c r="H38" i="40"/>
  <c r="AB38" i="40" s="1"/>
  <c r="Q37" i="40"/>
  <c r="Z37" i="40"/>
  <c r="Q36" i="40"/>
  <c r="Z36" i="40" s="1"/>
  <c r="Q35" i="40"/>
  <c r="Z35" i="40"/>
  <c r="Q34" i="40"/>
  <c r="Z34" i="40" s="1"/>
  <c r="J34" i="40"/>
  <c r="AC34" i="40"/>
  <c r="H34" i="40"/>
  <c r="F34" i="40"/>
  <c r="AA34" i="40"/>
  <c r="Q33" i="40"/>
  <c r="Z33" i="40" s="1"/>
  <c r="Q32" i="40"/>
  <c r="Z32" i="40"/>
  <c r="Q31" i="40"/>
  <c r="Z31" i="40" s="1"/>
  <c r="Q30" i="40"/>
  <c r="Z30" i="40"/>
  <c r="Q28" i="40"/>
  <c r="Z28" i="40" s="1"/>
  <c r="Q27" i="40"/>
  <c r="Z27" i="40"/>
  <c r="Q23" i="40"/>
  <c r="Z23" i="40" s="1"/>
  <c r="Q21" i="40"/>
  <c r="Z21" i="40"/>
  <c r="Q19" i="40"/>
  <c r="Z19" i="40" s="1"/>
  <c r="Q17" i="40"/>
  <c r="Z17" i="40"/>
  <c r="Q15" i="40"/>
  <c r="Z15" i="40" s="1"/>
  <c r="Q14" i="40"/>
  <c r="Z14" i="40"/>
  <c r="Q13" i="40"/>
  <c r="Z13" i="40" s="1"/>
  <c r="Q12" i="40"/>
  <c r="Z12" i="40"/>
  <c r="Q11" i="40"/>
  <c r="Z11" i="40" s="1"/>
  <c r="Q10" i="40"/>
  <c r="Z10" i="40"/>
  <c r="Q9" i="40"/>
  <c r="Z9" i="40" s="1"/>
  <c r="J9" i="40"/>
  <c r="W9" i="40"/>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D106" i="39"/>
  <c r="E106" i="39" s="1"/>
  <c r="F106" i="39" s="1"/>
  <c r="G106" i="39" s="1"/>
  <c r="H106" i="39" s="1"/>
  <c r="I106" i="39" s="1"/>
  <c r="J106" i="39" s="1"/>
  <c r="K106" i="39" s="1"/>
  <c r="L106" i="39" s="1"/>
  <c r="M106" i="39" s="1"/>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F13" i="39" s="1"/>
  <c r="B81" i="39"/>
  <c r="J12" i="39"/>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s="1"/>
  <c r="Q9" i="39"/>
  <c r="Z9" i="39"/>
  <c r="J9" i="39"/>
  <c r="AC9" i="39"/>
  <c r="H9" i="39"/>
  <c r="AB9" i="39" s="1"/>
  <c r="F9" i="39"/>
  <c r="AA9" i="39" s="1"/>
  <c r="J8" i="39"/>
  <c r="AC8" i="39" s="1"/>
  <c r="H8" i="39"/>
  <c r="U8" i="39" s="1"/>
  <c r="F8" i="39"/>
  <c r="AA8" i="39" s="1"/>
  <c r="C20" i="36"/>
  <c r="C20" i="35"/>
  <c r="C16" i="36"/>
  <c r="C16" i="35"/>
  <c r="C14" i="36"/>
  <c r="C14" i="35"/>
  <c r="B80" i="37"/>
  <c r="F25" i="37" s="1"/>
  <c r="H25" i="37"/>
  <c r="U25" i="37"/>
  <c r="B110" i="37"/>
  <c r="J39" i="37"/>
  <c r="AC39" i="37" s="1"/>
  <c r="B108" i="37"/>
  <c r="C23" i="37"/>
  <c r="C19" i="37"/>
  <c r="C17" i="37"/>
  <c r="C15" i="37"/>
  <c r="B112" i="37"/>
  <c r="D107" i="37"/>
  <c r="E107" i="37" s="1"/>
  <c r="F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c r="D73" i="37"/>
  <c r="E73" i="37" s="1"/>
  <c r="F73" i="37" s="1"/>
  <c r="D71" i="37"/>
  <c r="H15" i="37"/>
  <c r="AB15" i="37" s="1"/>
  <c r="B68" i="37"/>
  <c r="H14" i="37"/>
  <c r="AB14" i="37"/>
  <c r="B66" i="37"/>
  <c r="B64" i="37"/>
  <c r="D63" i="37"/>
  <c r="E63" i="37"/>
  <c r="M61" i="37"/>
  <c r="L61" i="37"/>
  <c r="K61" i="37"/>
  <c r="J61" i="37"/>
  <c r="I61" i="37"/>
  <c r="H61" i="37"/>
  <c r="G61" i="37"/>
  <c r="F61" i="37"/>
  <c r="E61" i="37"/>
  <c r="D61" i="37"/>
  <c r="C61" i="37"/>
  <c r="C57" i="37"/>
  <c r="J9" i="37" s="1"/>
  <c r="W9" i="37" s="1"/>
  <c r="P43" i="37"/>
  <c r="P42" i="37"/>
  <c r="V41" i="37"/>
  <c r="T41" i="37"/>
  <c r="R41" i="37"/>
  <c r="P41" i="37"/>
  <c r="Q40" i="37"/>
  <c r="Z40" i="37"/>
  <c r="Q39" i="37"/>
  <c r="Z39" i="37"/>
  <c r="Q38" i="37"/>
  <c r="Z38" i="37"/>
  <c r="Q37" i="37"/>
  <c r="Z37" i="37" s="1"/>
  <c r="Q36" i="37"/>
  <c r="Z36" i="37"/>
  <c r="Q35" i="37"/>
  <c r="Z35" i="37" s="1"/>
  <c r="Q34" i="37"/>
  <c r="Z34" i="37" s="1"/>
  <c r="Q33" i="37"/>
  <c r="Z33" i="37" s="1"/>
  <c r="Q32" i="37"/>
  <c r="Z32" i="37" s="1"/>
  <c r="Q31" i="37"/>
  <c r="Z31" i="37" s="1"/>
  <c r="J31" i="37"/>
  <c r="Q30" i="37"/>
  <c r="Z30" i="37" s="1"/>
  <c r="J30" i="37"/>
  <c r="AC30" i="37" s="1"/>
  <c r="H30" i="37"/>
  <c r="AB30" i="37" s="1"/>
  <c r="F30" i="37"/>
  <c r="AA30" i="37" s="1"/>
  <c r="Q29" i="37"/>
  <c r="Z29" i="37"/>
  <c r="H29" i="37"/>
  <c r="AB29" i="37" s="1"/>
  <c r="Q28" i="37"/>
  <c r="Z28" i="37"/>
  <c r="Q27" i="37"/>
  <c r="Z27" i="37" s="1"/>
  <c r="Q26" i="37"/>
  <c r="Z26" i="37"/>
  <c r="J26" i="37"/>
  <c r="AC26" i="37" s="1"/>
  <c r="AB26" i="37"/>
  <c r="F26" i="37"/>
  <c r="AA26" i="37"/>
  <c r="Q25" i="37"/>
  <c r="Z25" i="37"/>
  <c r="J25" i="37"/>
  <c r="AC25" i="37"/>
  <c r="AA25" i="37"/>
  <c r="Q23" i="37"/>
  <c r="Z23" i="37"/>
  <c r="Q19" i="37"/>
  <c r="Z19" i="37" s="1"/>
  <c r="Q17" i="37"/>
  <c r="Z17" i="37"/>
  <c r="Q15" i="37"/>
  <c r="Z15" i="37"/>
  <c r="Q14" i="37"/>
  <c r="Z14" i="37"/>
  <c r="Q13" i="37"/>
  <c r="Z13" i="37" s="1"/>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s="1"/>
  <c r="H81" i="36" s="1"/>
  <c r="I81" i="36" s="1"/>
  <c r="J81" i="36" s="1"/>
  <c r="K81" i="36" s="1"/>
  <c r="L81" i="36" s="1"/>
  <c r="M81" i="36" s="1"/>
  <c r="F79" i="36"/>
  <c r="E79" i="36"/>
  <c r="D79" i="36"/>
  <c r="C79" i="36"/>
  <c r="B93" i="36"/>
  <c r="H33" i="36"/>
  <c r="B91" i="36"/>
  <c r="F32" i="36" s="1"/>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J23" i="36" s="1"/>
  <c r="AC23" i="36" s="1"/>
  <c r="D70" i="36"/>
  <c r="H22" i="36"/>
  <c r="AB22" i="36"/>
  <c r="D68" i="36"/>
  <c r="E68" i="36"/>
  <c r="F68" i="36" s="1"/>
  <c r="G68" i="36" s="1"/>
  <c r="D64" i="36"/>
  <c r="E64" i="36"/>
  <c r="F64" i="36" s="1"/>
  <c r="G64" i="36"/>
  <c r="J16" i="36"/>
  <c r="W16" i="36" s="1"/>
  <c r="D62" i="36"/>
  <c r="E62" i="36" s="1"/>
  <c r="F62" i="36" s="1"/>
  <c r="G62" i="36" s="1"/>
  <c r="B59" i="36"/>
  <c r="B57" i="36"/>
  <c r="H12" i="36" s="1"/>
  <c r="J12" i="36"/>
  <c r="B55" i="36"/>
  <c r="C51" i="36"/>
  <c r="F9" i="36" s="1"/>
  <c r="AA9" i="36" s="1"/>
  <c r="P37" i="36"/>
  <c r="P36" i="36"/>
  <c r="V35" i="36"/>
  <c r="T35" i="36"/>
  <c r="R35" i="36"/>
  <c r="P35" i="36"/>
  <c r="Q34" i="36"/>
  <c r="Z34" i="36" s="1"/>
  <c r="Q33" i="36"/>
  <c r="Z33" i="36" s="1"/>
  <c r="Q32" i="36"/>
  <c r="Z32" i="36" s="1"/>
  <c r="Q31" i="36"/>
  <c r="Z31" i="36" s="1"/>
  <c r="Q30" i="36"/>
  <c r="Z30" i="36" s="1"/>
  <c r="AC30" i="36"/>
  <c r="Q29" i="36"/>
  <c r="Z29" i="36" s="1"/>
  <c r="Q28" i="36"/>
  <c r="Z28" i="36"/>
  <c r="J28" i="36"/>
  <c r="Q27" i="36"/>
  <c r="Z27" i="36"/>
  <c r="Q26" i="36"/>
  <c r="Z26" i="36"/>
  <c r="H26" i="36"/>
  <c r="AB26" i="36" s="1"/>
  <c r="Q25" i="36"/>
  <c r="Z25" i="36" s="1"/>
  <c r="Q24" i="36"/>
  <c r="Z24" i="36" s="1"/>
  <c r="H24" i="36"/>
  <c r="AB24" i="36"/>
  <c r="Q23" i="36"/>
  <c r="Z23" i="36" s="1"/>
  <c r="F23" i="36"/>
  <c r="AA23" i="36" s="1"/>
  <c r="Q22" i="36"/>
  <c r="Z22" i="36" s="1"/>
  <c r="J22" i="36"/>
  <c r="AC22" i="36" s="1"/>
  <c r="Q20" i="36"/>
  <c r="Z20" i="36" s="1"/>
  <c r="Q16" i="36"/>
  <c r="Z16" i="36" s="1"/>
  <c r="Q14" i="36"/>
  <c r="Z14" i="36" s="1"/>
  <c r="Q13" i="36"/>
  <c r="Z13" i="36"/>
  <c r="Q12" i="36"/>
  <c r="Z12" i="36"/>
  <c r="U12" i="36"/>
  <c r="Q11" i="36"/>
  <c r="Z11" i="36" s="1"/>
  <c r="Q10" i="36"/>
  <c r="Z10" i="36" s="1"/>
  <c r="F10" i="36"/>
  <c r="AA10" i="36" s="1"/>
  <c r="Q9" i="36"/>
  <c r="Z9" i="36"/>
  <c r="J9" i="36"/>
  <c r="AC9" i="36" s="1"/>
  <c r="H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c r="F27" i="35"/>
  <c r="AA27" i="35"/>
  <c r="J22" i="35"/>
  <c r="AC22" i="35"/>
  <c r="B101" i="35"/>
  <c r="H36" i="35" s="1"/>
  <c r="AB36" i="35"/>
  <c r="B99" i="35"/>
  <c r="B97" i="35"/>
  <c r="B77" i="35"/>
  <c r="B75" i="35"/>
  <c r="B73" i="35"/>
  <c r="H23" i="35"/>
  <c r="U23" i="35"/>
  <c r="B57" i="35"/>
  <c r="B61" i="35"/>
  <c r="B59" i="35"/>
  <c r="B131" i="34"/>
  <c r="B129" i="34"/>
  <c r="B127" i="34"/>
  <c r="B99" i="34"/>
  <c r="F32" i="34" s="1"/>
  <c r="B97" i="34"/>
  <c r="B95" i="34"/>
  <c r="B93" i="34"/>
  <c r="B75" i="34"/>
  <c r="B73" i="34"/>
  <c r="B71" i="34"/>
  <c r="J12" i="34" s="1"/>
  <c r="W12" i="34" s="1"/>
  <c r="B130" i="33"/>
  <c r="B128" i="33"/>
  <c r="B126" i="33"/>
  <c r="B98" i="33"/>
  <c r="B96" i="33"/>
  <c r="B94" i="33"/>
  <c r="F29" i="33" s="1"/>
  <c r="B74" i="33"/>
  <c r="B72" i="33"/>
  <c r="J13" i="33" s="1"/>
  <c r="B70" i="33"/>
  <c r="J12" i="33"/>
  <c r="D96" i="35"/>
  <c r="E96" i="35" s="1"/>
  <c r="F96" i="35"/>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c r="H80" i="35"/>
  <c r="I80" i="35" s="1"/>
  <c r="J80" i="35"/>
  <c r="K80" i="35" s="1"/>
  <c r="L80" i="35" s="1"/>
  <c r="M80" i="35" s="1"/>
  <c r="D72" i="35"/>
  <c r="E72" i="35" s="1"/>
  <c r="F72" i="35"/>
  <c r="G72" i="35" s="1"/>
  <c r="D70" i="35"/>
  <c r="E70" i="35" s="1"/>
  <c r="F70" i="35"/>
  <c r="G70" i="35" s="1"/>
  <c r="D66" i="35"/>
  <c r="E66" i="35" s="1"/>
  <c r="F66" i="35" s="1"/>
  <c r="G66" i="35" s="1"/>
  <c r="D64" i="35"/>
  <c r="E64" i="35" s="1"/>
  <c r="F64" i="35" s="1"/>
  <c r="G64" i="35" s="1"/>
  <c r="J14" i="35"/>
  <c r="W14" i="35"/>
  <c r="C53" i="35"/>
  <c r="J9" i="35" s="1"/>
  <c r="P39" i="35"/>
  <c r="P38" i="35"/>
  <c r="V37" i="35"/>
  <c r="T37" i="35"/>
  <c r="R37" i="35"/>
  <c r="P37" i="35"/>
  <c r="Q36" i="35"/>
  <c r="Z36" i="35" s="1"/>
  <c r="J36" i="35"/>
  <c r="AC36" i="35"/>
  <c r="Q35" i="35"/>
  <c r="Z35" i="35" s="1"/>
  <c r="Q34" i="35"/>
  <c r="Z34" i="35" s="1"/>
  <c r="J34" i="35"/>
  <c r="AC34" i="35" s="1"/>
  <c r="H34" i="35"/>
  <c r="AB34" i="35"/>
  <c r="F34" i="35"/>
  <c r="Q33" i="35"/>
  <c r="Z33" i="35"/>
  <c r="Q32" i="35"/>
  <c r="Z32" i="35" s="1"/>
  <c r="H32" i="35"/>
  <c r="AB32" i="35" s="1"/>
  <c r="F32" i="35"/>
  <c r="AA32" i="35" s="1"/>
  <c r="Q31" i="35"/>
  <c r="Z31" i="35" s="1"/>
  <c r="AC31" i="35"/>
  <c r="AB31" i="35"/>
  <c r="Q30" i="35"/>
  <c r="Z30" i="35" s="1"/>
  <c r="Q29" i="35"/>
  <c r="Z29" i="35" s="1"/>
  <c r="Q28" i="35"/>
  <c r="Z28" i="35"/>
  <c r="J28" i="35"/>
  <c r="AC28" i="35" s="1"/>
  <c r="H28" i="35"/>
  <c r="AB28" i="35" s="1"/>
  <c r="F28" i="35"/>
  <c r="AA28" i="35" s="1"/>
  <c r="Q27" i="35"/>
  <c r="Z27" i="35"/>
  <c r="Q26" i="35"/>
  <c r="Z26" i="35"/>
  <c r="Q25" i="35"/>
  <c r="Z25" i="35"/>
  <c r="Q24" i="35"/>
  <c r="Z24" i="35" s="1"/>
  <c r="Q23" i="35"/>
  <c r="Z23" i="35"/>
  <c r="J23" i="35"/>
  <c r="AC23" i="35" s="1"/>
  <c r="Q22" i="35"/>
  <c r="Z22" i="35" s="1"/>
  <c r="Q20" i="35"/>
  <c r="Z20" i="35" s="1"/>
  <c r="Q16" i="35"/>
  <c r="Z16" i="35"/>
  <c r="Q14" i="35"/>
  <c r="Z14" i="35"/>
  <c r="Q13" i="35"/>
  <c r="Z13" i="35" s="1"/>
  <c r="Q12" i="35"/>
  <c r="Z12" i="35" s="1"/>
  <c r="F12" i="35"/>
  <c r="Q11" i="35"/>
  <c r="Z11" i="35" s="1"/>
  <c r="Q10" i="35"/>
  <c r="Z10" i="35" s="1"/>
  <c r="Q9" i="35"/>
  <c r="Z9" i="35" s="1"/>
  <c r="J8" i="35"/>
  <c r="W8" i="35" s="1"/>
  <c r="H8" i="35"/>
  <c r="AB8" i="35" s="1"/>
  <c r="F8" i="35"/>
  <c r="AA8" i="35" s="1"/>
  <c r="D120" i="34"/>
  <c r="E120" i="34" s="1"/>
  <c r="F120" i="34" s="1"/>
  <c r="G120" i="34"/>
  <c r="H120" i="34" s="1"/>
  <c r="I120" i="34" s="1"/>
  <c r="J120" i="34" s="1"/>
  <c r="K120" i="34" s="1"/>
  <c r="L120" i="34" s="1"/>
  <c r="M120" i="34" s="1"/>
  <c r="D90" i="34"/>
  <c r="E90" i="34" s="1"/>
  <c r="F90" i="34" s="1"/>
  <c r="G90" i="34"/>
  <c r="H90" i="34"/>
  <c r="I90" i="34" s="1"/>
  <c r="J90" i="34" s="1"/>
  <c r="K90" i="34" s="1"/>
  <c r="L90" i="34" s="1"/>
  <c r="M90" i="34" s="1"/>
  <c r="C15" i="34"/>
  <c r="D126" i="34"/>
  <c r="E126" i="34"/>
  <c r="F126" i="34" s="1"/>
  <c r="G126" i="34"/>
  <c r="D124" i="34"/>
  <c r="E124" i="34" s="1"/>
  <c r="F124" i="34" s="1"/>
  <c r="G124" i="34" s="1"/>
  <c r="H124" i="34" s="1"/>
  <c r="I124" i="34" s="1"/>
  <c r="J124" i="34" s="1"/>
  <c r="K124" i="34" s="1"/>
  <c r="L124" i="34" s="1"/>
  <c r="M124" i="34" s="1"/>
  <c r="H43" i="34"/>
  <c r="AB43" i="34" s="1"/>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c r="G109" i="34" s="1"/>
  <c r="H109" i="34" s="1"/>
  <c r="I109" i="34" s="1"/>
  <c r="J109" i="34" s="1"/>
  <c r="K109" i="34" s="1"/>
  <c r="L109" i="34" s="1"/>
  <c r="M109" i="34" s="1"/>
  <c r="D107" i="34"/>
  <c r="E107" i="34"/>
  <c r="F107" i="34" s="1"/>
  <c r="G107" i="34" s="1"/>
  <c r="H107" i="34"/>
  <c r="I107" i="34"/>
  <c r="J107" i="34" s="1"/>
  <c r="K107" i="34" s="1"/>
  <c r="L107" i="34" s="1"/>
  <c r="M107" i="34" s="1"/>
  <c r="F35" i="34"/>
  <c r="AA35" i="34" s="1"/>
  <c r="M103" i="34"/>
  <c r="L103" i="34"/>
  <c r="K103" i="34"/>
  <c r="J103" i="34"/>
  <c r="I103" i="34"/>
  <c r="H103" i="34"/>
  <c r="G103" i="34"/>
  <c r="F103" i="34"/>
  <c r="E103" i="34"/>
  <c r="D103" i="34"/>
  <c r="C103" i="34"/>
  <c r="D102" i="34"/>
  <c r="E102" i="34"/>
  <c r="F102" i="34"/>
  <c r="G102" i="34" s="1"/>
  <c r="H102" i="34" s="1"/>
  <c r="I102" i="34" s="1"/>
  <c r="J102" i="34" s="1"/>
  <c r="K102" i="34" s="1"/>
  <c r="L102" i="34" s="1"/>
  <c r="M102" i="34" s="1"/>
  <c r="D92" i="34"/>
  <c r="E92" i="34"/>
  <c r="F92" i="34" s="1"/>
  <c r="G92" i="34" s="1"/>
  <c r="H92" i="34"/>
  <c r="I92" i="34" s="1"/>
  <c r="J92" i="34" s="1"/>
  <c r="K92" i="34" s="1"/>
  <c r="L92" i="34" s="1"/>
  <c r="M92" i="34" s="1"/>
  <c r="B91" i="34"/>
  <c r="B89" i="34"/>
  <c r="J27" i="34"/>
  <c r="D88" i="34"/>
  <c r="E88" i="34"/>
  <c r="F88" i="34"/>
  <c r="G88" i="34"/>
  <c r="H88" i="34" s="1"/>
  <c r="I88" i="34" s="1"/>
  <c r="J88" i="34" s="1"/>
  <c r="K88" i="34" s="1"/>
  <c r="L88" i="34" s="1"/>
  <c r="M88" i="34" s="1"/>
  <c r="D86" i="34"/>
  <c r="E86" i="34" s="1"/>
  <c r="F86" i="34" s="1"/>
  <c r="G86" i="34" s="1"/>
  <c r="D82" i="34"/>
  <c r="E82" i="34" s="1"/>
  <c r="F82" i="34" s="1"/>
  <c r="G82" i="34" s="1"/>
  <c r="D80" i="34"/>
  <c r="E80" i="34"/>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s="1"/>
  <c r="Q44" i="34"/>
  <c r="Z44" i="34" s="1"/>
  <c r="Q43" i="34"/>
  <c r="Z43" i="34"/>
  <c r="Q42" i="34"/>
  <c r="Z42" i="34"/>
  <c r="Q41" i="34"/>
  <c r="Z41" i="34"/>
  <c r="Q40" i="34"/>
  <c r="Z40" i="34" s="1"/>
  <c r="Q39" i="34"/>
  <c r="Z39" i="34" s="1"/>
  <c r="H39" i="34"/>
  <c r="AB39" i="34" s="1"/>
  <c r="Q38" i="34"/>
  <c r="Z38" i="34"/>
  <c r="Q37" i="34"/>
  <c r="Z37" i="34" s="1"/>
  <c r="Q36" i="34"/>
  <c r="Z36" i="34"/>
  <c r="Q35" i="34"/>
  <c r="Z35" i="34" s="1"/>
  <c r="Q34" i="34"/>
  <c r="Z34" i="34"/>
  <c r="J34" i="34"/>
  <c r="AC34" i="34" s="1"/>
  <c r="H34" i="34"/>
  <c r="AB34" i="34" s="1"/>
  <c r="F34" i="34"/>
  <c r="AA34" i="34" s="1"/>
  <c r="Q33" i="34"/>
  <c r="Z33" i="34"/>
  <c r="Q32" i="34"/>
  <c r="Z32" i="34" s="1"/>
  <c r="Q31" i="34"/>
  <c r="Z31" i="34" s="1"/>
  <c r="Q30" i="34"/>
  <c r="Z30" i="34"/>
  <c r="Q29" i="34"/>
  <c r="Z29" i="34" s="1"/>
  <c r="Q28" i="34"/>
  <c r="Z28" i="34" s="1"/>
  <c r="Q27" i="34"/>
  <c r="Z27" i="34"/>
  <c r="Q25" i="34"/>
  <c r="Z25" i="34"/>
  <c r="Q23" i="34"/>
  <c r="Z23" i="34"/>
  <c r="C23" i="34"/>
  <c r="Q19" i="34"/>
  <c r="Z19" i="34"/>
  <c r="C19" i="34"/>
  <c r="Q17" i="34"/>
  <c r="Z17" i="34"/>
  <c r="C17" i="34"/>
  <c r="Q15" i="34"/>
  <c r="Z15" i="34" s="1"/>
  <c r="Q14" i="34"/>
  <c r="Z14" i="34"/>
  <c r="Q13" i="34"/>
  <c r="Z13" i="34" s="1"/>
  <c r="Q12" i="34"/>
  <c r="Z12" i="34" s="1"/>
  <c r="Q11" i="34"/>
  <c r="Z11" i="34" s="1"/>
  <c r="Q10" i="34"/>
  <c r="Z10" i="34"/>
  <c r="F10" i="34"/>
  <c r="AA10" i="34" s="1"/>
  <c r="Q9" i="34"/>
  <c r="Z9" i="34"/>
  <c r="J9" i="34"/>
  <c r="H9" i="34"/>
  <c r="J8" i="34"/>
  <c r="AC8" i="34" s="1"/>
  <c r="H8" i="34"/>
  <c r="U8" i="34" s="1"/>
  <c r="F8" i="34"/>
  <c r="D121" i="33"/>
  <c r="E121" i="33"/>
  <c r="F109" i="33"/>
  <c r="E109" i="33"/>
  <c r="D109" i="33"/>
  <c r="C109" i="33"/>
  <c r="D91" i="33"/>
  <c r="E91" i="33" s="1"/>
  <c r="B88" i="33"/>
  <c r="C23" i="33"/>
  <c r="C19" i="33"/>
  <c r="C17" i="33"/>
  <c r="C15" i="33"/>
  <c r="C15" i="21"/>
  <c r="D125" i="33"/>
  <c r="D123" i="33"/>
  <c r="D117" i="33"/>
  <c r="E117" i="33"/>
  <c r="F117" i="33"/>
  <c r="G117" i="33" s="1"/>
  <c r="D115" i="33"/>
  <c r="E115" i="33"/>
  <c r="F115" i="33" s="1"/>
  <c r="G115" i="33"/>
  <c r="H115" i="33" s="1"/>
  <c r="I115" i="33" s="1"/>
  <c r="J115" i="33"/>
  <c r="K115" i="33" s="1"/>
  <c r="L115" i="33" s="1"/>
  <c r="M115" i="33" s="1"/>
  <c r="D108" i="33"/>
  <c r="E108" i="33" s="1"/>
  <c r="F108" i="33"/>
  <c r="D106" i="33"/>
  <c r="E106" i="33"/>
  <c r="F106" i="33" s="1"/>
  <c r="M102" i="33"/>
  <c r="L102" i="33"/>
  <c r="K102" i="33"/>
  <c r="J102" i="33"/>
  <c r="I102" i="33"/>
  <c r="H102" i="33"/>
  <c r="G102" i="33"/>
  <c r="F102" i="33"/>
  <c r="E102" i="33"/>
  <c r="D102" i="33"/>
  <c r="C102" i="33"/>
  <c r="D101" i="33"/>
  <c r="E101" i="33" s="1"/>
  <c r="B92" i="33"/>
  <c r="B90" i="33"/>
  <c r="D87" i="33"/>
  <c r="E87" i="33"/>
  <c r="D85" i="33"/>
  <c r="E85" i="33"/>
  <c r="D81" i="33"/>
  <c r="E81" i="33" s="1"/>
  <c r="D79" i="33"/>
  <c r="E79" i="33" s="1"/>
  <c r="D77" i="33"/>
  <c r="E77" i="33"/>
  <c r="F77" i="33" s="1"/>
  <c r="G77" i="33"/>
  <c r="D69" i="33"/>
  <c r="E69" i="33"/>
  <c r="F69" i="33" s="1"/>
  <c r="G69" i="33"/>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c r="Q44" i="33"/>
  <c r="Z44" i="33" s="1"/>
  <c r="Q43" i="33"/>
  <c r="Z43" i="33"/>
  <c r="Q42" i="33"/>
  <c r="Z42" i="33"/>
  <c r="J42" i="33"/>
  <c r="AC42" i="33" s="1"/>
  <c r="AC41" i="33"/>
  <c r="W41" i="33"/>
  <c r="Q41" i="33"/>
  <c r="Z41" i="33"/>
  <c r="Q40" i="33"/>
  <c r="Z40" i="33"/>
  <c r="J40" i="33"/>
  <c r="H40" i="33"/>
  <c r="Q39" i="33"/>
  <c r="Z39" i="33" s="1"/>
  <c r="J39" i="33"/>
  <c r="AC39" i="33"/>
  <c r="Q38" i="33"/>
  <c r="Z38" i="33"/>
  <c r="J38" i="33"/>
  <c r="H38" i="33"/>
  <c r="AB38" i="33" s="1"/>
  <c r="F38" i="33"/>
  <c r="AA38" i="33"/>
  <c r="Q37" i="33"/>
  <c r="Z37" i="33" s="1"/>
  <c r="Q36" i="33"/>
  <c r="Z36" i="33" s="1"/>
  <c r="Q35" i="33"/>
  <c r="Z35" i="33" s="1"/>
  <c r="H35" i="33"/>
  <c r="AB35" i="33"/>
  <c r="Q34" i="33"/>
  <c r="Z34" i="33"/>
  <c r="Q33" i="33"/>
  <c r="Z33" i="33"/>
  <c r="J33" i="33"/>
  <c r="AC33" i="33" s="1"/>
  <c r="H33" i="33"/>
  <c r="AB33" i="33" s="1"/>
  <c r="F33" i="33"/>
  <c r="AA33" i="33" s="1"/>
  <c r="Q32" i="33"/>
  <c r="Z32" i="33" s="1"/>
  <c r="Q31" i="33"/>
  <c r="Z31" i="33" s="1"/>
  <c r="Q30" i="33"/>
  <c r="Z30" i="33"/>
  <c r="Q29" i="33"/>
  <c r="Z29" i="33"/>
  <c r="Q28" i="33"/>
  <c r="Z28" i="33"/>
  <c r="Q27" i="33"/>
  <c r="Z27" i="33" s="1"/>
  <c r="Q26" i="33"/>
  <c r="Z26" i="33"/>
  <c r="Q25" i="33"/>
  <c r="Z25" i="33"/>
  <c r="Q23" i="33"/>
  <c r="Z23" i="33" s="1"/>
  <c r="Q19" i="33"/>
  <c r="Z19" i="33" s="1"/>
  <c r="Q17" i="33"/>
  <c r="Z17" i="33"/>
  <c r="Q15" i="33"/>
  <c r="Z15" i="33"/>
  <c r="F15" i="33"/>
  <c r="AA15" i="33"/>
  <c r="Q14" i="33"/>
  <c r="Z14" i="33" s="1"/>
  <c r="Q13" i="33"/>
  <c r="Z13" i="33" s="1"/>
  <c r="Q12" i="33"/>
  <c r="Z12" i="33"/>
  <c r="H12" i="33"/>
  <c r="Q11" i="33"/>
  <c r="Z11" i="33"/>
  <c r="Q10" i="33"/>
  <c r="Z10" i="33"/>
  <c r="Q9" i="33"/>
  <c r="Z9" i="33" s="1"/>
  <c r="J8" i="33"/>
  <c r="AC8" i="33" s="1"/>
  <c r="H8" i="33"/>
  <c r="AB8" i="33" s="1"/>
  <c r="F8" i="33"/>
  <c r="AA8" i="33" s="1"/>
  <c r="M102" i="21"/>
  <c r="D102" i="21"/>
  <c r="E102" i="21"/>
  <c r="F102" i="21"/>
  <c r="G102" i="21"/>
  <c r="H102" i="21"/>
  <c r="I102" i="21"/>
  <c r="J102" i="21"/>
  <c r="K102" i="21"/>
  <c r="L102" i="21"/>
  <c r="C102" i="21"/>
  <c r="C63" i="21"/>
  <c r="F9" i="21"/>
  <c r="G18" i="20"/>
  <c r="B90" i="43"/>
  <c r="G19" i="20"/>
  <c r="B87" i="43" s="1"/>
  <c r="G16" i="20"/>
  <c r="B84" i="43"/>
  <c r="G15" i="20"/>
  <c r="B83" i="43"/>
  <c r="C24" i="20"/>
  <c r="B97" i="43" s="1"/>
  <c r="C21" i="20"/>
  <c r="B99" i="43" s="1"/>
  <c r="C20" i="20"/>
  <c r="C18" i="20"/>
  <c r="B94" i="43" s="1"/>
  <c r="C17" i="20"/>
  <c r="B61" i="43" s="1"/>
  <c r="C16" i="20"/>
  <c r="C17" i="39" s="1"/>
  <c r="C15" i="20"/>
  <c r="B72" i="43"/>
  <c r="E54" i="21"/>
  <c r="F54" i="21" s="1"/>
  <c r="I54" i="21"/>
  <c r="J54" i="21" s="1"/>
  <c r="G54" i="21"/>
  <c r="H54" i="21" s="1"/>
  <c r="D125" i="21"/>
  <c r="E125" i="21" s="1"/>
  <c r="F125" i="21"/>
  <c r="G125" i="21" s="1"/>
  <c r="D123" i="21"/>
  <c r="E123" i="21"/>
  <c r="F123" i="21"/>
  <c r="F42" i="21"/>
  <c r="AA42" i="21"/>
  <c r="D119" i="21"/>
  <c r="F40" i="21"/>
  <c r="D117" i="21"/>
  <c r="E117" i="21"/>
  <c r="F117" i="21"/>
  <c r="G117" i="21"/>
  <c r="D115" i="21"/>
  <c r="E115" i="21" s="1"/>
  <c r="F115" i="21" s="1"/>
  <c r="G115" i="21" s="1"/>
  <c r="H115" i="21" s="1"/>
  <c r="I115" i="21" s="1"/>
  <c r="J115" i="21" s="1"/>
  <c r="K115" i="21" s="1"/>
  <c r="L115" i="21" s="1"/>
  <c r="M115" i="21" s="1"/>
  <c r="D113" i="21"/>
  <c r="E113" i="21"/>
  <c r="F113" i="21" s="1"/>
  <c r="G113" i="21"/>
  <c r="H113" i="21" s="1"/>
  <c r="D110" i="21"/>
  <c r="E110" i="21" s="1"/>
  <c r="F110" i="21" s="1"/>
  <c r="G110" i="21" s="1"/>
  <c r="H110" i="21" s="1"/>
  <c r="I110" i="21" s="1"/>
  <c r="J110" i="21" s="1"/>
  <c r="K110" i="21" s="1"/>
  <c r="L110" i="21" s="1"/>
  <c r="M110" i="21" s="1"/>
  <c r="J36" i="21"/>
  <c r="AC36" i="21"/>
  <c r="D108" i="21"/>
  <c r="E108" i="21"/>
  <c r="F108" i="2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c r="I69" i="21" s="1"/>
  <c r="J69" i="21" s="1"/>
  <c r="K69" i="21" s="1"/>
  <c r="L69" i="21" s="1"/>
  <c r="M69" i="21" s="1"/>
  <c r="D111" i="21"/>
  <c r="E111" i="21"/>
  <c r="F111" i="21"/>
  <c r="C111" i="21"/>
  <c r="D79" i="21"/>
  <c r="E79" i="21" s="1"/>
  <c r="F79" i="21" s="1"/>
  <c r="G79" i="21" s="1"/>
  <c r="D85" i="21"/>
  <c r="F19" i="21"/>
  <c r="AA19" i="21" s="1"/>
  <c r="E81" i="21"/>
  <c r="F81" i="21" s="1"/>
  <c r="G81" i="21" s="1"/>
  <c r="D77" i="21"/>
  <c r="E77" i="21"/>
  <c r="B130" i="21"/>
  <c r="B128" i="21"/>
  <c r="J45" i="21" s="1"/>
  <c r="W45" i="21"/>
  <c r="B126" i="21"/>
  <c r="B98" i="21"/>
  <c r="H31" i="21" s="1"/>
  <c r="B96" i="21"/>
  <c r="B94" i="21"/>
  <c r="B92" i="21"/>
  <c r="B90" i="21"/>
  <c r="J27" i="21"/>
  <c r="W27" i="21" s="1"/>
  <c r="B74" i="21"/>
  <c r="B72" i="21"/>
  <c r="B70" i="21"/>
  <c r="C19" i="21"/>
  <c r="C17" i="21"/>
  <c r="C23" i="21"/>
  <c r="Q9" i="21"/>
  <c r="Z9" i="21"/>
  <c r="Q10" i="21"/>
  <c r="Z10" i="21" s="1"/>
  <c r="Q11" i="21"/>
  <c r="Z11" i="21" s="1"/>
  <c r="Q12" i="21"/>
  <c r="Z12" i="21" s="1"/>
  <c r="Q13" i="21"/>
  <c r="Z13" i="21" s="1"/>
  <c r="Q14" i="21"/>
  <c r="Z14" i="21"/>
  <c r="Q15" i="21"/>
  <c r="Z15" i="21" s="1"/>
  <c r="Q17" i="21"/>
  <c r="Z17" i="21" s="1"/>
  <c r="Q19" i="21"/>
  <c r="Z19" i="21"/>
  <c r="Q23" i="21"/>
  <c r="Z23" i="21" s="1"/>
  <c r="Q25" i="21"/>
  <c r="Z25" i="21"/>
  <c r="Q26" i="21"/>
  <c r="Z26" i="21" s="1"/>
  <c r="Q27" i="21"/>
  <c r="Z27" i="21"/>
  <c r="Q28" i="21"/>
  <c r="Z28" i="21"/>
  <c r="Q29" i="21"/>
  <c r="Z29" i="21"/>
  <c r="Q30" i="21"/>
  <c r="Z30" i="21" s="1"/>
  <c r="Q31" i="21"/>
  <c r="Z31" i="21" s="1"/>
  <c r="Q32" i="21"/>
  <c r="Z32" i="21"/>
  <c r="Q33" i="21"/>
  <c r="Z33" i="21"/>
  <c r="Q34" i="21"/>
  <c r="Z34" i="21" s="1"/>
  <c r="J35" i="21"/>
  <c r="W35" i="21"/>
  <c r="Q35" i="21"/>
  <c r="Z35" i="21"/>
  <c r="Q36" i="21"/>
  <c r="Z36" i="21" s="1"/>
  <c r="Q37" i="21"/>
  <c r="Z37" i="21" s="1"/>
  <c r="J38" i="21"/>
  <c r="W38" i="21"/>
  <c r="Q38" i="21"/>
  <c r="Z38" i="21" s="1"/>
  <c r="J39" i="21"/>
  <c r="AC39" i="21" s="1"/>
  <c r="Q39" i="21"/>
  <c r="Z39" i="21" s="1"/>
  <c r="H40" i="21"/>
  <c r="AB40" i="21" s="1"/>
  <c r="Q40" i="21"/>
  <c r="Z40" i="21"/>
  <c r="Q41" i="21"/>
  <c r="Z41" i="21"/>
  <c r="Q42" i="21"/>
  <c r="Z42" i="21" s="1"/>
  <c r="J43" i="21"/>
  <c r="AC43" i="21"/>
  <c r="Q43" i="21"/>
  <c r="Z43" i="21" s="1"/>
  <c r="Q44" i="21"/>
  <c r="Z44" i="21" s="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S34" i="21" s="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c r="F35" i="21"/>
  <c r="AA35" i="21"/>
  <c r="J10" i="21"/>
  <c r="AC10" i="21" s="1"/>
  <c r="H26" i="21"/>
  <c r="AB26" i="21" s="1"/>
  <c r="AB19" i="21"/>
  <c r="J19" i="21"/>
  <c r="W19" i="21"/>
  <c r="J26" i="21"/>
  <c r="W26" i="21"/>
  <c r="F26" i="21"/>
  <c r="S26" i="21" s="1"/>
  <c r="AB41" i="21"/>
  <c r="S41" i="21"/>
  <c r="AA41" i="21"/>
  <c r="F36" i="39"/>
  <c r="S36" i="39" s="1"/>
  <c r="H36" i="39"/>
  <c r="J35" i="39"/>
  <c r="AC35" i="39" s="1"/>
  <c r="J36" i="39"/>
  <c r="AC36" i="39"/>
  <c r="U9" i="39"/>
  <c r="W40" i="39"/>
  <c r="W25" i="37"/>
  <c r="U30" i="37"/>
  <c r="F103" i="37"/>
  <c r="G103" i="37" s="1"/>
  <c r="H103" i="37" s="1"/>
  <c r="I103" i="37" s="1"/>
  <c r="J103" i="37" s="1"/>
  <c r="K103" i="37" s="1"/>
  <c r="L103" i="37" s="1"/>
  <c r="M103" i="37" s="1"/>
  <c r="F39" i="37"/>
  <c r="U14" i="37"/>
  <c r="F29" i="36"/>
  <c r="AA29" i="36" s="1"/>
  <c r="F16" i="36"/>
  <c r="AA16" i="36" s="1"/>
  <c r="U31" i="36"/>
  <c r="J33" i="36"/>
  <c r="AC33" i="36" s="1"/>
  <c r="H22" i="35"/>
  <c r="AB22" i="35" s="1"/>
  <c r="AC27" i="35"/>
  <c r="U31" i="35"/>
  <c r="W34" i="35"/>
  <c r="W36" i="35"/>
  <c r="W22" i="35"/>
  <c r="U34" i="35"/>
  <c r="F36" i="34"/>
  <c r="J35" i="34"/>
  <c r="U34" i="34"/>
  <c r="H39" i="33"/>
  <c r="AB39" i="33" s="1"/>
  <c r="U33" i="33"/>
  <c r="U35" i="33"/>
  <c r="W33" i="33"/>
  <c r="W39" i="33"/>
  <c r="H39" i="37"/>
  <c r="AB39" i="37" s="1"/>
  <c r="S27" i="35"/>
  <c r="F11" i="40"/>
  <c r="AA11" i="40"/>
  <c r="H11" i="40"/>
  <c r="AB11" i="40"/>
  <c r="W8" i="40"/>
  <c r="AC40" i="40"/>
  <c r="AA9" i="40"/>
  <c r="AC9" i="40"/>
  <c r="U9" i="40"/>
  <c r="S34" i="40"/>
  <c r="U38" i="40"/>
  <c r="S40" i="40"/>
  <c r="U40" i="40"/>
  <c r="F42" i="39"/>
  <c r="AA42" i="39" s="1"/>
  <c r="F41" i="39"/>
  <c r="S41" i="39" s="1"/>
  <c r="H40" i="39"/>
  <c r="AB40" i="39" s="1"/>
  <c r="H39" i="39"/>
  <c r="S38" i="39"/>
  <c r="H34" i="39"/>
  <c r="U34" i="39" s="1"/>
  <c r="E100" i="39"/>
  <c r="H19" i="39"/>
  <c r="AB19" i="39" s="1"/>
  <c r="F19" i="39"/>
  <c r="AA19" i="39" s="1"/>
  <c r="H17" i="39"/>
  <c r="AB17" i="39" s="1"/>
  <c r="F17" i="39"/>
  <c r="AA17" i="39" s="1"/>
  <c r="J23" i="40"/>
  <c r="AC23" i="40"/>
  <c r="F21" i="40"/>
  <c r="J21" i="40"/>
  <c r="W21" i="40"/>
  <c r="H42" i="39"/>
  <c r="AB42" i="39" s="1"/>
  <c r="J34" i="39"/>
  <c r="AC34" i="39" s="1"/>
  <c r="F100" i="39"/>
  <c r="H27" i="39"/>
  <c r="J19" i="39"/>
  <c r="AC19" i="39" s="1"/>
  <c r="J17" i="39"/>
  <c r="J27" i="39"/>
  <c r="AC27" i="39"/>
  <c r="F27" i="39"/>
  <c r="F11" i="21"/>
  <c r="S11" i="21" s="1"/>
  <c r="U34" i="21"/>
  <c r="C27" i="39"/>
  <c r="C21" i="39"/>
  <c r="H11" i="39"/>
  <c r="S40" i="39"/>
  <c r="C15" i="39"/>
  <c r="H32" i="33"/>
  <c r="AB32" i="33" s="1"/>
  <c r="H11" i="21"/>
  <c r="U11" i="21" s="1"/>
  <c r="J11" i="21"/>
  <c r="W11" i="21" s="1"/>
  <c r="H37" i="40"/>
  <c r="H36" i="40"/>
  <c r="AB36" i="40"/>
  <c r="F35" i="40"/>
  <c r="AA35" i="40" s="1"/>
  <c r="H23" i="40"/>
  <c r="U23" i="40" s="1"/>
  <c r="H17" i="40"/>
  <c r="U17" i="40" s="1"/>
  <c r="J15" i="40"/>
  <c r="W15" i="40"/>
  <c r="J11" i="40"/>
  <c r="W11" i="40" s="1"/>
  <c r="AB8" i="39"/>
  <c r="AC12" i="34"/>
  <c r="AB12" i="36"/>
  <c r="W32" i="40"/>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AA12" i="36" s="1"/>
  <c r="F24" i="36"/>
  <c r="AA24" i="36" s="1"/>
  <c r="F34" i="36"/>
  <c r="S34" i="36"/>
  <c r="F14" i="35"/>
  <c r="AA14" i="35" s="1"/>
  <c r="F23" i="35"/>
  <c r="AA23" i="35" s="1"/>
  <c r="J32" i="35"/>
  <c r="AC32" i="35" s="1"/>
  <c r="J16" i="35"/>
  <c r="AC16" i="35"/>
  <c r="H16" i="35"/>
  <c r="U16" i="35"/>
  <c r="F16" i="35"/>
  <c r="S16" i="35"/>
  <c r="H14" i="35"/>
  <c r="AB14" i="35"/>
  <c r="J29" i="35"/>
  <c r="H33" i="35"/>
  <c r="J20" i="35"/>
  <c r="W20" i="35" s="1"/>
  <c r="F35" i="37"/>
  <c r="S35" i="37"/>
  <c r="E101" i="37"/>
  <c r="F101" i="37" s="1"/>
  <c r="G101" i="37"/>
  <c r="H101" i="37" s="1"/>
  <c r="I101" i="37" s="1"/>
  <c r="J101" i="37" s="1"/>
  <c r="K101" i="37" s="1"/>
  <c r="L101" i="37" s="1"/>
  <c r="M101" i="37" s="1"/>
  <c r="J34" i="37"/>
  <c r="W34" i="37"/>
  <c r="AB34" i="37"/>
  <c r="J33" i="37"/>
  <c r="AC33" i="37" s="1"/>
  <c r="U42" i="34"/>
  <c r="H40" i="34"/>
  <c r="U40" i="34" s="1"/>
  <c r="H36" i="34"/>
  <c r="U36" i="34" s="1"/>
  <c r="F37" i="34"/>
  <c r="AA37" i="34" s="1"/>
  <c r="S35" i="34"/>
  <c r="F28" i="34"/>
  <c r="F27" i="34"/>
  <c r="AA27" i="34" s="1"/>
  <c r="F25" i="34"/>
  <c r="S25" i="34"/>
  <c r="H23" i="34"/>
  <c r="U23" i="34" s="1"/>
  <c r="J23" i="34"/>
  <c r="F19" i="34"/>
  <c r="H17" i="34"/>
  <c r="F15" i="34"/>
  <c r="AA15" i="34" s="1"/>
  <c r="J15" i="34"/>
  <c r="H15" i="34"/>
  <c r="AB15" i="34" s="1"/>
  <c r="W8" i="34"/>
  <c r="J28" i="34"/>
  <c r="W28" i="34"/>
  <c r="F41" i="33"/>
  <c r="AA41" i="33"/>
  <c r="S38" i="33"/>
  <c r="E113" i="33"/>
  <c r="F113" i="33" s="1"/>
  <c r="G113" i="33" s="1"/>
  <c r="H113" i="33" s="1"/>
  <c r="I113" i="33" s="1"/>
  <c r="J113" i="33" s="1"/>
  <c r="K113" i="33" s="1"/>
  <c r="L113" i="33" s="1"/>
  <c r="M113" i="33" s="1"/>
  <c r="F32" i="33"/>
  <c r="AA32" i="33"/>
  <c r="J19" i="33"/>
  <c r="AC19" i="33"/>
  <c r="J15" i="33"/>
  <c r="AC15" i="33"/>
  <c r="F11" i="33"/>
  <c r="AA11" i="33" s="1"/>
  <c r="F37" i="40"/>
  <c r="AA37" i="40" s="1"/>
  <c r="F36" i="40"/>
  <c r="AA36" i="40"/>
  <c r="H28" i="40"/>
  <c r="U28" i="40" s="1"/>
  <c r="F23" i="40"/>
  <c r="AA23" i="40"/>
  <c r="F17" i="40"/>
  <c r="AA17" i="40" s="1"/>
  <c r="J17" i="40"/>
  <c r="W17" i="40"/>
  <c r="F15" i="40"/>
  <c r="S15" i="40" s="1"/>
  <c r="H15" i="40"/>
  <c r="AB15" i="40"/>
  <c r="AC11" i="40"/>
  <c r="AB30" i="36"/>
  <c r="F29" i="35"/>
  <c r="H29" i="35"/>
  <c r="AB29" i="35" s="1"/>
  <c r="H33" i="37"/>
  <c r="AB33" i="37" s="1"/>
  <c r="F33" i="37"/>
  <c r="AA33" i="37" s="1"/>
  <c r="U34" i="37"/>
  <c r="J43" i="34"/>
  <c r="AB42" i="34"/>
  <c r="J40" i="34"/>
  <c r="F114" i="34"/>
  <c r="G114" i="34"/>
  <c r="H114" i="34" s="1"/>
  <c r="I114" i="34" s="1"/>
  <c r="J114" i="34" s="1"/>
  <c r="K114" i="34" s="1"/>
  <c r="L114" i="34" s="1"/>
  <c r="M114" i="34" s="1"/>
  <c r="H38" i="34"/>
  <c r="AB38" i="34"/>
  <c r="J36" i="34"/>
  <c r="W36" i="34" s="1"/>
  <c r="H37" i="34"/>
  <c r="U37" i="34" s="1"/>
  <c r="H25" i="34"/>
  <c r="AB25" i="34" s="1"/>
  <c r="J25" i="34"/>
  <c r="AC25" i="34"/>
  <c r="AB23" i="34"/>
  <c r="F23" i="34"/>
  <c r="AA23" i="34" s="1"/>
  <c r="J19" i="34"/>
  <c r="AC19" i="34"/>
  <c r="F17" i="34"/>
  <c r="AA17" i="34" s="1"/>
  <c r="J17" i="34"/>
  <c r="W17" i="34" s="1"/>
  <c r="S41" i="33"/>
  <c r="H37" i="33"/>
  <c r="AB37" i="33" s="1"/>
  <c r="H15" i="33"/>
  <c r="AB15" i="33" s="1"/>
  <c r="H11" i="33"/>
  <c r="F28" i="40"/>
  <c r="AA28" i="40"/>
  <c r="AA42" i="34"/>
  <c r="S42" i="34"/>
  <c r="AC38" i="34"/>
  <c r="AA38" i="34"/>
  <c r="J37" i="34"/>
  <c r="AC37" i="34" s="1"/>
  <c r="J11" i="33"/>
  <c r="W11" i="33" s="1"/>
  <c r="G123" i="21"/>
  <c r="H123" i="21" s="1"/>
  <c r="I123" i="21" s="1"/>
  <c r="J123" i="21" s="1"/>
  <c r="K123" i="21" s="1"/>
  <c r="L123" i="21" s="1"/>
  <c r="M123" i="21" s="1"/>
  <c r="J42" i="21"/>
  <c r="AC42" i="21" s="1"/>
  <c r="H42" i="21"/>
  <c r="U42" i="21"/>
  <c r="J44" i="34"/>
  <c r="F44" i="34"/>
  <c r="J10" i="35"/>
  <c r="AC10" i="35" s="1"/>
  <c r="BL587" i="3"/>
  <c r="J14" i="21"/>
  <c r="W14" i="21" s="1"/>
  <c r="F14" i="21"/>
  <c r="S14" i="21" s="1"/>
  <c r="H14" i="21"/>
  <c r="U14" i="21" s="1"/>
  <c r="H28" i="21"/>
  <c r="AB28" i="21"/>
  <c r="F28" i="21"/>
  <c r="AA28" i="21" s="1"/>
  <c r="J28" i="21"/>
  <c r="W28" i="21" s="1"/>
  <c r="H30" i="21"/>
  <c r="U30" i="21" s="1"/>
  <c r="F30" i="21"/>
  <c r="S30" i="21"/>
  <c r="J30" i="21"/>
  <c r="AC30" i="21" s="1"/>
  <c r="J44" i="21"/>
  <c r="H44" i="21"/>
  <c r="U44" i="21" s="1"/>
  <c r="F44" i="21"/>
  <c r="AA44" i="21" s="1"/>
  <c r="H46" i="21"/>
  <c r="U46" i="21" s="1"/>
  <c r="J46" i="21"/>
  <c r="W46" i="21" s="1"/>
  <c r="F46" i="21"/>
  <c r="AA46" i="21" s="1"/>
  <c r="E119" i="21"/>
  <c r="F119" i="21"/>
  <c r="G119" i="21" s="1"/>
  <c r="H119" i="21" s="1"/>
  <c r="I119" i="21" s="1"/>
  <c r="J119" i="21" s="1"/>
  <c r="K119" i="21" s="1"/>
  <c r="L119" i="21" s="1"/>
  <c r="M119" i="21" s="1"/>
  <c r="H26" i="33"/>
  <c r="H28" i="33"/>
  <c r="U28" i="33"/>
  <c r="F28" i="33"/>
  <c r="AA28" i="33" s="1"/>
  <c r="J28" i="33"/>
  <c r="W28" i="33"/>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H27" i="21"/>
  <c r="AB27" i="21" s="1"/>
  <c r="F27" i="21"/>
  <c r="AA27" i="21" s="1"/>
  <c r="J31" i="21"/>
  <c r="AC31" i="21"/>
  <c r="F31" i="21"/>
  <c r="S31" i="21" s="1"/>
  <c r="F45" i="21"/>
  <c r="AA45" i="21" s="1"/>
  <c r="F27" i="33"/>
  <c r="AA27" i="33" s="1"/>
  <c r="H13" i="33"/>
  <c r="U13" i="33" s="1"/>
  <c r="F13" i="33"/>
  <c r="S13" i="33" s="1"/>
  <c r="J29" i="33"/>
  <c r="H29" i="33"/>
  <c r="U29" i="33" s="1"/>
  <c r="J31" i="33"/>
  <c r="W31" i="33" s="1"/>
  <c r="H31" i="33"/>
  <c r="U31" i="33" s="1"/>
  <c r="F31" i="33"/>
  <c r="H45" i="33"/>
  <c r="J45" i="33"/>
  <c r="W45" i="33"/>
  <c r="F45" i="33"/>
  <c r="H30" i="34"/>
  <c r="F30" i="34"/>
  <c r="S30" i="34" s="1"/>
  <c r="J30" i="34"/>
  <c r="H32" i="34"/>
  <c r="J32" i="34"/>
  <c r="W32" i="34"/>
  <c r="H46" i="34"/>
  <c r="U46" i="34" s="1"/>
  <c r="F46" i="34"/>
  <c r="J46" i="34"/>
  <c r="H11" i="35"/>
  <c r="AB11" i="35" s="1"/>
  <c r="J11" i="35"/>
  <c r="W11" i="35" s="1"/>
  <c r="AC11" i="35"/>
  <c r="F11" i="35"/>
  <c r="S11" i="35" s="1"/>
  <c r="J26" i="36"/>
  <c r="W26" i="36" s="1"/>
  <c r="H28" i="36"/>
  <c r="U28" i="36" s="1"/>
  <c r="H32" i="36"/>
  <c r="AB32" i="36" s="1"/>
  <c r="J32" i="36"/>
  <c r="W32" i="36" s="1"/>
  <c r="H11" i="36"/>
  <c r="U11" i="36" s="1"/>
  <c r="H13" i="36"/>
  <c r="AB13" i="36" s="1"/>
  <c r="J13" i="36"/>
  <c r="F13" i="36"/>
  <c r="S13" i="36" s="1"/>
  <c r="E89" i="37"/>
  <c r="F89" i="37"/>
  <c r="G89" i="37"/>
  <c r="H89" i="37" s="1"/>
  <c r="I89" i="37" s="1"/>
  <c r="J89" i="37" s="1"/>
  <c r="K89" i="37" s="1"/>
  <c r="L89" i="37" s="1"/>
  <c r="M89" i="37" s="1"/>
  <c r="J29" i="37"/>
  <c r="W29" i="37"/>
  <c r="F29" i="37"/>
  <c r="S29" i="37" s="1"/>
  <c r="F105" i="37"/>
  <c r="G105" i="37" s="1"/>
  <c r="H36" i="37"/>
  <c r="AB36" i="37" s="1"/>
  <c r="J37" i="37"/>
  <c r="AC37" i="37"/>
  <c r="H37" i="37"/>
  <c r="U37" i="37" s="1"/>
  <c r="H40" i="37"/>
  <c r="U40" i="37" s="1"/>
  <c r="J40" i="37"/>
  <c r="AC40" i="37" s="1"/>
  <c r="F40" i="37"/>
  <c r="AA40" i="37" s="1"/>
  <c r="H14" i="33"/>
  <c r="U14" i="33" s="1"/>
  <c r="F14" i="33"/>
  <c r="J14" i="33"/>
  <c r="H30" i="33"/>
  <c r="AB30" i="33" s="1"/>
  <c r="F30" i="33"/>
  <c r="J30" i="33"/>
  <c r="H44" i="33"/>
  <c r="J44" i="33"/>
  <c r="AC44" i="33" s="1"/>
  <c r="F44" i="33"/>
  <c r="J46" i="33"/>
  <c r="AC46" i="33" s="1"/>
  <c r="F46" i="33"/>
  <c r="AA46" i="33" s="1"/>
  <c r="H46" i="33"/>
  <c r="H13" i="34"/>
  <c r="U13" i="34" s="1"/>
  <c r="J13" i="34"/>
  <c r="W13" i="34" s="1"/>
  <c r="F13" i="34"/>
  <c r="AA13" i="34" s="1"/>
  <c r="J29" i="34"/>
  <c r="F29" i="34"/>
  <c r="S29" i="34" s="1"/>
  <c r="H29" i="34"/>
  <c r="AB29" i="34" s="1"/>
  <c r="J31" i="34"/>
  <c r="AC31" i="34" s="1"/>
  <c r="H31" i="34"/>
  <c r="AB31" i="34"/>
  <c r="F31" i="34"/>
  <c r="S31" i="34" s="1"/>
  <c r="H45" i="34"/>
  <c r="U45" i="34" s="1"/>
  <c r="J45" i="34"/>
  <c r="W45" i="34" s="1"/>
  <c r="F45" i="34"/>
  <c r="S45" i="34"/>
  <c r="H47" i="34"/>
  <c r="U47" i="34" s="1"/>
  <c r="F47" i="34"/>
  <c r="S47" i="34" s="1"/>
  <c r="J47" i="34"/>
  <c r="AC47" i="34" s="1"/>
  <c r="F13" i="35"/>
  <c r="AA13" i="35" s="1"/>
  <c r="J13" i="35"/>
  <c r="AC13" i="35" s="1"/>
  <c r="H13" i="35"/>
  <c r="U13" i="35" s="1"/>
  <c r="J25" i="35"/>
  <c r="W25" i="35" s="1"/>
  <c r="F25" i="35"/>
  <c r="S25" i="35"/>
  <c r="H25" i="35"/>
  <c r="AB25" i="35" s="1"/>
  <c r="J35" i="35"/>
  <c r="AC35" i="35" s="1"/>
  <c r="F35" i="35"/>
  <c r="AA35" i="35" s="1"/>
  <c r="H35" i="35"/>
  <c r="U35" i="35" s="1"/>
  <c r="AB35" i="35"/>
  <c r="J25" i="36"/>
  <c r="W25" i="36" s="1"/>
  <c r="F25" i="36"/>
  <c r="S25" i="36" s="1"/>
  <c r="H25" i="36"/>
  <c r="AB25" i="36" s="1"/>
  <c r="H13" i="37"/>
  <c r="AB13" i="37" s="1"/>
  <c r="F13" i="37"/>
  <c r="S13" i="37" s="1"/>
  <c r="J13" i="37"/>
  <c r="W13" i="37" s="1"/>
  <c r="F28" i="37"/>
  <c r="AA28" i="37"/>
  <c r="J28" i="37"/>
  <c r="AC28" i="37" s="1"/>
  <c r="H28" i="37"/>
  <c r="U28" i="37" s="1"/>
  <c r="H38" i="37"/>
  <c r="AB38" i="37" s="1"/>
  <c r="J38" i="37"/>
  <c r="AC38" i="37"/>
  <c r="F38" i="37"/>
  <c r="S38" i="37" s="1"/>
  <c r="F43" i="39"/>
  <c r="AA43" i="39" s="1"/>
  <c r="H43" i="39"/>
  <c r="H12" i="40"/>
  <c r="AB12" i="40"/>
  <c r="H30" i="40"/>
  <c r="AB30" i="40"/>
  <c r="F33" i="40"/>
  <c r="AA33" i="40"/>
  <c r="U33" i="40"/>
  <c r="J35" i="40"/>
  <c r="J37" i="40"/>
  <c r="AC37" i="40"/>
  <c r="H13" i="40"/>
  <c r="U13" i="40" s="1"/>
  <c r="W13" i="40"/>
  <c r="F13" i="40"/>
  <c r="AA13" i="40"/>
  <c r="F14" i="37"/>
  <c r="AA14" i="37" s="1"/>
  <c r="S14" i="37"/>
  <c r="F27" i="37"/>
  <c r="AA27" i="37" s="1"/>
  <c r="J13" i="39"/>
  <c r="W13" i="39" s="1"/>
  <c r="H13" i="39"/>
  <c r="H14" i="40"/>
  <c r="AB14" i="40" s="1"/>
  <c r="J14" i="40"/>
  <c r="W14" i="40" s="1"/>
  <c r="F14" i="40"/>
  <c r="J14" i="37"/>
  <c r="AC14" i="37" s="1"/>
  <c r="J27" i="37"/>
  <c r="AC27" i="37" s="1"/>
  <c r="U31" i="34"/>
  <c r="J36" i="37"/>
  <c r="AC36" i="37" s="1"/>
  <c r="J10" i="36"/>
  <c r="AC10" i="36" s="1"/>
  <c r="AB30" i="21"/>
  <c r="AC13" i="36"/>
  <c r="W13" i="36"/>
  <c r="AB46" i="34"/>
  <c r="AB31" i="33"/>
  <c r="AC28" i="21"/>
  <c r="BA586" i="3"/>
  <c r="F17" i="21"/>
  <c r="AA17" i="21" s="1"/>
  <c r="H17" i="21"/>
  <c r="AB17" i="21" s="1"/>
  <c r="F15" i="21"/>
  <c r="S15" i="21" s="1"/>
  <c r="J41" i="39"/>
  <c r="W41" i="39" s="1"/>
  <c r="W36" i="39"/>
  <c r="W35" i="39"/>
  <c r="S35" i="39"/>
  <c r="G540" i="3"/>
  <c r="G532" i="3"/>
  <c r="G531" i="3"/>
  <c r="G527" i="3"/>
  <c r="G518" i="3"/>
  <c r="G508" i="3"/>
  <c r="G504" i="3"/>
  <c r="G496" i="3"/>
  <c r="G584" i="3"/>
  <c r="G580" i="3"/>
  <c r="G572" i="3"/>
  <c r="G568" i="3"/>
  <c r="G564" i="3"/>
  <c r="G550" i="3"/>
  <c r="BL584" i="3"/>
  <c r="BL572" i="3"/>
  <c r="BL568" i="3"/>
  <c r="BL534" i="3"/>
  <c r="BL578" i="3"/>
  <c r="BL570" i="3"/>
  <c r="BL562" i="3"/>
  <c r="G533" i="3"/>
  <c r="G529" i="3"/>
  <c r="BL528" i="3"/>
  <c r="G525" i="3"/>
  <c r="BA582" i="3"/>
  <c r="BA574" i="3"/>
  <c r="AZ574" i="3" s="1"/>
  <c r="BA572" i="3"/>
  <c r="BA570" i="3"/>
  <c r="BA564" i="3"/>
  <c r="AZ564" i="3" s="1"/>
  <c r="AZ562" i="3"/>
  <c r="BA552" i="3"/>
  <c r="AZ552" i="3" s="1"/>
  <c r="BA546" i="3"/>
  <c r="BA526" i="3"/>
  <c r="BA583" i="3"/>
  <c r="BA575" i="3"/>
  <c r="AZ575" i="3" s="1"/>
  <c r="BA569" i="3"/>
  <c r="AZ569" i="3" s="1"/>
  <c r="BA567" i="3"/>
  <c r="AZ567" i="3" s="1"/>
  <c r="BA549" i="3"/>
  <c r="BA543" i="3"/>
  <c r="BA527" i="3"/>
  <c r="G583" i="3"/>
  <c r="G581" i="3"/>
  <c r="G577" i="3"/>
  <c r="G575" i="3"/>
  <c r="G573" i="3"/>
  <c r="G571" i="3"/>
  <c r="G561" i="3"/>
  <c r="BA557" i="3"/>
  <c r="AZ557" i="3" s="1"/>
  <c r="AC557" i="3"/>
  <c r="G557" i="3" s="1"/>
  <c r="BQ557" i="3"/>
  <c r="BQ583" i="3"/>
  <c r="BL583" i="3"/>
  <c r="BQ581" i="3"/>
  <c r="BQ579" i="3"/>
  <c r="BQ577" i="3"/>
  <c r="BQ575" i="3"/>
  <c r="BL575" i="3"/>
  <c r="BQ573" i="3"/>
  <c r="BQ571" i="3"/>
  <c r="BL571" i="3" s="1"/>
  <c r="AZ571" i="3" s="1"/>
  <c r="BQ569" i="3"/>
  <c r="BL569" i="3"/>
  <c r="BQ567" i="3"/>
  <c r="BQ565" i="3"/>
  <c r="BL565" i="3"/>
  <c r="BQ563" i="3"/>
  <c r="BL563" i="3" s="1"/>
  <c r="BQ561" i="3"/>
  <c r="BQ559" i="3"/>
  <c r="BL559" i="3"/>
  <c r="G559" i="3"/>
  <c r="G555" i="3"/>
  <c r="G549" i="3"/>
  <c r="G547" i="3"/>
  <c r="G545" i="3"/>
  <c r="G541" i="3"/>
  <c r="G537" i="3"/>
  <c r="BQ555" i="3"/>
  <c r="BQ553" i="3"/>
  <c r="BL553" i="3" s="1"/>
  <c r="BQ551" i="3"/>
  <c r="BL551" i="3"/>
  <c r="BQ549" i="3"/>
  <c r="BQ547" i="3"/>
  <c r="BQ545" i="3"/>
  <c r="BL545" i="3"/>
  <c r="BQ543" i="3"/>
  <c r="BQ541" i="3"/>
  <c r="BL541" i="3" s="1"/>
  <c r="BQ539" i="3"/>
  <c r="BL539" i="3"/>
  <c r="BQ537" i="3"/>
  <c r="BQ535" i="3"/>
  <c r="BQ533" i="3"/>
  <c r="BQ531" i="3"/>
  <c r="BQ529" i="3"/>
  <c r="BL529" i="3"/>
  <c r="BQ527" i="3"/>
  <c r="BQ525" i="3"/>
  <c r="BQ523" i="3"/>
  <c r="AC521" i="3"/>
  <c r="G521" i="3"/>
  <c r="BQ521" i="3"/>
  <c r="G517" i="3"/>
  <c r="G515" i="3"/>
  <c r="G513" i="3"/>
  <c r="G511" i="3"/>
  <c r="BQ519" i="3"/>
  <c r="BQ517" i="3"/>
  <c r="BQ515" i="3"/>
  <c r="BQ513" i="3"/>
  <c r="BQ511" i="3"/>
  <c r="AC509" i="3"/>
  <c r="BQ509" i="3"/>
  <c r="G507" i="3"/>
  <c r="G505" i="3"/>
  <c r="G503" i="3"/>
  <c r="G501" i="3"/>
  <c r="G499" i="3"/>
  <c r="G497" i="3"/>
  <c r="BQ507" i="3"/>
  <c r="BQ505" i="3"/>
  <c r="BQ503" i="3"/>
  <c r="BQ501" i="3"/>
  <c r="BQ499" i="3"/>
  <c r="BL499" i="3" s="1"/>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c r="J25" i="21"/>
  <c r="AC25" i="21"/>
  <c r="E125" i="33"/>
  <c r="F125" i="33"/>
  <c r="G125" i="33" s="1"/>
  <c r="H43" i="33"/>
  <c r="AB43" i="33" s="1"/>
  <c r="H17" i="37"/>
  <c r="U17" i="37"/>
  <c r="AB27" i="37"/>
  <c r="U32" i="33"/>
  <c r="AA36" i="39"/>
  <c r="F39" i="33"/>
  <c r="S39" i="33" s="1"/>
  <c r="E123" i="33"/>
  <c r="F42" i="33"/>
  <c r="AA42" i="33"/>
  <c r="H28" i="34"/>
  <c r="AB28" i="34"/>
  <c r="F14" i="36"/>
  <c r="AA14" i="36"/>
  <c r="F22" i="36"/>
  <c r="F26" i="36"/>
  <c r="S26" i="36"/>
  <c r="H27" i="34"/>
  <c r="AB27" i="34"/>
  <c r="H35" i="34"/>
  <c r="U35" i="34"/>
  <c r="F41" i="34"/>
  <c r="S41" i="34" s="1"/>
  <c r="H41" i="34"/>
  <c r="U41" i="34"/>
  <c r="J41" i="34"/>
  <c r="AC41" i="34"/>
  <c r="F10" i="35"/>
  <c r="S10" i="35" s="1"/>
  <c r="H23" i="37"/>
  <c r="AB23" i="37" s="1"/>
  <c r="J32" i="37"/>
  <c r="AC32" i="37" s="1"/>
  <c r="F36" i="37"/>
  <c r="S36" i="37" s="1"/>
  <c r="AA36" i="37"/>
  <c r="F37" i="37"/>
  <c r="AA37" i="37" s="1"/>
  <c r="F31" i="40"/>
  <c r="AA31" i="40" s="1"/>
  <c r="H31" i="40"/>
  <c r="U31" i="40" s="1"/>
  <c r="F32" i="40"/>
  <c r="S32" i="40"/>
  <c r="H32" i="40"/>
  <c r="AB32" i="40" s="1"/>
  <c r="J36" i="40"/>
  <c r="W36" i="40" s="1"/>
  <c r="AA41" i="34"/>
  <c r="H19" i="37"/>
  <c r="AB19" i="37"/>
  <c r="F123" i="33"/>
  <c r="G123" i="33" s="1"/>
  <c r="H123" i="33" s="1"/>
  <c r="I123" i="33" s="1"/>
  <c r="J123" i="33" s="1"/>
  <c r="K123" i="33" s="1"/>
  <c r="L123" i="33" s="1"/>
  <c r="M123" i="33" s="1"/>
  <c r="H42" i="33"/>
  <c r="AB42" i="33"/>
  <c r="J43" i="33"/>
  <c r="AC43" i="33" s="1"/>
  <c r="S28" i="31"/>
  <c r="S27" i="31"/>
  <c r="S26" i="31"/>
  <c r="U14" i="40"/>
  <c r="W23" i="35"/>
  <c r="W14" i="37"/>
  <c r="AB28" i="37"/>
  <c r="U33" i="37"/>
  <c r="U39" i="37"/>
  <c r="W26" i="37"/>
  <c r="U26" i="37"/>
  <c r="AC36" i="34"/>
  <c r="AA13" i="33"/>
  <c r="AC31" i="33"/>
  <c r="AC45" i="33"/>
  <c r="W44" i="33"/>
  <c r="U19" i="21"/>
  <c r="U26" i="21"/>
  <c r="AC46" i="21"/>
  <c r="AB38" i="21"/>
  <c r="F43" i="33"/>
  <c r="AA43" i="33" s="1"/>
  <c r="W16" i="35"/>
  <c r="W40" i="37"/>
  <c r="G107" i="37"/>
  <c r="H107" i="37" s="1"/>
  <c r="I107" i="37" s="1"/>
  <c r="J107" i="37" s="1"/>
  <c r="K107" i="37" s="1"/>
  <c r="L107" i="37" s="1"/>
  <c r="M107" i="37" s="1"/>
  <c r="H37" i="21"/>
  <c r="U37" i="21" s="1"/>
  <c r="S42" i="21"/>
  <c r="H19" i="34"/>
  <c r="AB19" i="34" s="1"/>
  <c r="F36" i="35"/>
  <c r="S36" i="35"/>
  <c r="H9" i="37"/>
  <c r="U9" i="37" s="1"/>
  <c r="F9" i="37"/>
  <c r="S9" i="37" s="1"/>
  <c r="J12" i="37"/>
  <c r="H12" i="37"/>
  <c r="AB12" i="37" s="1"/>
  <c r="F12" i="37"/>
  <c r="S12" i="37" s="1"/>
  <c r="E71" i="37"/>
  <c r="F15" i="37"/>
  <c r="AA15" i="37" s="1"/>
  <c r="E94" i="37"/>
  <c r="F94" i="37" s="1"/>
  <c r="F31" i="37"/>
  <c r="S31" i="37" s="1"/>
  <c r="F12" i="39"/>
  <c r="S12" i="39" s="1"/>
  <c r="J42" i="39"/>
  <c r="AC42" i="39" s="1"/>
  <c r="H21" i="40"/>
  <c r="AB21" i="40"/>
  <c r="G94" i="37"/>
  <c r="H94" i="37" s="1"/>
  <c r="I94" i="37" s="1"/>
  <c r="J94" i="37" s="1"/>
  <c r="K94" i="37" s="1"/>
  <c r="L94" i="37" s="1"/>
  <c r="M94" i="37" s="1"/>
  <c r="H31" i="37"/>
  <c r="U31" i="37" s="1"/>
  <c r="F71" i="37"/>
  <c r="G71" i="37"/>
  <c r="J15" i="37"/>
  <c r="AT6" i="3"/>
  <c r="AA25" i="21"/>
  <c r="H19" i="40"/>
  <c r="AB19" i="40" s="1"/>
  <c r="U19" i="40"/>
  <c r="F88" i="40"/>
  <c r="G88" i="40" s="1"/>
  <c r="F19" i="40"/>
  <c r="S19" i="40"/>
  <c r="AC13" i="40"/>
  <c r="AB33" i="40"/>
  <c r="W23" i="39"/>
  <c r="AC43" i="39"/>
  <c r="W43" i="39"/>
  <c r="G100" i="39"/>
  <c r="H37" i="39"/>
  <c r="AB37" i="39"/>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C7" i="34"/>
  <c r="C7" i="36"/>
  <c r="A118" i="9"/>
  <c r="J11" i="39"/>
  <c r="W11" i="39"/>
  <c r="F11" i="39"/>
  <c r="AA11" i="39"/>
  <c r="S11" i="39"/>
  <c r="G4" i="4"/>
  <c r="I4" i="4"/>
  <c r="F61" i="43"/>
  <c r="H64" i="43" s="1"/>
  <c r="AZ20" i="3"/>
  <c r="AZ32" i="3"/>
  <c r="BL549" i="3"/>
  <c r="AZ549" i="3" s="1"/>
  <c r="AZ546" i="3"/>
  <c r="G546" i="3"/>
  <c r="G524" i="3"/>
  <c r="G303" i="3"/>
  <c r="BL304" i="3"/>
  <c r="G305" i="3"/>
  <c r="BL306" i="3"/>
  <c r="BA308" i="3"/>
  <c r="AZ308" i="3" s="1"/>
  <c r="BA309" i="3"/>
  <c r="BL309" i="3"/>
  <c r="G310" i="3"/>
  <c r="BA311" i="3"/>
  <c r="AZ311" i="3" s="1"/>
  <c r="G319" i="3"/>
  <c r="BL320" i="3"/>
  <c r="G321" i="3"/>
  <c r="BL322" i="3"/>
  <c r="BA324" i="3"/>
  <c r="AZ324" i="3"/>
  <c r="BA325" i="3"/>
  <c r="BL325" i="3"/>
  <c r="AZ325" i="3" s="1"/>
  <c r="G326" i="3"/>
  <c r="BA327" i="3"/>
  <c r="G335" i="3"/>
  <c r="BL336" i="3"/>
  <c r="G337" i="3"/>
  <c r="BL338" i="3"/>
  <c r="BA340" i="3"/>
  <c r="AZ340" i="3"/>
  <c r="BA341" i="3"/>
  <c r="BL341" i="3"/>
  <c r="BA343" i="3"/>
  <c r="AZ343" i="3" s="1"/>
  <c r="BA345" i="3"/>
  <c r="BL355" i="3"/>
  <c r="G356" i="3"/>
  <c r="BL357" i="3"/>
  <c r="BA359" i="3"/>
  <c r="AZ359" i="3" s="1"/>
  <c r="BA360" i="3"/>
  <c r="BL360" i="3"/>
  <c r="G361" i="3"/>
  <c r="BA362" i="3"/>
  <c r="G370" i="3"/>
  <c r="BL371" i="3"/>
  <c r="G372" i="3"/>
  <c r="BL373" i="3"/>
  <c r="AZ373" i="3" s="1"/>
  <c r="BA375" i="3"/>
  <c r="AZ375" i="3"/>
  <c r="BA376" i="3"/>
  <c r="AZ376" i="3" s="1"/>
  <c r="BL376" i="3"/>
  <c r="G377" i="3"/>
  <c r="BA378" i="3"/>
  <c r="AZ378" i="3" s="1"/>
  <c r="BL378" i="3"/>
  <c r="G379" i="3"/>
  <c r="BA380" i="3"/>
  <c r="G388" i="3"/>
  <c r="BL389" i="3"/>
  <c r="G390" i="3"/>
  <c r="BL391" i="3"/>
  <c r="AZ391" i="3" s="1"/>
  <c r="BA393" i="3"/>
  <c r="AZ393" i="3"/>
  <c r="BA394" i="3"/>
  <c r="AZ394" i="3" s="1"/>
  <c r="BL394" i="3"/>
  <c r="G113" i="3"/>
  <c r="BA115" i="3"/>
  <c r="AZ115" i="3" s="1"/>
  <c r="BL116" i="3"/>
  <c r="AZ116" i="3" s="1"/>
  <c r="G117" i="3"/>
  <c r="BA119" i="3"/>
  <c r="AZ119" i="3" s="1"/>
  <c r="BL120" i="3"/>
  <c r="AZ120" i="3" s="1"/>
  <c r="G121" i="3"/>
  <c r="BA123" i="3"/>
  <c r="BL124" i="3"/>
  <c r="G125" i="3"/>
  <c r="BA127" i="3"/>
  <c r="AZ127" i="3"/>
  <c r="BL128" i="3"/>
  <c r="G129" i="3"/>
  <c r="BA131" i="3"/>
  <c r="BL132" i="3"/>
  <c r="G133" i="3"/>
  <c r="BA135" i="3"/>
  <c r="AZ135" i="3"/>
  <c r="BL136" i="3"/>
  <c r="AZ136" i="3" s="1"/>
  <c r="G137" i="3"/>
  <c r="BA139" i="3"/>
  <c r="AZ139" i="3"/>
  <c r="BL140" i="3"/>
  <c r="G141" i="3"/>
  <c r="BA143" i="3"/>
  <c r="BL144" i="3"/>
  <c r="G145" i="3"/>
  <c r="BA147" i="3"/>
  <c r="AZ147" i="3" s="1"/>
  <c r="BL148" i="3"/>
  <c r="G149" i="3"/>
  <c r="BA151" i="3"/>
  <c r="AZ151" i="3"/>
  <c r="BL152" i="3"/>
  <c r="G153" i="3"/>
  <c r="BA155" i="3"/>
  <c r="BL156" i="3"/>
  <c r="AZ156" i="3" s="1"/>
  <c r="G157" i="3"/>
  <c r="BA159" i="3"/>
  <c r="AZ159" i="3" s="1"/>
  <c r="BL160" i="3"/>
  <c r="G161" i="3"/>
  <c r="BA163" i="3"/>
  <c r="AZ163" i="3"/>
  <c r="BL164" i="3"/>
  <c r="G165" i="3"/>
  <c r="BA167" i="3"/>
  <c r="BL168" i="3"/>
  <c r="G169" i="3"/>
  <c r="BA171" i="3"/>
  <c r="BL172" i="3"/>
  <c r="AZ172" i="3"/>
  <c r="G173" i="3"/>
  <c r="BA175" i="3"/>
  <c r="AZ175" i="3"/>
  <c r="BL176" i="3"/>
  <c r="AZ176" i="3" s="1"/>
  <c r="G177" i="3"/>
  <c r="BA179" i="3"/>
  <c r="AZ179" i="3" s="1"/>
  <c r="BL180" i="3"/>
  <c r="G181" i="3"/>
  <c r="BA183" i="3"/>
  <c r="AZ183" i="3" s="1"/>
  <c r="BL184" i="3"/>
  <c r="AZ184" i="3" s="1"/>
  <c r="G185" i="3"/>
  <c r="BA187" i="3"/>
  <c r="BL188" i="3"/>
  <c r="AZ188" i="3"/>
  <c r="G189" i="3"/>
  <c r="BA191" i="3"/>
  <c r="AZ191" i="3"/>
  <c r="BL192" i="3"/>
  <c r="G193" i="3"/>
  <c r="BA195" i="3"/>
  <c r="BL196" i="3"/>
  <c r="AZ196" i="3" s="1"/>
  <c r="G197" i="3"/>
  <c r="BA199" i="3"/>
  <c r="AZ199" i="3"/>
  <c r="BL200" i="3"/>
  <c r="AZ200" i="3" s="1"/>
  <c r="G201" i="3"/>
  <c r="BA203" i="3"/>
  <c r="BL204" i="3"/>
  <c r="AZ204" i="3"/>
  <c r="AZ39" i="3"/>
  <c r="AZ51" i="3"/>
  <c r="AZ55" i="3"/>
  <c r="AZ59" i="3"/>
  <c r="AZ71" i="3"/>
  <c r="AZ144" i="3"/>
  <c r="AZ97" i="3"/>
  <c r="AZ105" i="3"/>
  <c r="AZ128" i="3"/>
  <c r="G534" i="3"/>
  <c r="G530" i="3"/>
  <c r="G522" i="3"/>
  <c r="G506" i="3"/>
  <c r="G494" i="3"/>
  <c r="G16" i="3"/>
  <c r="G15" i="3"/>
  <c r="BA304" i="3"/>
  <c r="AZ304" i="3"/>
  <c r="BA305" i="3"/>
  <c r="AZ305" i="3"/>
  <c r="BL305" i="3"/>
  <c r="G306" i="3"/>
  <c r="G309" i="3"/>
  <c r="BL310" i="3"/>
  <c r="AZ310" i="3" s="1"/>
  <c r="BA312" i="3"/>
  <c r="AZ312" i="3"/>
  <c r="BA313" i="3"/>
  <c r="AZ313" i="3" s="1"/>
  <c r="BL313" i="3"/>
  <c r="G314" i="3"/>
  <c r="G317" i="3"/>
  <c r="BL318" i="3"/>
  <c r="AZ318" i="3" s="1"/>
  <c r="BA320" i="3"/>
  <c r="AZ320" i="3" s="1"/>
  <c r="BA321" i="3"/>
  <c r="AZ321" i="3"/>
  <c r="BL321" i="3"/>
  <c r="G322" i="3"/>
  <c r="G325" i="3"/>
  <c r="BL326" i="3"/>
  <c r="BA328" i="3"/>
  <c r="AZ328" i="3" s="1"/>
  <c r="BA329" i="3"/>
  <c r="AZ329" i="3" s="1"/>
  <c r="BL329" i="3"/>
  <c r="G330" i="3"/>
  <c r="G333" i="3"/>
  <c r="BL334" i="3"/>
  <c r="BA336" i="3"/>
  <c r="AZ336" i="3" s="1"/>
  <c r="BA337" i="3"/>
  <c r="AZ337" i="3"/>
  <c r="BL337" i="3"/>
  <c r="G338" i="3"/>
  <c r="G341" i="3"/>
  <c r="BA342" i="3"/>
  <c r="AZ342" i="3" s="1"/>
  <c r="BL342" i="3"/>
  <c r="BA344" i="3"/>
  <c r="BL344" i="3"/>
  <c r="BA346" i="3"/>
  <c r="AZ346" i="3" s="1"/>
  <c r="BA347" i="3"/>
  <c r="AZ347" i="3" s="1"/>
  <c r="BL347" i="3"/>
  <c r="G350" i="3"/>
  <c r="BA351" i="3"/>
  <c r="BL351" i="3"/>
  <c r="G352" i="3"/>
  <c r="G354" i="3"/>
  <c r="BA355" i="3"/>
  <c r="AZ355" i="3" s="1"/>
  <c r="BA356" i="3"/>
  <c r="BL356" i="3"/>
  <c r="G357" i="3"/>
  <c r="G360" i="3"/>
  <c r="BL361" i="3"/>
  <c r="AZ361" i="3" s="1"/>
  <c r="BA363" i="3"/>
  <c r="AZ363" i="3"/>
  <c r="BA364" i="3"/>
  <c r="BL364" i="3"/>
  <c r="G365" i="3"/>
  <c r="G368" i="3"/>
  <c r="BL369" i="3"/>
  <c r="BA371" i="3"/>
  <c r="AZ371" i="3" s="1"/>
  <c r="BA372" i="3"/>
  <c r="AZ372" i="3"/>
  <c r="BL372" i="3"/>
  <c r="G373" i="3"/>
  <c r="G376" i="3"/>
  <c r="BL377" i="3"/>
  <c r="BL379" i="3"/>
  <c r="BA381" i="3"/>
  <c r="BA382" i="3"/>
  <c r="AZ382" i="3" s="1"/>
  <c r="BL382" i="3"/>
  <c r="G383" i="3"/>
  <c r="G386" i="3"/>
  <c r="BL387" i="3"/>
  <c r="BA389" i="3"/>
  <c r="AZ389" i="3" s="1"/>
  <c r="BA390" i="3"/>
  <c r="BL390" i="3"/>
  <c r="G391" i="3"/>
  <c r="G394" i="3"/>
  <c r="AZ170" i="3"/>
  <c r="AZ182" i="3"/>
  <c r="AZ186" i="3"/>
  <c r="AZ194" i="3"/>
  <c r="BA16" i="3"/>
  <c r="AZ16" i="3"/>
  <c r="BL303" i="3"/>
  <c r="AZ303" i="3" s="1"/>
  <c r="G304" i="3"/>
  <c r="BA306" i="3"/>
  <c r="AZ306" i="3" s="1"/>
  <c r="BL307" i="3"/>
  <c r="AZ307" i="3" s="1"/>
  <c r="G308" i="3"/>
  <c r="BA310" i="3"/>
  <c r="BL311" i="3"/>
  <c r="G312" i="3"/>
  <c r="BA314" i="3"/>
  <c r="AZ314" i="3" s="1"/>
  <c r="BL315" i="3"/>
  <c r="G316" i="3"/>
  <c r="BA318" i="3"/>
  <c r="BL319" i="3"/>
  <c r="G320" i="3"/>
  <c r="BA322" i="3"/>
  <c r="AZ322" i="3"/>
  <c r="BL323" i="3"/>
  <c r="AZ323" i="3"/>
  <c r="G324" i="3"/>
  <c r="BA326" i="3"/>
  <c r="BL327" i="3"/>
  <c r="AZ327" i="3"/>
  <c r="G328" i="3"/>
  <c r="BA330" i="3"/>
  <c r="AZ330" i="3" s="1"/>
  <c r="BL331" i="3"/>
  <c r="G332" i="3"/>
  <c r="BA334" i="3"/>
  <c r="AZ334" i="3" s="1"/>
  <c r="BL335" i="3"/>
  <c r="G336" i="3"/>
  <c r="BA338" i="3"/>
  <c r="BL339" i="3"/>
  <c r="AZ339" i="3" s="1"/>
  <c r="G340" i="3"/>
  <c r="BL343" i="3"/>
  <c r="G344" i="3"/>
  <c r="G348" i="3"/>
  <c r="G355" i="3"/>
  <c r="AZ218" i="3"/>
  <c r="AZ319" i="3"/>
  <c r="AZ335" i="3"/>
  <c r="G342" i="3"/>
  <c r="BL345" i="3"/>
  <c r="AZ345" i="3"/>
  <c r="G346" i="3"/>
  <c r="BL349" i="3"/>
  <c r="BL352" i="3"/>
  <c r="AZ352" i="3" s="1"/>
  <c r="G353" i="3"/>
  <c r="BA357" i="3"/>
  <c r="AZ357" i="3"/>
  <c r="BL358" i="3"/>
  <c r="AZ358" i="3"/>
  <c r="G359" i="3"/>
  <c r="BA361" i="3"/>
  <c r="BL362" i="3"/>
  <c r="G363" i="3"/>
  <c r="BA365" i="3"/>
  <c r="AZ365" i="3" s="1"/>
  <c r="BL366" i="3"/>
  <c r="G367" i="3"/>
  <c r="BA369" i="3"/>
  <c r="AZ369" i="3"/>
  <c r="BL370" i="3"/>
  <c r="G371" i="3"/>
  <c r="BA373" i="3"/>
  <c r="BL374" i="3"/>
  <c r="AZ374" i="3"/>
  <c r="G375" i="3"/>
  <c r="BA377" i="3"/>
  <c r="AZ377" i="3" s="1"/>
  <c r="AZ229" i="3"/>
  <c r="AZ237" i="3"/>
  <c r="AZ249" i="3"/>
  <c r="AZ253" i="3"/>
  <c r="AZ261" i="3"/>
  <c r="AZ269" i="3"/>
  <c r="AZ370" i="3"/>
  <c r="BA379" i="3"/>
  <c r="AZ379" i="3" s="1"/>
  <c r="BL380" i="3"/>
  <c r="G381" i="3"/>
  <c r="BA383" i="3"/>
  <c r="BL384" i="3"/>
  <c r="AZ384" i="3" s="1"/>
  <c r="G385" i="3"/>
  <c r="BA387" i="3"/>
  <c r="AZ387" i="3" s="1"/>
  <c r="BL388" i="3"/>
  <c r="G389" i="3"/>
  <c r="BA391" i="3"/>
  <c r="BL392" i="3"/>
  <c r="G393" i="3"/>
  <c r="AZ291" i="3"/>
  <c r="AZ299" i="3"/>
  <c r="BD5" i="3"/>
  <c r="AZ317" i="3"/>
  <c r="AZ333" i="3"/>
  <c r="AZ341" i="3"/>
  <c r="G548" i="3"/>
  <c r="G538" i="3"/>
  <c r="G520" i="3"/>
  <c r="G17" i="3"/>
  <c r="BA17" i="3"/>
  <c r="AZ356" i="3"/>
  <c r="AZ360" i="3"/>
  <c r="AZ364" i="3"/>
  <c r="BA15" i="3"/>
  <c r="AZ380" i="3"/>
  <c r="AZ388" i="3"/>
  <c r="AZ390" i="3"/>
  <c r="U36" i="40"/>
  <c r="F83" i="43"/>
  <c r="H85" i="43" s="1"/>
  <c r="F50" i="43"/>
  <c r="H54" i="43" s="1"/>
  <c r="F72" i="43"/>
  <c r="H75" i="43" s="1"/>
  <c r="U17" i="39"/>
  <c r="S14" i="35"/>
  <c r="U43" i="21"/>
  <c r="U35" i="21"/>
  <c r="AC35" i="21"/>
  <c r="G8" i="1"/>
  <c r="G10" i="1"/>
  <c r="AC11" i="39"/>
  <c r="AZ563" i="3"/>
  <c r="W37" i="37"/>
  <c r="W44" i="34"/>
  <c r="AC44" i="34"/>
  <c r="S15" i="37"/>
  <c r="U13" i="37"/>
  <c r="U12" i="40"/>
  <c r="J37" i="33"/>
  <c r="W37" i="33" s="1"/>
  <c r="AC17" i="34"/>
  <c r="G106" i="33"/>
  <c r="H106" i="33" s="1"/>
  <c r="I106" i="33" s="1"/>
  <c r="J106" i="33" s="1"/>
  <c r="K106" i="33" s="1"/>
  <c r="L106" i="33" s="1"/>
  <c r="M106" i="33" s="1"/>
  <c r="J34" i="33"/>
  <c r="W34" i="33"/>
  <c r="F33" i="34"/>
  <c r="S33" i="34"/>
  <c r="W12" i="36"/>
  <c r="AC12" i="36"/>
  <c r="H20" i="36"/>
  <c r="U20" i="36"/>
  <c r="J20" i="36"/>
  <c r="W20" i="36"/>
  <c r="W24" i="36"/>
  <c r="J27" i="36"/>
  <c r="W27" i="36" s="1"/>
  <c r="AB25" i="37"/>
  <c r="AC33" i="40"/>
  <c r="G111" i="40"/>
  <c r="H111" i="40" s="1"/>
  <c r="I111" i="40"/>
  <c r="J111" i="40" s="1"/>
  <c r="K111" i="40" s="1"/>
  <c r="L111" i="40" s="1"/>
  <c r="M111" i="40" s="1"/>
  <c r="H35" i="40"/>
  <c r="AB35" i="40"/>
  <c r="AC29" i="35"/>
  <c r="W29" i="35"/>
  <c r="H35" i="37"/>
  <c r="U35" i="37"/>
  <c r="AC14" i="35"/>
  <c r="H20" i="35"/>
  <c r="F20" i="35"/>
  <c r="AA20" i="35" s="1"/>
  <c r="AB23" i="35"/>
  <c r="AB29" i="36"/>
  <c r="U29" i="36"/>
  <c r="H32" i="37"/>
  <c r="U32" i="37" s="1"/>
  <c r="AB32" i="37"/>
  <c r="F96" i="37"/>
  <c r="H27" i="40"/>
  <c r="U27" i="40" s="1"/>
  <c r="J27" i="40"/>
  <c r="AC27" i="40" s="1"/>
  <c r="F27" i="40"/>
  <c r="AA27" i="40" s="1"/>
  <c r="J30" i="40"/>
  <c r="AC30" i="40" s="1"/>
  <c r="F30" i="40"/>
  <c r="AA30" i="40" s="1"/>
  <c r="AC21" i="40"/>
  <c r="S11" i="40"/>
  <c r="E98" i="40"/>
  <c r="F98" i="40"/>
  <c r="G98" i="40" s="1"/>
  <c r="H98" i="40" s="1"/>
  <c r="I98" i="40" s="1"/>
  <c r="J98" i="40" s="1"/>
  <c r="K98" i="40" s="1"/>
  <c r="L98" i="40" s="1"/>
  <c r="M98" i="40" s="1"/>
  <c r="F10" i="33"/>
  <c r="S10" i="33" s="1"/>
  <c r="F34" i="33"/>
  <c r="S34" i="33"/>
  <c r="H34" i="33"/>
  <c r="U34" i="33"/>
  <c r="F35" i="33"/>
  <c r="AA35" i="33" s="1"/>
  <c r="S35" i="33"/>
  <c r="F39" i="34"/>
  <c r="AA39" i="34" s="1"/>
  <c r="J39" i="34"/>
  <c r="W39" i="34"/>
  <c r="F40" i="34"/>
  <c r="S40" i="34"/>
  <c r="F43" i="34"/>
  <c r="AA43" i="34"/>
  <c r="H44" i="34"/>
  <c r="AB44" i="34" s="1"/>
  <c r="AC38" i="39"/>
  <c r="F39" i="39"/>
  <c r="J39" i="39"/>
  <c r="AC39" i="39" s="1"/>
  <c r="E96" i="39"/>
  <c r="F96" i="39" s="1"/>
  <c r="G96" i="39" s="1"/>
  <c r="AZ353" i="3"/>
  <c r="AZ354" i="3"/>
  <c r="C40" i="11"/>
  <c r="AZ215" i="3"/>
  <c r="AZ232" i="3"/>
  <c r="AZ243" i="3"/>
  <c r="AZ251" i="3"/>
  <c r="AZ256" i="3"/>
  <c r="AZ268" i="3"/>
  <c r="AZ288" i="3"/>
  <c r="AZ296" i="3"/>
  <c r="AZ117" i="3"/>
  <c r="AZ21" i="3"/>
  <c r="AZ45" i="3"/>
  <c r="AZ53" i="3"/>
  <c r="AZ58" i="3"/>
  <c r="AZ69" i="3"/>
  <c r="AZ74" i="3"/>
  <c r="AZ94" i="3"/>
  <c r="AZ102"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W27" i="34"/>
  <c r="AC27" i="34"/>
  <c r="AB34" i="36"/>
  <c r="U34" i="36"/>
  <c r="AB33" i="36"/>
  <c r="U33" i="36"/>
  <c r="AC12" i="39"/>
  <c r="W12" i="39"/>
  <c r="AZ401" i="3"/>
  <c r="AZ412" i="3"/>
  <c r="AZ417" i="3"/>
  <c r="AZ428" i="3"/>
  <c r="AZ433" i="3"/>
  <c r="AZ465" i="3"/>
  <c r="AZ586" i="3"/>
  <c r="W12" i="33"/>
  <c r="AC12" i="33"/>
  <c r="AA32" i="36"/>
  <c r="S32" i="36"/>
  <c r="AZ408" i="3"/>
  <c r="AZ437" i="3"/>
  <c r="AZ441" i="3"/>
  <c r="AZ457" i="3"/>
  <c r="AZ473" i="3"/>
  <c r="AZ490" i="3"/>
  <c r="BL14" i="3"/>
  <c r="AZ266" i="3"/>
  <c r="U30" i="33"/>
  <c r="AC13" i="34"/>
  <c r="AA47" i="34"/>
  <c r="W28" i="37"/>
  <c r="S19" i="39"/>
  <c r="F12" i="33"/>
  <c r="H12" i="39"/>
  <c r="F39" i="40"/>
  <c r="AA39" i="40" s="1"/>
  <c r="BA14" i="3"/>
  <c r="AZ14" i="3" s="1"/>
  <c r="AZ254" i="3"/>
  <c r="AZ165" i="3"/>
  <c r="AZ26" i="3"/>
  <c r="AZ35" i="3"/>
  <c r="B12" i="1"/>
  <c r="E12" i="1" s="1"/>
  <c r="B10" i="1"/>
  <c r="E10" i="1" s="1"/>
  <c r="AZ80" i="3"/>
  <c r="AZ107" i="3"/>
  <c r="AZ111" i="3"/>
  <c r="K12" i="1"/>
  <c r="M12" i="1" s="1"/>
  <c r="S13" i="1"/>
  <c r="AR13" i="1" s="1"/>
  <c r="R13" i="1"/>
  <c r="J51" i="67"/>
  <c r="C42" i="1"/>
  <c r="AC34" i="33"/>
  <c r="AA34" i="33"/>
  <c r="B41" i="1"/>
  <c r="S35" i="40"/>
  <c r="U35" i="40"/>
  <c r="AC36" i="40"/>
  <c r="W38" i="40"/>
  <c r="AA32" i="40"/>
  <c r="S17" i="40"/>
  <c r="S23" i="40"/>
  <c r="AC17" i="40"/>
  <c r="AC15" i="40"/>
  <c r="AA19" i="40"/>
  <c r="S28" i="40"/>
  <c r="U21" i="40"/>
  <c r="U37" i="39"/>
  <c r="S43" i="39"/>
  <c r="S37" i="39"/>
  <c r="U35" i="39"/>
  <c r="F32" i="39"/>
  <c r="U25" i="39"/>
  <c r="J21" i="39"/>
  <c r="W21" i="39" s="1"/>
  <c r="F21" i="39"/>
  <c r="G94" i="39"/>
  <c r="H21" i="39"/>
  <c r="AB21" i="39" s="1"/>
  <c r="W19" i="39"/>
  <c r="U19" i="39"/>
  <c r="S17" i="39"/>
  <c r="S15" i="39"/>
  <c r="AA12" i="39"/>
  <c r="S9" i="39"/>
  <c r="AC13" i="39"/>
  <c r="S23" i="36"/>
  <c r="U13" i="36"/>
  <c r="U26" i="36"/>
  <c r="S33" i="36"/>
  <c r="AA26" i="36"/>
  <c r="AA34" i="36"/>
  <c r="AC26" i="36"/>
  <c r="W14" i="36"/>
  <c r="AB14" i="36"/>
  <c r="U22" i="36"/>
  <c r="S16" i="36"/>
  <c r="AA25" i="36"/>
  <c r="S24" i="36"/>
  <c r="U24" i="36"/>
  <c r="AB20" i="36"/>
  <c r="U16" i="36"/>
  <c r="S14" i="36"/>
  <c r="AA25" i="35"/>
  <c r="S23" i="35"/>
  <c r="AB13" i="35"/>
  <c r="U29" i="35"/>
  <c r="U28" i="35"/>
  <c r="AB27" i="35"/>
  <c r="U36" i="35"/>
  <c r="U32" i="35"/>
  <c r="AA33" i="35"/>
  <c r="AC30" i="35"/>
  <c r="S32" i="35"/>
  <c r="AA36" i="35"/>
  <c r="S28" i="35"/>
  <c r="AB16" i="35"/>
  <c r="U22" i="35"/>
  <c r="AC20" i="35"/>
  <c r="S22" i="35"/>
  <c r="U14" i="35"/>
  <c r="AA11" i="35"/>
  <c r="AC9" i="35"/>
  <c r="W9" i="35"/>
  <c r="W13" i="35"/>
  <c r="F9" i="35"/>
  <c r="S9" i="35" s="1"/>
  <c r="H9" i="35"/>
  <c r="U9" i="35" s="1"/>
  <c r="AB40" i="37"/>
  <c r="S25" i="37"/>
  <c r="W27" i="37"/>
  <c r="S26" i="37"/>
  <c r="AC29" i="37"/>
  <c r="U29" i="37"/>
  <c r="S32" i="37"/>
  <c r="AB31" i="37"/>
  <c r="W30" i="37"/>
  <c r="AA38" i="37"/>
  <c r="W38" i="37"/>
  <c r="AC35" i="37"/>
  <c r="W39" i="37"/>
  <c r="S30" i="37"/>
  <c r="S37" i="37"/>
  <c r="J17" i="37"/>
  <c r="W17" i="37" s="1"/>
  <c r="G73" i="37"/>
  <c r="F17" i="37"/>
  <c r="AA17" i="37" s="1"/>
  <c r="AB17" i="37"/>
  <c r="F75" i="37"/>
  <c r="G75" i="37" s="1"/>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G70" i="34" s="1"/>
  <c r="W42" i="33"/>
  <c r="S27" i="33"/>
  <c r="S32" i="33"/>
  <c r="AB29" i="33"/>
  <c r="H41" i="33"/>
  <c r="F121" i="33"/>
  <c r="G121" i="33"/>
  <c r="H121" i="33"/>
  <c r="I121" i="33" s="1"/>
  <c r="J121" i="33" s="1"/>
  <c r="K121" i="33" s="1"/>
  <c r="L121" i="33" s="1"/>
  <c r="M121" i="33" s="1"/>
  <c r="U42" i="33"/>
  <c r="S42" i="33"/>
  <c r="F36" i="33"/>
  <c r="AA36" i="33" s="1"/>
  <c r="G111" i="33"/>
  <c r="G108" i="33"/>
  <c r="H108" i="33"/>
  <c r="I108" i="33" s="1"/>
  <c r="J108" i="33"/>
  <c r="K108" i="33"/>
  <c r="L108" i="33" s="1"/>
  <c r="M108" i="33" s="1"/>
  <c r="J35" i="33"/>
  <c r="AC35" i="33" s="1"/>
  <c r="S37" i="33"/>
  <c r="AA37" i="33"/>
  <c r="F101" i="33"/>
  <c r="G101" i="33"/>
  <c r="H101" i="33"/>
  <c r="I101" i="33" s="1"/>
  <c r="J101" i="33" s="1"/>
  <c r="K101" i="33" s="1"/>
  <c r="L101" i="33" s="1"/>
  <c r="M101" i="33" s="1"/>
  <c r="J32" i="33"/>
  <c r="AC32" i="33" s="1"/>
  <c r="S46" i="33"/>
  <c r="S43" i="33"/>
  <c r="F91" i="33"/>
  <c r="H27" i="33"/>
  <c r="F87" i="33"/>
  <c r="G87" i="33" s="1"/>
  <c r="H25" i="33"/>
  <c r="F25" i="33"/>
  <c r="J23" i="33"/>
  <c r="F85" i="33"/>
  <c r="H23" i="33"/>
  <c r="AB23" i="33" s="1"/>
  <c r="F81" i="33"/>
  <c r="G81" i="33" s="1"/>
  <c r="F19" i="33"/>
  <c r="S19" i="33" s="1"/>
  <c r="W19" i="33"/>
  <c r="J17" i="33"/>
  <c r="W17" i="33" s="1"/>
  <c r="F79" i="33"/>
  <c r="S15"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M20" i="67"/>
  <c r="G13" i="3"/>
  <c r="BA13" i="3"/>
  <c r="BL17" i="3"/>
  <c r="AZ17"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H67" i="43"/>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42" i="39"/>
  <c r="U41" i="39"/>
  <c r="W25" i="39"/>
  <c r="AC25" i="39"/>
  <c r="U13" i="39"/>
  <c r="AB13" i="39"/>
  <c r="AA13" i="39"/>
  <c r="S13" i="39"/>
  <c r="U43" i="39"/>
  <c r="AB43" i="39"/>
  <c r="AB11" i="39"/>
  <c r="U11" i="39"/>
  <c r="AA27" i="39"/>
  <c r="S27" i="39"/>
  <c r="W17" i="39"/>
  <c r="AC17" i="39"/>
  <c r="S23" i="39"/>
  <c r="W34" i="39"/>
  <c r="U38" i="39"/>
  <c r="S8" i="39"/>
  <c r="S20" i="36"/>
  <c r="AC25" i="36"/>
  <c r="U32" i="36"/>
  <c r="W29" i="36"/>
  <c r="AC20" i="36"/>
  <c r="U25" i="36"/>
  <c r="AB28" i="36"/>
  <c r="AA13" i="36"/>
  <c r="W9" i="36"/>
  <c r="W22" i="36"/>
  <c r="W23" i="36"/>
  <c r="S9" i="36"/>
  <c r="AC25" i="35"/>
  <c r="U25"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c r="AA26" i="21"/>
  <c r="AB14" i="21"/>
  <c r="AB46" i="21"/>
  <c r="U40" i="21"/>
  <c r="AB31" i="21"/>
  <c r="U31" i="21"/>
  <c r="AC15" i="21"/>
  <c r="S35" i="21"/>
  <c r="J37" i="21"/>
  <c r="W37" i="21" s="1"/>
  <c r="H15" i="21"/>
  <c r="AB15" i="21" s="1"/>
  <c r="U15" i="21"/>
  <c r="J17" i="21"/>
  <c r="W17" i="21" s="1"/>
  <c r="AC17" i="21"/>
  <c r="AC19" i="21"/>
  <c r="W39" i="21"/>
  <c r="AC14" i="21"/>
  <c r="W30" i="21"/>
  <c r="S46" i="21"/>
  <c r="H45" i="21"/>
  <c r="U45" i="21" s="1"/>
  <c r="F29" i="21"/>
  <c r="S29" i="21" s="1"/>
  <c r="F13" i="21"/>
  <c r="AA13" i="21"/>
  <c r="AC38" i="21"/>
  <c r="H32" i="21"/>
  <c r="H9" i="21"/>
  <c r="U9" i="21" s="1"/>
  <c r="J9" i="21"/>
  <c r="J32" i="21"/>
  <c r="W32" i="21" s="1"/>
  <c r="F32" i="21"/>
  <c r="AA31" i="21"/>
  <c r="U17" i="21"/>
  <c r="S19" i="21"/>
  <c r="S9" i="21"/>
  <c r="AA9" i="21"/>
  <c r="K141" i="21"/>
  <c r="K144" i="21"/>
  <c r="K143" i="21"/>
  <c r="U27" i="21"/>
  <c r="AB25" i="21"/>
  <c r="AB44" i="21"/>
  <c r="AA30" i="21"/>
  <c r="W42" i="21"/>
  <c r="AC45" i="21"/>
  <c r="F10" i="21"/>
  <c r="AA10" i="21" s="1"/>
  <c r="K145" i="21"/>
  <c r="W25" i="21"/>
  <c r="AA29" i="21"/>
  <c r="W31" i="21"/>
  <c r="S27" i="21"/>
  <c r="S17" i="21"/>
  <c r="AA15" i="21"/>
  <c r="AC27" i="21"/>
  <c r="AC26" i="21"/>
  <c r="S28" i="21"/>
  <c r="AC34" i="21"/>
  <c r="AB36" i="21"/>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S12" i="33"/>
  <c r="AA12" i="33"/>
  <c r="D68" i="9"/>
  <c r="F54" i="9"/>
  <c r="J32" i="39"/>
  <c r="H32" i="39"/>
  <c r="AB32" i="39" s="1"/>
  <c r="AA32" i="39"/>
  <c r="S32" i="39"/>
  <c r="U21" i="39"/>
  <c r="AA21" i="39"/>
  <c r="S21" i="39"/>
  <c r="J19" i="37"/>
  <c r="W19" i="37" s="1"/>
  <c r="S19" i="37"/>
  <c r="AA19" i="37"/>
  <c r="AA23" i="37"/>
  <c r="J23" i="37"/>
  <c r="G79" i="37"/>
  <c r="J10" i="37"/>
  <c r="W10" i="37" s="1"/>
  <c r="G63" i="37"/>
  <c r="H63" i="37" s="1"/>
  <c r="I63" i="37" s="1"/>
  <c r="J63" i="37" s="1"/>
  <c r="K63" i="37" s="1"/>
  <c r="L63" i="37" s="1"/>
  <c r="M63" i="37" s="1"/>
  <c r="H11" i="37"/>
  <c r="AB11" i="37" s="1"/>
  <c r="H11" i="34"/>
  <c r="U11" i="34" s="1"/>
  <c r="J10" i="34"/>
  <c r="AC10" i="34" s="1"/>
  <c r="AB41" i="33"/>
  <c r="U41" i="33"/>
  <c r="W35" i="33"/>
  <c r="H111" i="33"/>
  <c r="I111" i="33" s="1"/>
  <c r="J111" i="33" s="1"/>
  <c r="K111" i="33" s="1"/>
  <c r="L111" i="33" s="1"/>
  <c r="M111" i="33" s="1"/>
  <c r="J36" i="33"/>
  <c r="W36" i="33" s="1"/>
  <c r="H36" i="33"/>
  <c r="U36" i="33" s="1"/>
  <c r="S36" i="33"/>
  <c r="W32" i="33"/>
  <c r="U27" i="33"/>
  <c r="AB27" i="33"/>
  <c r="G91" i="33"/>
  <c r="H91" i="33"/>
  <c r="I91" i="33" s="1"/>
  <c r="J91" i="33" s="1"/>
  <c r="K91" i="33" s="1"/>
  <c r="L91" i="33" s="1"/>
  <c r="M91" i="33" s="1"/>
  <c r="J27" i="33"/>
  <c r="AC27" i="33" s="1"/>
  <c r="U25" i="33"/>
  <c r="AB25" i="33"/>
  <c r="S25" i="33"/>
  <c r="AA25" i="33"/>
  <c r="H87" i="33"/>
  <c r="I87" i="33" s="1"/>
  <c r="J87" i="33" s="1"/>
  <c r="K87" i="33" s="1"/>
  <c r="L87" i="33" s="1"/>
  <c r="M87" i="33" s="1"/>
  <c r="J25" i="33"/>
  <c r="AC25" i="33" s="1"/>
  <c r="F23" i="33"/>
  <c r="S23" i="33" s="1"/>
  <c r="G85" i="33"/>
  <c r="AC23" i="33"/>
  <c r="W23" i="33"/>
  <c r="AA19" i="33"/>
  <c r="H19" i="33"/>
  <c r="G79" i="33"/>
  <c r="H17" i="33"/>
  <c r="F17" i="33"/>
  <c r="S17" i="33" s="1"/>
  <c r="AC17" i="33"/>
  <c r="S37" i="21"/>
  <c r="AA23" i="21"/>
  <c r="J23" i="21"/>
  <c r="F85" i="21"/>
  <c r="G85" i="21" s="1"/>
  <c r="H23" i="21"/>
  <c r="U23" i="21" s="1"/>
  <c r="S13" i="21"/>
  <c r="D6" i="52"/>
  <c r="AP7" i="1"/>
  <c r="AA32" i="21"/>
  <c r="S32" i="21"/>
  <c r="W9" i="21"/>
  <c r="AC9" i="21"/>
  <c r="AB32" i="21"/>
  <c r="U32" i="21"/>
  <c r="AC32" i="39"/>
  <c r="W32" i="39"/>
  <c r="W23" i="37"/>
  <c r="AC23" i="37"/>
  <c r="J11" i="37"/>
  <c r="AC11" i="37" s="1"/>
  <c r="H70" i="34"/>
  <c r="I70" i="34" s="1"/>
  <c r="J70" i="34" s="1"/>
  <c r="K70" i="34" s="1"/>
  <c r="L70" i="34" s="1"/>
  <c r="M70" i="34" s="1"/>
  <c r="J11" i="34"/>
  <c r="W11" i="34" s="1"/>
  <c r="AB36" i="33"/>
  <c r="W27" i="33"/>
  <c r="W25" i="33"/>
  <c r="AA23" i="33"/>
  <c r="AB19" i="33"/>
  <c r="U19" i="33"/>
  <c r="AA17" i="33"/>
  <c r="U17" i="33"/>
  <c r="AB17" i="33"/>
  <c r="AC23" i="21"/>
  <c r="W23" i="21"/>
  <c r="H109" i="9"/>
  <c r="M49" i="9" s="1"/>
  <c r="H112" i="9"/>
  <c r="D21" i="53" s="1"/>
  <c r="B39" i="72" s="1"/>
  <c r="H111" i="9"/>
  <c r="D126" i="9" s="1"/>
  <c r="AD3" i="71"/>
  <c r="J1" i="73"/>
  <c r="H69" i="43"/>
  <c r="H50" i="43"/>
  <c r="C24" i="12"/>
  <c r="C22" i="71"/>
  <c r="D22" i="71"/>
  <c r="D23" i="71"/>
  <c r="D24" i="71"/>
  <c r="U24" i="71" s="1"/>
  <c r="S24" i="71"/>
  <c r="T24" i="71"/>
  <c r="AB22" i="71"/>
  <c r="X20" i="71"/>
  <c r="X19" i="71"/>
  <c r="AA20" i="71"/>
  <c r="AA19" i="71"/>
  <c r="X23" i="71"/>
  <c r="Y19" i="71"/>
  <c r="Z19" i="71" s="1"/>
  <c r="AB20" i="71"/>
  <c r="AB19" i="71"/>
  <c r="S20" i="71"/>
  <c r="Y20" i="71"/>
  <c r="Z20" i="71" s="1"/>
  <c r="X3" i="71"/>
  <c r="C21" i="71"/>
  <c r="C20" i="71" s="1"/>
  <c r="D21" i="71"/>
  <c r="F13" i="67"/>
  <c r="F7" i="67"/>
  <c r="E13" i="76"/>
  <c r="F3" i="73"/>
  <c r="F36" i="67"/>
  <c r="F42" i="67"/>
  <c r="C76" i="15"/>
  <c r="F8" i="67"/>
  <c r="AO13" i="1"/>
  <c r="F13" i="15"/>
  <c r="E9" i="76"/>
  <c r="F5" i="73"/>
  <c r="F16" i="67"/>
  <c r="F8" i="15"/>
  <c r="M29" i="15"/>
  <c r="M8" i="15"/>
  <c r="F38" i="67"/>
  <c r="F42" i="15"/>
  <c r="M6" i="15"/>
  <c r="M22" i="15"/>
  <c r="M9" i="15"/>
  <c r="F9" i="67"/>
  <c r="F43" i="67"/>
  <c r="M6" i="67"/>
  <c r="L48" i="67"/>
  <c r="F40" i="67"/>
  <c r="M23" i="67"/>
  <c r="J15" i="15"/>
  <c r="F9" i="15"/>
  <c r="M28" i="67"/>
  <c r="F7" i="15"/>
  <c r="L47" i="67"/>
  <c r="F43" i="15"/>
  <c r="F16" i="15"/>
  <c r="E11" i="76"/>
  <c r="L47" i="15"/>
  <c r="B10" i="76"/>
  <c r="F36" i="15"/>
  <c r="D6" i="73"/>
  <c r="F6" i="67"/>
  <c r="B9" i="76"/>
  <c r="E12" i="76"/>
  <c r="F26" i="67"/>
  <c r="D4" i="73"/>
  <c r="M26" i="15"/>
  <c r="E8" i="76"/>
  <c r="D7" i="73"/>
  <c r="B7" i="76"/>
  <c r="F4" i="73"/>
  <c r="B8" i="76"/>
  <c r="M28" i="15"/>
  <c r="M22" i="67"/>
  <c r="F6" i="15"/>
  <c r="E10" i="76"/>
  <c r="J15" i="67"/>
  <c r="E7" i="76"/>
  <c r="D3" i="73"/>
  <c r="M23" i="15"/>
  <c r="B12" i="76"/>
  <c r="F6" i="73"/>
  <c r="F37" i="15"/>
  <c r="F26" i="15"/>
  <c r="F7" i="73"/>
  <c r="B11" i="76"/>
  <c r="C76" i="67"/>
  <c r="M8" i="67"/>
  <c r="M24" i="67"/>
  <c r="F20" i="31"/>
  <c r="F37" i="67"/>
  <c r="M26" i="67"/>
  <c r="M29" i="67"/>
  <c r="E2" i="69"/>
  <c r="B13" i="76"/>
  <c r="M9" i="67"/>
  <c r="C19" i="71" l="1"/>
  <c r="T20" i="71"/>
  <c r="D20" i="71"/>
  <c r="U20" i="71" s="1"/>
  <c r="AZ497" i="3"/>
  <c r="AC19" i="37"/>
  <c r="AZ508" i="3"/>
  <c r="AC5" i="3"/>
  <c r="G495" i="3"/>
  <c r="W27" i="40"/>
  <c r="J24" i="35"/>
  <c r="H24" i="35"/>
  <c r="F24" i="35"/>
  <c r="AB9" i="36"/>
  <c r="U9" i="36"/>
  <c r="AZ515" i="3"/>
  <c r="AZ511" i="3"/>
  <c r="AZ507" i="3"/>
  <c r="BA506" i="3"/>
  <c r="BA504" i="3"/>
  <c r="AZ503" i="3"/>
  <c r="AB9" i="21"/>
  <c r="BI5" i="3"/>
  <c r="D16" i="53"/>
  <c r="B34" i="72" s="1"/>
  <c r="AB45" i="21"/>
  <c r="S30" i="40"/>
  <c r="S14" i="33"/>
  <c r="AA14" i="33"/>
  <c r="U45" i="33"/>
  <c r="AB45" i="33"/>
  <c r="H5" i="3"/>
  <c r="G493" i="3"/>
  <c r="U32" i="39"/>
  <c r="S39" i="40"/>
  <c r="S20" i="35"/>
  <c r="AB27" i="40"/>
  <c r="S27" i="40"/>
  <c r="S12" i="35"/>
  <c r="AA12" i="35"/>
  <c r="BA525" i="3"/>
  <c r="BP5" i="3"/>
  <c r="BL498" i="3"/>
  <c r="AC15" i="34"/>
  <c r="W15" i="34"/>
  <c r="AZ516" i="3"/>
  <c r="BH5" i="3"/>
  <c r="D19" i="53"/>
  <c r="B38" i="72" s="1"/>
  <c r="AB23" i="21"/>
  <c r="S17" i="37"/>
  <c r="U12" i="39"/>
  <c r="AB12" i="39"/>
  <c r="U20" i="35"/>
  <c r="AB20" i="35"/>
  <c r="BC5" i="3"/>
  <c r="BM5" i="3"/>
  <c r="AZ362" i="3"/>
  <c r="S39" i="39"/>
  <c r="AA39" i="39"/>
  <c r="AZ494" i="3"/>
  <c r="S39" i="34"/>
  <c r="BL493" i="3"/>
  <c r="BE5" i="3"/>
  <c r="BO5" i="3"/>
  <c r="W15" i="37"/>
  <c r="AC15" i="37"/>
  <c r="AB26" i="33"/>
  <c r="U26" i="33"/>
  <c r="W44" i="21"/>
  <c r="AC44" i="21"/>
  <c r="AC17" i="37"/>
  <c r="U23" i="33"/>
  <c r="BQ5" i="3"/>
  <c r="U39" i="39"/>
  <c r="AB39" i="39"/>
  <c r="W30" i="40"/>
  <c r="W43" i="33"/>
  <c r="F48" i="9"/>
  <c r="O52" i="9" s="1"/>
  <c r="F32" i="81"/>
  <c r="F60" i="81" s="1"/>
  <c r="F28" i="81"/>
  <c r="C28" i="81" s="1"/>
  <c r="M18" i="81"/>
  <c r="AZ338" i="3"/>
  <c r="AZ351" i="3"/>
  <c r="AZ344" i="3"/>
  <c r="AA22" i="36"/>
  <c r="S22" i="36"/>
  <c r="AA39" i="33"/>
  <c r="BL521" i="3"/>
  <c r="AZ583" i="3"/>
  <c r="AC28" i="36"/>
  <c r="W28" i="36"/>
  <c r="W12" i="37"/>
  <c r="AC12" i="37"/>
  <c r="BL495" i="3"/>
  <c r="AZ495" i="3" s="1"/>
  <c r="BL509" i="3"/>
  <c r="AZ509" i="3" s="1"/>
  <c r="W29" i="33"/>
  <c r="AC29" i="33"/>
  <c r="AA21" i="40"/>
  <c r="S21" i="40"/>
  <c r="F12" i="21"/>
  <c r="J12" i="21"/>
  <c r="H12" i="21"/>
  <c r="J11" i="36"/>
  <c r="AC11" i="36" s="1"/>
  <c r="F11" i="36"/>
  <c r="H31" i="39"/>
  <c r="J31" i="39"/>
  <c r="F31" i="39"/>
  <c r="BA580" i="3"/>
  <c r="BA555" i="3"/>
  <c r="U43" i="33"/>
  <c r="AA44" i="34"/>
  <c r="S44" i="34"/>
  <c r="AB11" i="33"/>
  <c r="U11" i="33"/>
  <c r="H13" i="21"/>
  <c r="J13" i="21"/>
  <c r="AZ556" i="3"/>
  <c r="BL520" i="3"/>
  <c r="BA514" i="3"/>
  <c r="AZ514" i="3" s="1"/>
  <c r="BA500" i="3"/>
  <c r="AZ500" i="3" s="1"/>
  <c r="BL497" i="3"/>
  <c r="BA493" i="3"/>
  <c r="AZ493" i="3" s="1"/>
  <c r="U37" i="40"/>
  <c r="AB37" i="40"/>
  <c r="U27" i="39"/>
  <c r="AB27" i="39"/>
  <c r="U34" i="40"/>
  <c r="AB34" i="40"/>
  <c r="BL581" i="3"/>
  <c r="AZ581" i="3" s="1"/>
  <c r="BA579" i="3"/>
  <c r="AZ579" i="3" s="1"/>
  <c r="AZ578" i="3"/>
  <c r="BA577" i="3"/>
  <c r="AZ577" i="3" s="1"/>
  <c r="AZ576" i="3"/>
  <c r="AZ561" i="3"/>
  <c r="AZ560" i="3"/>
  <c r="BA559" i="3"/>
  <c r="AZ559" i="3" s="1"/>
  <c r="BL536" i="3"/>
  <c r="AZ326" i="3"/>
  <c r="AZ309" i="3"/>
  <c r="W47" i="34"/>
  <c r="BL525" i="3"/>
  <c r="AZ570" i="3"/>
  <c r="W35" i="40"/>
  <c r="AC35" i="40"/>
  <c r="AA44" i="33"/>
  <c r="S44" i="33"/>
  <c r="S29" i="35"/>
  <c r="AA29" i="35"/>
  <c r="AA28" i="34"/>
  <c r="S28" i="34"/>
  <c r="AA39" i="37"/>
  <c r="S39" i="37"/>
  <c r="H9" i="33"/>
  <c r="F9" i="33"/>
  <c r="AA9" i="33" s="1"/>
  <c r="J9" i="33"/>
  <c r="J26" i="33"/>
  <c r="F26" i="33"/>
  <c r="AZ541" i="3"/>
  <c r="AZ540" i="3"/>
  <c r="AZ539" i="3"/>
  <c r="BA536" i="3"/>
  <c r="AZ536" i="3" s="1"/>
  <c r="AZ535" i="3"/>
  <c r="BA534" i="3"/>
  <c r="AZ534" i="3" s="1"/>
  <c r="BL533" i="3"/>
  <c r="AZ533" i="3" s="1"/>
  <c r="BL531" i="3"/>
  <c r="AZ531" i="3"/>
  <c r="AZ528" i="3"/>
  <c r="AZ572" i="3"/>
  <c r="W30" i="34"/>
  <c r="AC30" i="34"/>
  <c r="U17" i="34"/>
  <c r="AB17" i="34"/>
  <c r="U33" i="35"/>
  <c r="AB33" i="35"/>
  <c r="S40" i="21"/>
  <c r="AA40" i="21"/>
  <c r="U12" i="33"/>
  <c r="AB12" i="33"/>
  <c r="AC40" i="33"/>
  <c r="W40" i="33"/>
  <c r="AA29" i="33"/>
  <c r="S29" i="33"/>
  <c r="F14" i="34"/>
  <c r="H14" i="34"/>
  <c r="J14" i="34"/>
  <c r="J12" i="35"/>
  <c r="H12" i="35"/>
  <c r="AC31" i="40"/>
  <c r="W31" i="40"/>
  <c r="S34" i="37"/>
  <c r="AA34" i="37"/>
  <c r="BA547" i="3"/>
  <c r="AZ547" i="3" s="1"/>
  <c r="BA545" i="3"/>
  <c r="AZ545" i="3" s="1"/>
  <c r="AA14" i="40"/>
  <c r="S14" i="40"/>
  <c r="U36" i="39"/>
  <c r="AB36" i="39"/>
  <c r="H29" i="21"/>
  <c r="J29" i="21"/>
  <c r="B101" i="43"/>
  <c r="C25" i="39"/>
  <c r="W38" i="33"/>
  <c r="AC38" i="33"/>
  <c r="J14" i="39"/>
  <c r="AC14" i="39" s="1"/>
  <c r="F14" i="39"/>
  <c r="H14" i="39"/>
  <c r="H45" i="39"/>
  <c r="J45" i="39"/>
  <c r="F45" i="39"/>
  <c r="BL555" i="3"/>
  <c r="BA553" i="3"/>
  <c r="AZ553" i="3" s="1"/>
  <c r="AZ551" i="3"/>
  <c r="S13" i="35"/>
  <c r="AB40" i="33"/>
  <c r="U40" i="33"/>
  <c r="J12" i="40"/>
  <c r="F12" i="40"/>
  <c r="AA40" i="33"/>
  <c r="S40" i="33"/>
  <c r="BA554" i="3"/>
  <c r="AZ554" i="3" s="1"/>
  <c r="BA519" i="3"/>
  <c r="AZ519" i="3" s="1"/>
  <c r="BA510" i="3"/>
  <c r="AZ510" i="3" s="1"/>
  <c r="AA45" i="33"/>
  <c r="S45" i="33"/>
  <c r="H44" i="39"/>
  <c r="J44" i="39"/>
  <c r="BL573" i="3"/>
  <c r="BA558" i="3"/>
  <c r="AZ558" i="3" s="1"/>
  <c r="BL543" i="3"/>
  <c r="AZ543" i="3" s="1"/>
  <c r="BA537" i="3"/>
  <c r="AZ537" i="3" s="1"/>
  <c r="BL532" i="3"/>
  <c r="AZ532" i="3" s="1"/>
  <c r="BA498" i="3"/>
  <c r="AZ498" i="3" s="1"/>
  <c r="BA573" i="3"/>
  <c r="BA548" i="3"/>
  <c r="AZ548" i="3" s="1"/>
  <c r="BA530" i="3"/>
  <c r="AZ530" i="3" s="1"/>
  <c r="BL527" i="3"/>
  <c r="AZ527" i="3" s="1"/>
  <c r="BA521" i="3"/>
  <c r="AZ521" i="3" s="1"/>
  <c r="BL506" i="3"/>
  <c r="BL504" i="3"/>
  <c r="BA587" i="3"/>
  <c r="AZ587" i="3" s="1"/>
  <c r="AA31" i="35"/>
  <c r="S34" i="39"/>
  <c r="AA34" i="39"/>
  <c r="H39" i="40"/>
  <c r="J39" i="40"/>
  <c r="BA584" i="3"/>
  <c r="AZ584" i="3" s="1"/>
  <c r="AB13" i="34"/>
  <c r="W31" i="34"/>
  <c r="S15" i="34"/>
  <c r="AB23" i="40"/>
  <c r="F12" i="34"/>
  <c r="AA34" i="35"/>
  <c r="S34" i="35"/>
  <c r="AA44" i="39"/>
  <c r="S44" i="39"/>
  <c r="BA565" i="3"/>
  <c r="AZ565" i="3" s="1"/>
  <c r="BL542" i="3"/>
  <c r="BA529" i="3"/>
  <c r="AZ529" i="3" s="1"/>
  <c r="BA520" i="3"/>
  <c r="AZ520" i="3" s="1"/>
  <c r="BA501" i="3"/>
  <c r="AZ501" i="3" s="1"/>
  <c r="AC9" i="34"/>
  <c r="W9" i="34"/>
  <c r="H12" i="34"/>
  <c r="H23" i="36"/>
  <c r="W31" i="37"/>
  <c r="AC31" i="37"/>
  <c r="BL580" i="3"/>
  <c r="BL544" i="3"/>
  <c r="AZ544" i="3" s="1"/>
  <c r="BA542" i="3"/>
  <c r="AZ542" i="3" s="1"/>
  <c r="BA538" i="3"/>
  <c r="AZ538" i="3" s="1"/>
  <c r="BL526" i="3"/>
  <c r="AZ526" i="3" s="1"/>
  <c r="BL524" i="3"/>
  <c r="AZ524" i="3" s="1"/>
  <c r="AB46" i="33"/>
  <c r="U46" i="33"/>
  <c r="S12" i="36"/>
  <c r="W28" i="35"/>
  <c r="BL585" i="3"/>
  <c r="BA585" i="3"/>
  <c r="BL582" i="3"/>
  <c r="AZ582" i="3" s="1"/>
  <c r="AZ410" i="3"/>
  <c r="AZ415" i="3"/>
  <c r="BL15" i="3"/>
  <c r="AZ15" i="3" s="1"/>
  <c r="AZ477" i="3"/>
  <c r="AZ409" i="3"/>
  <c r="AZ440" i="3"/>
  <c r="AZ466" i="3"/>
  <c r="AZ476" i="3"/>
  <c r="AZ489" i="3"/>
  <c r="AZ402" i="3"/>
  <c r="AZ492" i="3"/>
  <c r="AZ431" i="3"/>
  <c r="AZ432" i="3"/>
  <c r="AZ444" i="3"/>
  <c r="AZ450" i="3"/>
  <c r="AZ451" i="3"/>
  <c r="AZ463" i="3"/>
  <c r="AZ468" i="3"/>
  <c r="AZ470" i="3"/>
  <c r="AZ471" i="3"/>
  <c r="G570" i="3"/>
  <c r="BL550" i="3"/>
  <c r="AZ550" i="3" s="1"/>
  <c r="AZ398" i="3"/>
  <c r="AZ449" i="3"/>
  <c r="M20" i="15"/>
  <c r="F34" i="81"/>
  <c r="F62" i="81" s="1"/>
  <c r="M20" i="81"/>
  <c r="AZ211" i="3"/>
  <c r="AB29" i="39"/>
  <c r="U29" i="39"/>
  <c r="D64" i="71"/>
  <c r="T64" i="71"/>
  <c r="BJ5" i="3"/>
  <c r="BB5" i="3"/>
  <c r="BA485" i="3"/>
  <c r="AZ485" i="3" s="1"/>
  <c r="BL386" i="3"/>
  <c r="BA208" i="3"/>
  <c r="AZ208" i="3" s="1"/>
  <c r="BL213" i="3"/>
  <c r="AZ213" i="3" s="1"/>
  <c r="BL220" i="3"/>
  <c r="BL233" i="3"/>
  <c r="AZ233" i="3" s="1"/>
  <c r="BL234" i="3"/>
  <c r="AZ234" i="3" s="1"/>
  <c r="BL235" i="3"/>
  <c r="AZ255" i="3"/>
  <c r="BA273" i="3"/>
  <c r="AZ273" i="3" s="1"/>
  <c r="BA275" i="3"/>
  <c r="AZ275" i="3" s="1"/>
  <c r="AZ300" i="3"/>
  <c r="BA142" i="3"/>
  <c r="AZ142" i="3" s="1"/>
  <c r="BL484" i="3"/>
  <c r="AZ484" i="3" s="1"/>
  <c r="AZ332" i="3"/>
  <c r="AZ395" i="3"/>
  <c r="BL211" i="3"/>
  <c r="BL257" i="3"/>
  <c r="AZ257" i="3" s="1"/>
  <c r="BA270" i="3"/>
  <c r="AZ270" i="3" s="1"/>
  <c r="AZ272" i="3"/>
  <c r="G277" i="3"/>
  <c r="BA283" i="3"/>
  <c r="AZ283" i="3" s="1"/>
  <c r="BA286" i="3"/>
  <c r="AZ286" i="3" s="1"/>
  <c r="BL114" i="3"/>
  <c r="AZ114" i="3" s="1"/>
  <c r="BA124" i="3"/>
  <c r="AZ124" i="3" s="1"/>
  <c r="BA137" i="3"/>
  <c r="AZ137" i="3" s="1"/>
  <c r="BL143" i="3"/>
  <c r="AZ143" i="3" s="1"/>
  <c r="BL13" i="3"/>
  <c r="BA331" i="3"/>
  <c r="AZ331" i="3" s="1"/>
  <c r="BA367" i="3"/>
  <c r="BL383" i="3"/>
  <c r="AZ383" i="3" s="1"/>
  <c r="G384" i="3"/>
  <c r="BA392" i="3"/>
  <c r="AZ392" i="3" s="1"/>
  <c r="BL397" i="3"/>
  <c r="AZ397" i="3" s="1"/>
  <c r="BL208" i="3"/>
  <c r="AZ210" i="3"/>
  <c r="BL230" i="3"/>
  <c r="AZ230" i="3" s="1"/>
  <c r="G256" i="3"/>
  <c r="BA366" i="3"/>
  <c r="AZ366" i="3" s="1"/>
  <c r="BL395" i="3"/>
  <c r="BA242" i="3"/>
  <c r="AZ242" i="3" s="1"/>
  <c r="BL271" i="3"/>
  <c r="AZ271" i="3" s="1"/>
  <c r="BL274" i="3"/>
  <c r="AZ274" i="3" s="1"/>
  <c r="BA281" i="3"/>
  <c r="AZ193" i="3"/>
  <c r="AZ48" i="3"/>
  <c r="BF5" i="3"/>
  <c r="BN5" i="3"/>
  <c r="G29" i="6" s="1"/>
  <c r="G30" i="6" s="1"/>
  <c r="G31" i="6" s="1"/>
  <c r="BS5" i="3"/>
  <c r="BA491" i="3"/>
  <c r="AZ491" i="3" s="1"/>
  <c r="BA315" i="3"/>
  <c r="AZ315" i="3" s="1"/>
  <c r="BA348" i="3"/>
  <c r="AZ348" i="3" s="1"/>
  <c r="BA350" i="3"/>
  <c r="AZ350" i="3" s="1"/>
  <c r="BL367" i="3"/>
  <c r="BL368" i="3"/>
  <c r="AZ368" i="3" s="1"/>
  <c r="BL381" i="3"/>
  <c r="AZ381" i="3" s="1"/>
  <c r="G382" i="3"/>
  <c r="BA223" i="3"/>
  <c r="AZ223" i="3" s="1"/>
  <c r="BL227" i="3"/>
  <c r="AZ227" i="3" s="1"/>
  <c r="BA238" i="3"/>
  <c r="AZ238" i="3" s="1"/>
  <c r="BL250" i="3"/>
  <c r="AZ250" i="3" s="1"/>
  <c r="BA263" i="3"/>
  <c r="AZ263" i="3" s="1"/>
  <c r="AZ264" i="3"/>
  <c r="AZ267" i="3"/>
  <c r="BA118" i="3"/>
  <c r="G490" i="3"/>
  <c r="BA349" i="3"/>
  <c r="AZ349" i="3" s="1"/>
  <c r="BL209" i="3"/>
  <c r="AZ209" i="3" s="1"/>
  <c r="BA222" i="3"/>
  <c r="AZ222" i="3" s="1"/>
  <c r="BL225" i="3"/>
  <c r="AZ225" i="3" s="1"/>
  <c r="G226" i="3"/>
  <c r="BA236" i="3"/>
  <c r="AZ236" i="3" s="1"/>
  <c r="BL240" i="3"/>
  <c r="AZ240" i="3" s="1"/>
  <c r="BL241" i="3"/>
  <c r="AZ241" i="3" s="1"/>
  <c r="BL244" i="3"/>
  <c r="AZ244" i="3" s="1"/>
  <c r="BL245" i="3"/>
  <c r="AZ245" i="3" s="1"/>
  <c r="G246" i="3"/>
  <c r="BL247" i="3"/>
  <c r="AZ247" i="3" s="1"/>
  <c r="BL248" i="3"/>
  <c r="AZ248" i="3" s="1"/>
  <c r="G249" i="3"/>
  <c r="BA262" i="3"/>
  <c r="AZ262" i="3" s="1"/>
  <c r="BA265" i="3"/>
  <c r="AZ265" i="3" s="1"/>
  <c r="BA280" i="3"/>
  <c r="AZ280" i="3" s="1"/>
  <c r="G282" i="3"/>
  <c r="BL298" i="3"/>
  <c r="BL134" i="3"/>
  <c r="AZ134" i="3" s="1"/>
  <c r="G380" i="3"/>
  <c r="BA385" i="3"/>
  <c r="AZ385" i="3" s="1"/>
  <c r="BA386" i="3"/>
  <c r="AZ386" i="3" s="1"/>
  <c r="BL396" i="3"/>
  <c r="AZ396" i="3" s="1"/>
  <c r="BA214" i="3"/>
  <c r="AZ214" i="3" s="1"/>
  <c r="BA217" i="3"/>
  <c r="AZ217" i="3" s="1"/>
  <c r="BA220" i="3"/>
  <c r="AZ220" i="3" s="1"/>
  <c r="BL224" i="3"/>
  <c r="AZ224" i="3" s="1"/>
  <c r="BA235" i="3"/>
  <c r="BA259" i="3"/>
  <c r="AZ259" i="3" s="1"/>
  <c r="AZ260" i="3"/>
  <c r="BL267" i="3"/>
  <c r="AZ278" i="3"/>
  <c r="AZ129" i="3"/>
  <c r="BL131" i="3"/>
  <c r="AZ131" i="3" s="1"/>
  <c r="AZ141" i="3"/>
  <c r="BA285" i="3"/>
  <c r="AZ285" i="3" s="1"/>
  <c r="BL295" i="3"/>
  <c r="AZ295" i="3" s="1"/>
  <c r="BL118" i="3"/>
  <c r="BA122" i="3"/>
  <c r="AZ122" i="3" s="1"/>
  <c r="BA133" i="3"/>
  <c r="AZ133" i="3" s="1"/>
  <c r="BA140" i="3"/>
  <c r="AZ140" i="3" s="1"/>
  <c r="BL174" i="3"/>
  <c r="AZ174" i="3" s="1"/>
  <c r="BL177" i="3"/>
  <c r="AZ177" i="3" s="1"/>
  <c r="BA192" i="3"/>
  <c r="AZ192" i="3" s="1"/>
  <c r="BL197" i="3"/>
  <c r="BA19" i="3"/>
  <c r="BA5" i="3" s="1"/>
  <c r="BL24" i="3"/>
  <c r="AZ24" i="3" s="1"/>
  <c r="BL28" i="3"/>
  <c r="AZ28" i="3" s="1"/>
  <c r="BL41" i="3"/>
  <c r="AZ41" i="3" s="1"/>
  <c r="BA49" i="3"/>
  <c r="AZ49" i="3" s="1"/>
  <c r="AZ62" i="3"/>
  <c r="BA79" i="3"/>
  <c r="AZ79" i="3" s="1"/>
  <c r="BA82" i="3"/>
  <c r="AZ82" i="3" s="1"/>
  <c r="BA92" i="3"/>
  <c r="AZ92" i="3" s="1"/>
  <c r="AZ95" i="3"/>
  <c r="BL284" i="3"/>
  <c r="AZ284" i="3" s="1"/>
  <c r="G291" i="3"/>
  <c r="G302" i="3"/>
  <c r="BL121" i="3"/>
  <c r="AZ121" i="3" s="1"/>
  <c r="BA125" i="3"/>
  <c r="AZ125" i="3" s="1"/>
  <c r="BA132" i="3"/>
  <c r="AZ132" i="3" s="1"/>
  <c r="BL138" i="3"/>
  <c r="AZ138" i="3" s="1"/>
  <c r="BL171" i="3"/>
  <c r="AZ171" i="3" s="1"/>
  <c r="BL173" i="3"/>
  <c r="AZ173" i="3" s="1"/>
  <c r="BL178" i="3"/>
  <c r="AZ178" i="3" s="1"/>
  <c r="BL193" i="3"/>
  <c r="AZ205" i="3"/>
  <c r="BL48" i="3"/>
  <c r="AZ65" i="3"/>
  <c r="AZ73" i="3"/>
  <c r="BA77" i="3"/>
  <c r="AZ77" i="3" s="1"/>
  <c r="BL279" i="3"/>
  <c r="AZ279" i="3" s="1"/>
  <c r="BA287" i="3"/>
  <c r="AZ287" i="3" s="1"/>
  <c r="BA293" i="3"/>
  <c r="AZ293" i="3" s="1"/>
  <c r="BA298" i="3"/>
  <c r="AZ298" i="3" s="1"/>
  <c r="BL123" i="3"/>
  <c r="AZ123" i="3" s="1"/>
  <c r="BL130" i="3"/>
  <c r="AZ130" i="3" s="1"/>
  <c r="BL141" i="3"/>
  <c r="AZ145" i="3"/>
  <c r="BL61" i="3"/>
  <c r="AZ61" i="3" s="1"/>
  <c r="BL85" i="3"/>
  <c r="AZ85" i="3" s="1"/>
  <c r="BA89" i="3"/>
  <c r="AZ89" i="3" s="1"/>
  <c r="BL292" i="3"/>
  <c r="AZ292" i="3" s="1"/>
  <c r="BL297" i="3"/>
  <c r="AZ297" i="3" s="1"/>
  <c r="BL113" i="3"/>
  <c r="AZ113" i="3" s="1"/>
  <c r="BA149" i="3"/>
  <c r="AZ149" i="3" s="1"/>
  <c r="BA150" i="3"/>
  <c r="AZ153" i="3"/>
  <c r="BA164" i="3"/>
  <c r="AZ164" i="3" s="1"/>
  <c r="BL167" i="3"/>
  <c r="AZ167" i="3" s="1"/>
  <c r="BA168" i="3"/>
  <c r="AZ168" i="3" s="1"/>
  <c r="BL187" i="3"/>
  <c r="AZ187" i="3" s="1"/>
  <c r="BL205" i="3"/>
  <c r="AZ18" i="3"/>
  <c r="AZ22" i="3"/>
  <c r="AZ36" i="3"/>
  <c r="BL46" i="3"/>
  <c r="AZ46" i="3" s="1"/>
  <c r="AZ54" i="3"/>
  <c r="BL96" i="3"/>
  <c r="AZ108" i="3"/>
  <c r="BA277" i="3"/>
  <c r="AZ277" i="3" s="1"/>
  <c r="BA282" i="3"/>
  <c r="AZ282" i="3" s="1"/>
  <c r="G126" i="3"/>
  <c r="BA146" i="3"/>
  <c r="AZ146" i="3" s="1"/>
  <c r="BA148" i="3"/>
  <c r="AZ148" i="3" s="1"/>
  <c r="BA152" i="3"/>
  <c r="AZ152" i="3" s="1"/>
  <c r="BA154" i="3"/>
  <c r="AZ154" i="3" s="1"/>
  <c r="BA158" i="3"/>
  <c r="AZ158" i="3" s="1"/>
  <c r="BA160" i="3"/>
  <c r="AZ160" i="3" s="1"/>
  <c r="BA181" i="3"/>
  <c r="AZ181" i="3" s="1"/>
  <c r="BL185" i="3"/>
  <c r="AZ185" i="3" s="1"/>
  <c r="BL189" i="3"/>
  <c r="AZ189" i="3" s="1"/>
  <c r="BL190" i="3"/>
  <c r="AZ190" i="3" s="1"/>
  <c r="G191" i="3"/>
  <c r="BL195" i="3"/>
  <c r="AZ195" i="3" s="1"/>
  <c r="AZ201" i="3"/>
  <c r="BA202" i="3"/>
  <c r="AZ202" i="3" s="1"/>
  <c r="BA31" i="3"/>
  <c r="AZ31" i="3" s="1"/>
  <c r="BL40" i="3"/>
  <c r="BL43" i="3"/>
  <c r="AZ43" i="3" s="1"/>
  <c r="BL49" i="3"/>
  <c r="BA67" i="3"/>
  <c r="AZ67" i="3" s="1"/>
  <c r="BA70" i="3"/>
  <c r="AZ70" i="3" s="1"/>
  <c r="BA84" i="3"/>
  <c r="AZ84" i="3" s="1"/>
  <c r="BA86" i="3"/>
  <c r="AZ86" i="3" s="1"/>
  <c r="BA88" i="3"/>
  <c r="AZ88" i="3" s="1"/>
  <c r="BA104" i="3"/>
  <c r="AZ104" i="3" s="1"/>
  <c r="BL109" i="3"/>
  <c r="BL112" i="3"/>
  <c r="BL276" i="3"/>
  <c r="AZ276" i="3" s="1"/>
  <c r="BL281" i="3"/>
  <c r="G288" i="3"/>
  <c r="G294" i="3"/>
  <c r="G299" i="3"/>
  <c r="BL150" i="3"/>
  <c r="BL162" i="3"/>
  <c r="AZ162" i="3" s="1"/>
  <c r="BL166" i="3"/>
  <c r="AZ166" i="3" s="1"/>
  <c r="BA180" i="3"/>
  <c r="AZ180" i="3" s="1"/>
  <c r="BL203" i="3"/>
  <c r="AZ203" i="3" s="1"/>
  <c r="AZ27" i="3"/>
  <c r="BA290" i="3"/>
  <c r="AZ290" i="3" s="1"/>
  <c r="BA301" i="3"/>
  <c r="AZ301" i="3" s="1"/>
  <c r="G116" i="3"/>
  <c r="G136" i="3"/>
  <c r="BL146" i="3"/>
  <c r="G150" i="3"/>
  <c r="BL155" i="3"/>
  <c r="AZ155" i="3" s="1"/>
  <c r="G156" i="3"/>
  <c r="BL157" i="3"/>
  <c r="AZ157" i="3" s="1"/>
  <c r="BL161" i="3"/>
  <c r="AZ161" i="3" s="1"/>
  <c r="G162" i="3"/>
  <c r="BA197" i="3"/>
  <c r="AZ197" i="3" s="1"/>
  <c r="AZ23" i="3"/>
  <c r="BA25" i="3"/>
  <c r="AZ25" i="3" s="1"/>
  <c r="BL33" i="3"/>
  <c r="AZ33" i="3" s="1"/>
  <c r="G35" i="3"/>
  <c r="BL42" i="3"/>
  <c r="AZ42" i="3" s="1"/>
  <c r="AZ52" i="3"/>
  <c r="AZ60" i="3"/>
  <c r="BL72" i="3"/>
  <c r="AZ72" i="3" s="1"/>
  <c r="G74" i="3"/>
  <c r="BA87" i="3"/>
  <c r="BA103" i="3"/>
  <c r="AZ103" i="3" s="1"/>
  <c r="BL19" i="3"/>
  <c r="BA37" i="3"/>
  <c r="AZ37" i="3" s="1"/>
  <c r="G56" i="3"/>
  <c r="BL75" i="3"/>
  <c r="AZ75" i="3" s="1"/>
  <c r="BL89" i="3"/>
  <c r="G94" i="3"/>
  <c r="G100" i="3"/>
  <c r="BL104" i="3"/>
  <c r="G105" i="3"/>
  <c r="BA207" i="3"/>
  <c r="AZ207" i="3" s="1"/>
  <c r="BL52" i="3"/>
  <c r="BA96" i="3"/>
  <c r="BA109" i="3"/>
  <c r="J52" i="43"/>
  <c r="D52" i="43"/>
  <c r="AC21" i="33"/>
  <c r="BL206" i="3"/>
  <c r="AZ206" i="3" s="1"/>
  <c r="G33" i="3"/>
  <c r="BA50" i="3"/>
  <c r="AZ50" i="3" s="1"/>
  <c r="G72" i="3"/>
  <c r="G91" i="3"/>
  <c r="BL95" i="3"/>
  <c r="BL106" i="3"/>
  <c r="AZ106" i="3" s="1"/>
  <c r="BA110" i="3"/>
  <c r="AZ110" i="3" s="1"/>
  <c r="BA30" i="3"/>
  <c r="AZ30" i="3" s="1"/>
  <c r="BA47" i="3"/>
  <c r="AZ47" i="3" s="1"/>
  <c r="BL68" i="3"/>
  <c r="AZ68" i="3" s="1"/>
  <c r="BL101" i="3"/>
  <c r="AZ101" i="3" s="1"/>
  <c r="BL108" i="3"/>
  <c r="BA112" i="3"/>
  <c r="AZ112" i="3" s="1"/>
  <c r="BA198" i="3"/>
  <c r="AZ198" i="3" s="1"/>
  <c r="BL29" i="3"/>
  <c r="AZ29" i="3" s="1"/>
  <c r="BA66" i="3"/>
  <c r="AZ66" i="3" s="1"/>
  <c r="BA83" i="3"/>
  <c r="AZ83" i="3" s="1"/>
  <c r="G97" i="3"/>
  <c r="G43" i="3"/>
  <c r="BA63" i="3"/>
  <c r="AZ63" i="3" s="1"/>
  <c r="G82" i="3"/>
  <c r="BL87" i="3"/>
  <c r="BA93" i="3"/>
  <c r="AZ93" i="3" s="1"/>
  <c r="BA99" i="3"/>
  <c r="AZ99" i="3" s="1"/>
  <c r="BL110" i="3"/>
  <c r="G112" i="3"/>
  <c r="G26" i="3"/>
  <c r="G5" i="3" s="1"/>
  <c r="B3" i="3" s="1"/>
  <c r="BA40" i="3"/>
  <c r="BL78" i="3"/>
  <c r="AZ78" i="3" s="1"/>
  <c r="BL98" i="3"/>
  <c r="AZ98" i="3" s="1"/>
  <c r="C43" i="71"/>
  <c r="D42" i="71"/>
  <c r="AA18" i="36"/>
  <c r="S18" i="36"/>
  <c r="D79" i="71"/>
  <c r="C78" i="71"/>
  <c r="D78" i="71" s="1"/>
  <c r="C39" i="71"/>
  <c r="D38" i="71"/>
  <c r="AB23" i="71"/>
  <c r="AA21" i="71"/>
  <c r="AB18" i="36"/>
  <c r="D60" i="71"/>
  <c r="AA27" i="71"/>
  <c r="E34" i="71"/>
  <c r="E35" i="71" s="1"/>
  <c r="E36" i="71" s="1"/>
  <c r="U36" i="71" s="1"/>
  <c r="F31" i="71"/>
  <c r="F32" i="71" s="1"/>
  <c r="V32" i="71" s="1"/>
  <c r="Y32" i="71"/>
  <c r="Z32" i="71" s="1"/>
  <c r="F34" i="71"/>
  <c r="F35" i="71" s="1"/>
  <c r="F36" i="71" s="1"/>
  <c r="V36" i="71" s="1"/>
  <c r="AB32" i="71"/>
  <c r="Y36" i="71"/>
  <c r="Z36" i="71" s="1"/>
  <c r="AA10" i="71"/>
  <c r="AA9" i="71"/>
  <c r="F66" i="71"/>
  <c r="Q67" i="71"/>
  <c r="Y24" i="71"/>
  <c r="Z24" i="71" s="1"/>
  <c r="Y18" i="71"/>
  <c r="Z18" i="71" s="1"/>
  <c r="F3" i="35"/>
  <c r="AA25" i="40"/>
  <c r="AA26" i="71"/>
  <c r="C27" i="71"/>
  <c r="X26" i="71"/>
  <c r="AA30" i="71"/>
  <c r="AB37" i="71"/>
  <c r="F38" i="71"/>
  <c r="F39" i="71" s="1"/>
  <c r="F40" i="71" s="1"/>
  <c r="V40" i="71" s="1"/>
  <c r="AB10" i="71"/>
  <c r="AB9" i="71"/>
  <c r="AB39" i="71"/>
  <c r="C55" i="71"/>
  <c r="D54" i="71"/>
  <c r="X22" i="71"/>
  <c r="AB21" i="71"/>
  <c r="U21" i="33"/>
  <c r="AB21" i="33"/>
  <c r="T28" i="71"/>
  <c r="E75" i="71"/>
  <c r="E74" i="71" s="1"/>
  <c r="X30" i="71"/>
  <c r="Y26" i="71"/>
  <c r="Z26" i="71" s="1"/>
  <c r="Y31" i="71"/>
  <c r="Z31" i="71" s="1"/>
  <c r="AA32" i="71"/>
  <c r="Y35" i="71"/>
  <c r="Z35" i="71" s="1"/>
  <c r="B67" i="71"/>
  <c r="N68" i="71"/>
  <c r="T72" i="71"/>
  <c r="V80" i="71"/>
  <c r="X24" i="71"/>
  <c r="AA24" i="71"/>
  <c r="Y23" i="71"/>
  <c r="Z23" i="71" s="1"/>
  <c r="D58" i="43"/>
  <c r="AB33" i="71"/>
  <c r="AB29" i="71"/>
  <c r="E38" i="71"/>
  <c r="E39" i="71" s="1"/>
  <c r="E40" i="71" s="1"/>
  <c r="U40" i="71" s="1"/>
  <c r="AB36" i="71"/>
  <c r="T68" i="71"/>
  <c r="O68" i="71"/>
  <c r="AB24" i="71"/>
  <c r="AA22" i="71"/>
  <c r="X18" i="71"/>
  <c r="AA18" i="71"/>
  <c r="Y14" i="71"/>
  <c r="Z14" i="71" s="1"/>
  <c r="X17" i="71"/>
  <c r="D53" i="43"/>
  <c r="AC21" i="21"/>
  <c r="U25" i="40"/>
  <c r="AA21" i="21"/>
  <c r="S21" i="21"/>
  <c r="C86" i="71"/>
  <c r="D86" i="71" s="1"/>
  <c r="AB28" i="71"/>
  <c r="C71" i="71"/>
  <c r="D58" i="71"/>
  <c r="Y28" i="71"/>
  <c r="Z28" i="71" s="1"/>
  <c r="B30" i="71"/>
  <c r="B31" i="71" s="1"/>
  <c r="B32" i="71" s="1"/>
  <c r="S32" i="71" s="1"/>
  <c r="X25" i="71"/>
  <c r="AA35" i="71"/>
  <c r="AB34" i="71"/>
  <c r="T76" i="71"/>
  <c r="Y17" i="71"/>
  <c r="Z17" i="71" s="1"/>
  <c r="E66" i="71"/>
  <c r="AB27" i="71"/>
  <c r="AB17" i="71"/>
  <c r="AB25" i="71"/>
  <c r="Y33" i="71"/>
  <c r="Z33" i="71" s="1"/>
  <c r="C30" i="71"/>
  <c r="Y29" i="71"/>
  <c r="Z29" i="71" s="1"/>
  <c r="AB31" i="71"/>
  <c r="AB35" i="71"/>
  <c r="C51" i="71"/>
  <c r="D50" i="71"/>
  <c r="D75" i="71"/>
  <c r="C74" i="71"/>
  <c r="D74" i="71" s="1"/>
  <c r="AB18" i="71"/>
  <c r="AB11" i="71"/>
  <c r="AB26" i="71"/>
  <c r="C66" i="71"/>
  <c r="O67" i="71"/>
  <c r="D67" i="71"/>
  <c r="Y27" i="71"/>
  <c r="Z27" i="71" s="1"/>
  <c r="Y37" i="71"/>
  <c r="Z37" i="71" s="1"/>
  <c r="T36" i="71"/>
  <c r="D36" i="71"/>
  <c r="AA29" i="71"/>
  <c r="AA25" i="71"/>
  <c r="AA34" i="71"/>
  <c r="Y9" i="71"/>
  <c r="Z9" i="71" s="1"/>
  <c r="Y10" i="71"/>
  <c r="Z10" i="71" s="1"/>
  <c r="AA14" i="71"/>
  <c r="X12" i="71"/>
  <c r="G1" i="81"/>
  <c r="X9" i="71"/>
  <c r="N56" i="9"/>
  <c r="Y22" i="71"/>
  <c r="Z22" i="71" s="1"/>
  <c r="X21" i="71"/>
  <c r="X15" i="71"/>
  <c r="X13" i="71"/>
  <c r="F24" i="71"/>
  <c r="F23" i="71" s="1"/>
  <c r="F22" i="71" s="1"/>
  <c r="F21" i="71" s="1"/>
  <c r="F20" i="71" s="1"/>
  <c r="F19" i="71" s="1"/>
  <c r="F18" i="71" s="1"/>
  <c r="F17" i="71" s="1"/>
  <c r="AB12" i="71"/>
  <c r="X14" i="71"/>
  <c r="AA23" i="71"/>
  <c r="AA15" i="71"/>
  <c r="AA12" i="71"/>
  <c r="AB15" i="71"/>
  <c r="AA13" i="71"/>
  <c r="AB13" i="71"/>
  <c r="Y12" i="71"/>
  <c r="Z12" i="71" s="1"/>
  <c r="E23" i="71"/>
  <c r="E22" i="71" s="1"/>
  <c r="E21" i="71" s="1"/>
  <c r="E20" i="71" s="1"/>
  <c r="Y21" i="71"/>
  <c r="Z21" i="71" s="1"/>
  <c r="AA11" i="71"/>
  <c r="AB14" i="71"/>
  <c r="Y13" i="71"/>
  <c r="Z13" i="71" s="1"/>
  <c r="AA17" i="71"/>
  <c r="X11" i="71"/>
  <c r="Y11" i="71"/>
  <c r="Z11" i="71" s="1"/>
  <c r="X10" i="71"/>
  <c r="F6" i="1"/>
  <c r="I24" i="43" s="1"/>
  <c r="C24" i="43" s="1"/>
  <c r="G7" i="1"/>
  <c r="B75" i="43"/>
  <c r="B68" i="43"/>
  <c r="B57" i="43"/>
  <c r="B73" i="43"/>
  <c r="B79" i="43"/>
  <c r="B76" i="43"/>
  <c r="B77" i="43"/>
  <c r="F34" i="15"/>
  <c r="F62" i="15" s="1"/>
  <c r="F34" i="67"/>
  <c r="F62" i="67" s="1"/>
  <c r="C21" i="68"/>
  <c r="C40" i="69"/>
  <c r="G28" i="6"/>
  <c r="A15" i="62"/>
  <c r="B61" i="72" s="1"/>
  <c r="A2" i="9"/>
  <c r="A4" i="52"/>
  <c r="B41" i="72" s="1"/>
  <c r="K56" i="9"/>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L19" i="6"/>
  <c r="L27" i="6" s="1"/>
  <c r="M6" i="1"/>
  <c r="O6" i="1"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T35" i="4"/>
  <c r="A19" i="51" s="1"/>
  <c r="B14" i="72" s="1"/>
  <c r="H110" i="9"/>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K1" i="73"/>
  <c r="B20" i="31"/>
  <c r="B21" i="31" s="1"/>
  <c r="I1" i="73"/>
  <c r="B39" i="1" s="1"/>
  <c r="F51" i="67"/>
  <c r="F65" i="67"/>
  <c r="J53" i="67"/>
  <c r="J57" i="67"/>
  <c r="J55" i="67" s="1"/>
  <c r="J58" i="67" s="1"/>
  <c r="Q50" i="67" s="1"/>
  <c r="L56" i="67"/>
  <c r="I54" i="67"/>
  <c r="M7" i="15"/>
  <c r="J6" i="15" s="1"/>
  <c r="F50" i="15"/>
  <c r="F51" i="15"/>
  <c r="F71" i="15"/>
  <c r="C6" i="15"/>
  <c r="F66" i="67"/>
  <c r="L59" i="15"/>
  <c r="N59" i="15"/>
  <c r="M59" i="15"/>
  <c r="Q71" i="67"/>
  <c r="F64" i="15"/>
  <c r="C27" i="67"/>
  <c r="F71" i="67"/>
  <c r="C27" i="15"/>
  <c r="F65" i="15"/>
  <c r="N59" i="67"/>
  <c r="L59" i="67"/>
  <c r="L58" i="67"/>
  <c r="M59" i="67"/>
  <c r="B13" i="70"/>
  <c r="M7" i="67"/>
  <c r="J6" i="67" s="1"/>
  <c r="F50" i="67"/>
  <c r="F68" i="67"/>
  <c r="F64" i="67"/>
  <c r="C36" i="68"/>
  <c r="D9" i="69"/>
  <c r="F27" i="69"/>
  <c r="C36" i="69"/>
  <c r="D9" i="68"/>
  <c r="D5" i="73"/>
  <c r="C16" i="67"/>
  <c r="L48" i="15"/>
  <c r="M24" i="15"/>
  <c r="F38" i="15"/>
  <c r="F40" i="15"/>
  <c r="C16" i="15"/>
  <c r="G1" i="73"/>
  <c r="F68" i="15" l="1"/>
  <c r="F66" i="15"/>
  <c r="E97" i="3"/>
  <c r="E205" i="3"/>
  <c r="E173" i="3"/>
  <c r="T6" i="3"/>
  <c r="E512" i="3"/>
  <c r="E556" i="3"/>
  <c r="E452" i="3"/>
  <c r="E104" i="3"/>
  <c r="E139" i="3"/>
  <c r="E332" i="3"/>
  <c r="E42" i="3"/>
  <c r="E482" i="3"/>
  <c r="E96" i="3"/>
  <c r="E129" i="3"/>
  <c r="E174" i="3"/>
  <c r="E275" i="3"/>
  <c r="E324" i="3"/>
  <c r="E34" i="3"/>
  <c r="E206" i="3"/>
  <c r="E251" i="3"/>
  <c r="E140" i="3"/>
  <c r="E469" i="3"/>
  <c r="E376" i="3"/>
  <c r="E483" i="3"/>
  <c r="E41" i="3"/>
  <c r="E242" i="3"/>
  <c r="E356" i="3"/>
  <c r="E540" i="3"/>
  <c r="E79" i="3"/>
  <c r="E103" i="3"/>
  <c r="E163" i="3"/>
  <c r="E219" i="3"/>
  <c r="E371" i="3"/>
  <c r="E24" i="3"/>
  <c r="E123" i="3"/>
  <c r="E233" i="3"/>
  <c r="AF6" i="3"/>
  <c r="E80" i="3"/>
  <c r="E158" i="3"/>
  <c r="E308" i="3"/>
  <c r="E22" i="3"/>
  <c r="E223" i="3"/>
  <c r="E534" i="3"/>
  <c r="E507" i="3"/>
  <c r="AH6" i="3"/>
  <c r="E470" i="3"/>
  <c r="E108" i="3"/>
  <c r="E281" i="3"/>
  <c r="E372" i="3"/>
  <c r="E428" i="3"/>
  <c r="E64" i="3"/>
  <c r="E138" i="3"/>
  <c r="E194" i="3"/>
  <c r="E584" i="3"/>
  <c r="E36" i="3"/>
  <c r="E144" i="3"/>
  <c r="E284" i="3"/>
  <c r="Y6" i="3"/>
  <c r="E19" i="3"/>
  <c r="E179" i="3"/>
  <c r="E323" i="3"/>
  <c r="J6" i="3"/>
  <c r="E243" i="3"/>
  <c r="E160" i="3"/>
  <c r="E325" i="3"/>
  <c r="E147" i="3"/>
  <c r="E68" i="3"/>
  <c r="E309" i="3"/>
  <c r="E564" i="3"/>
  <c r="E422" i="3"/>
  <c r="E497" i="3"/>
  <c r="E401" i="3"/>
  <c r="E115" i="3"/>
  <c r="AL6" i="3"/>
  <c r="E473" i="3"/>
  <c r="E98" i="3"/>
  <c r="E170" i="3"/>
  <c r="E200" i="3"/>
  <c r="E235" i="3"/>
  <c r="E386" i="3"/>
  <c r="AQ6" i="3"/>
  <c r="E67" i="3"/>
  <c r="E127" i="3"/>
  <c r="E340" i="3"/>
  <c r="E50" i="3"/>
  <c r="E62" i="3"/>
  <c r="E218" i="3"/>
  <c r="E365" i="3"/>
  <c r="E101" i="3"/>
  <c r="E329" i="3"/>
  <c r="E405" i="3"/>
  <c r="E440" i="3"/>
  <c r="E13" i="3"/>
  <c r="E463" i="3"/>
  <c r="E198" i="3"/>
  <c r="E276" i="3"/>
  <c r="E60" i="3"/>
  <c r="E412" i="3"/>
  <c r="E46" i="3"/>
  <c r="E190" i="3"/>
  <c r="E248" i="3"/>
  <c r="E310" i="3"/>
  <c r="E66" i="3"/>
  <c r="E184" i="3"/>
  <c r="E370" i="3"/>
  <c r="E102" i="3"/>
  <c r="E113" i="3"/>
  <c r="E287" i="3"/>
  <c r="E326" i="3"/>
  <c r="E83" i="3"/>
  <c r="E16" i="3"/>
  <c r="E427" i="3"/>
  <c r="E498" i="3"/>
  <c r="E119" i="3"/>
  <c r="E455" i="3"/>
  <c r="E195" i="3"/>
  <c r="E300" i="3"/>
  <c r="E52" i="3"/>
  <c r="E232" i="3"/>
  <c r="E51" i="3"/>
  <c r="E222" i="3"/>
  <c r="E525" i="3"/>
  <c r="E75" i="3"/>
  <c r="E209" i="3"/>
  <c r="E86" i="3"/>
  <c r="E381" i="3"/>
  <c r="E283" i="3"/>
  <c r="E369" i="3"/>
  <c r="E451" i="3"/>
  <c r="E346" i="3"/>
  <c r="E78" i="3"/>
  <c r="E234" i="3"/>
  <c r="E354" i="3"/>
  <c r="E341" i="3"/>
  <c r="E154" i="3"/>
  <c r="E360" i="3"/>
  <c r="E47" i="3"/>
  <c r="E339" i="3"/>
  <c r="E289" i="3"/>
  <c r="E118" i="3"/>
  <c r="E296" i="3"/>
  <c r="E393" i="3"/>
  <c r="E456" i="3"/>
  <c r="E494" i="3"/>
  <c r="E40" i="3"/>
  <c r="E202" i="3"/>
  <c r="E391" i="3"/>
  <c r="E18" i="3"/>
  <c r="E65" i="3"/>
  <c r="E137" i="3"/>
  <c r="E267" i="3"/>
  <c r="E307" i="3"/>
  <c r="E392" i="3"/>
  <c r="E84" i="3"/>
  <c r="E49" i="3"/>
  <c r="E250" i="3"/>
  <c r="E364" i="3"/>
  <c r="E20" i="3"/>
  <c r="E176" i="3"/>
  <c r="E265" i="3"/>
  <c r="E524" i="3"/>
  <c r="E188" i="3"/>
  <c r="E486" i="3"/>
  <c r="E419" i="3"/>
  <c r="E25" i="3"/>
  <c r="E225" i="3"/>
  <c r="E333" i="3"/>
  <c r="E142" i="3"/>
  <c r="E492" i="3"/>
  <c r="E87" i="3"/>
  <c r="E63" i="3"/>
  <c r="E513" i="3"/>
  <c r="E543" i="3"/>
  <c r="E408" i="3"/>
  <c r="E420" i="3"/>
  <c r="E178" i="3"/>
  <c r="L6" i="3"/>
  <c r="E15" i="3"/>
  <c r="E38" i="3"/>
  <c r="E220" i="3"/>
  <c r="E266" i="3"/>
  <c r="E23" i="3"/>
  <c r="E48" i="3"/>
  <c r="E355" i="3"/>
  <c r="E81" i="3"/>
  <c r="E264" i="3"/>
  <c r="E21" i="3"/>
  <c r="E197" i="3"/>
  <c r="E244" i="3"/>
  <c r="E312" i="3"/>
  <c r="E421" i="3"/>
  <c r="E416" i="3"/>
  <c r="E500" i="3"/>
  <c r="E520" i="3"/>
  <c r="E57" i="3"/>
  <c r="E240" i="3"/>
  <c r="E378" i="3"/>
  <c r="E110" i="3"/>
  <c r="E446" i="3"/>
  <c r="E253" i="3"/>
  <c r="E85" i="3"/>
  <c r="E511" i="3"/>
  <c r="E45" i="3"/>
  <c r="E519" i="3"/>
  <c r="E458" i="3"/>
  <c r="E457" i="3"/>
  <c r="E571" i="3"/>
  <c r="E433" i="3"/>
  <c r="E111" i="3"/>
  <c r="E279" i="3"/>
  <c r="E318" i="3"/>
  <c r="E567" i="3"/>
  <c r="E269" i="3"/>
  <c r="E107" i="3"/>
  <c r="E515" i="3"/>
  <c r="E414" i="3"/>
  <c r="E505" i="3"/>
  <c r="E476" i="3"/>
  <c r="E27" i="3"/>
  <c r="E186" i="3"/>
  <c r="E331" i="3"/>
  <c r="E44" i="3"/>
  <c r="E526" i="3"/>
  <c r="E322" i="3"/>
  <c r="E509" i="3"/>
  <c r="E431" i="3"/>
  <c r="E201" i="3"/>
  <c r="E514" i="3"/>
  <c r="M6" i="3"/>
  <c r="E387" i="3"/>
  <c r="E215" i="3"/>
  <c r="E69" i="3"/>
  <c r="E563" i="3"/>
  <c r="E445" i="3"/>
  <c r="E161" i="3"/>
  <c r="E191" i="3"/>
  <c r="E423" i="3"/>
  <c r="E385" i="3"/>
  <c r="X6" i="3"/>
  <c r="E522" i="3"/>
  <c r="E148" i="3"/>
  <c r="E575" i="3"/>
  <c r="E442" i="3"/>
  <c r="E449" i="3"/>
  <c r="E554" i="3"/>
  <c r="E417" i="3"/>
  <c r="E95" i="3"/>
  <c r="E258" i="3"/>
  <c r="E349" i="3"/>
  <c r="E59" i="3"/>
  <c r="E467" i="3"/>
  <c r="E77" i="3"/>
  <c r="E181" i="3"/>
  <c r="AK6" i="3"/>
  <c r="E277" i="3"/>
  <c r="K6" i="3"/>
  <c r="E472" i="3"/>
  <c r="E465" i="3"/>
  <c r="E577" i="3"/>
  <c r="E454" i="3"/>
  <c r="E146" i="3"/>
  <c r="E214" i="3"/>
  <c r="E362" i="3"/>
  <c r="E227" i="3"/>
  <c r="E89" i="3"/>
  <c r="E327" i="3"/>
  <c r="AO6" i="3"/>
  <c r="E400" i="3"/>
  <c r="E557" i="3"/>
  <c r="E489" i="3"/>
  <c r="E70" i="3"/>
  <c r="E211" i="3"/>
  <c r="E377" i="3"/>
  <c r="E109" i="3"/>
  <c r="E53" i="3"/>
  <c r="E501" i="3"/>
  <c r="E426" i="3"/>
  <c r="O6" i="3"/>
  <c r="E359" i="3"/>
  <c r="S6" i="3"/>
  <c r="E506" i="3"/>
  <c r="E338" i="3"/>
  <c r="E298" i="3"/>
  <c r="E237" i="3"/>
  <c r="E565" i="3"/>
  <c r="E17" i="3"/>
  <c r="E221" i="3"/>
  <c r="E159" i="3"/>
  <c r="E402" i="3"/>
  <c r="E353" i="3"/>
  <c r="AA6" i="3"/>
  <c r="E199" i="3"/>
  <c r="I3" i="6"/>
  <c r="E544" i="3"/>
  <c r="E133" i="3"/>
  <c r="E106" i="3"/>
  <c r="E345" i="3"/>
  <c r="E321" i="3"/>
  <c r="AN6" i="3"/>
  <c r="E149" i="3"/>
  <c r="AD6" i="3"/>
  <c r="E464" i="3"/>
  <c r="E459" i="3"/>
  <c r="E582" i="3"/>
  <c r="E436" i="3"/>
  <c r="E131" i="3"/>
  <c r="E297" i="3"/>
  <c r="E375" i="3"/>
  <c r="E488" i="3"/>
  <c r="E122" i="3"/>
  <c r="E136" i="3"/>
  <c r="E306" i="3"/>
  <c r="E224" i="3"/>
  <c r="E532" i="3"/>
  <c r="E474" i="3"/>
  <c r="E288" i="3"/>
  <c r="E537" i="3"/>
  <c r="E475" i="3"/>
  <c r="E168" i="3"/>
  <c r="E257" i="3"/>
  <c r="E14" i="3"/>
  <c r="E397" i="3"/>
  <c r="E207" i="3"/>
  <c r="E379" i="3"/>
  <c r="E411" i="3"/>
  <c r="E432" i="3"/>
  <c r="E547" i="3"/>
  <c r="E546" i="3"/>
  <c r="E92" i="3"/>
  <c r="E272" i="3"/>
  <c r="E317" i="3"/>
  <c r="E29" i="3"/>
  <c r="E125" i="3"/>
  <c r="E553" i="3"/>
  <c r="N6" i="3"/>
  <c r="E516" i="3"/>
  <c r="E396" i="3"/>
  <c r="E151" i="3"/>
  <c r="E559" i="3"/>
  <c r="V6" i="3"/>
  <c r="E320" i="3"/>
  <c r="E230" i="3"/>
  <c r="E114" i="3"/>
  <c r="E395" i="3"/>
  <c r="E550" i="3"/>
  <c r="E290" i="3"/>
  <c r="E245" i="3"/>
  <c r="E578" i="3"/>
  <c r="E293" i="3"/>
  <c r="E583" i="3"/>
  <c r="Z6" i="3"/>
  <c r="E574" i="3"/>
  <c r="E418" i="3"/>
  <c r="E213" i="3"/>
  <c r="E303" i="3"/>
  <c r="E212" i="3"/>
  <c r="E499" i="3"/>
  <c r="E466" i="3"/>
  <c r="E255" i="3"/>
  <c r="E517" i="3"/>
  <c r="E479" i="3"/>
  <c r="E152" i="3"/>
  <c r="E241" i="3"/>
  <c r="E389" i="3"/>
  <c r="E409" i="3"/>
  <c r="E156" i="3"/>
  <c r="E434" i="3"/>
  <c r="E262" i="3"/>
  <c r="E177" i="3"/>
  <c r="Q6" i="3"/>
  <c r="E481" i="3"/>
  <c r="E344" i="3"/>
  <c r="E429" i="3"/>
  <c r="E55" i="3"/>
  <c r="E203" i="3"/>
  <c r="E274" i="3"/>
  <c r="E580" i="3"/>
  <c r="I6" i="3"/>
  <c r="E252" i="3"/>
  <c r="E576" i="3"/>
  <c r="E448" i="3"/>
  <c r="E443" i="3"/>
  <c r="E581" i="3"/>
  <c r="E404" i="3"/>
  <c r="E121" i="3"/>
  <c r="E295" i="3"/>
  <c r="E334" i="3"/>
  <c r="E480" i="3"/>
  <c r="E175" i="3"/>
  <c r="E343" i="3"/>
  <c r="E508" i="3"/>
  <c r="E555" i="3"/>
  <c r="E337" i="3"/>
  <c r="E270" i="3"/>
  <c r="AR6" i="3"/>
  <c r="E538" i="3"/>
  <c r="E380" i="3"/>
  <c r="E216" i="3"/>
  <c r="E261" i="3"/>
  <c r="E183" i="3"/>
  <c r="E503" i="3"/>
  <c r="E91" i="3"/>
  <c r="E301" i="3"/>
  <c r="E586" i="3"/>
  <c r="E124" i="3"/>
  <c r="E347" i="3"/>
  <c r="R6" i="3"/>
  <c r="E56" i="3"/>
  <c r="E560" i="3"/>
  <c r="E171" i="3"/>
  <c r="E485" i="3"/>
  <c r="E572" i="3"/>
  <c r="E153" i="3"/>
  <c r="E285" i="3"/>
  <c r="E523" i="3"/>
  <c r="E304" i="3"/>
  <c r="E302" i="3"/>
  <c r="E280" i="3"/>
  <c r="E510" i="3"/>
  <c r="E167" i="3"/>
  <c r="E542" i="3"/>
  <c r="E487" i="3"/>
  <c r="E374" i="3"/>
  <c r="E413" i="3"/>
  <c r="E39" i="3"/>
  <c r="E187" i="3"/>
  <c r="E259" i="3"/>
  <c r="E504" i="3"/>
  <c r="E462" i="3"/>
  <c r="E453" i="3"/>
  <c r="E314" i="3"/>
  <c r="E99" i="3"/>
  <c r="E193" i="3"/>
  <c r="E573" i="3"/>
  <c r="E527" i="3"/>
  <c r="E562" i="3"/>
  <c r="E450" i="3"/>
  <c r="E72" i="3"/>
  <c r="E150" i="3"/>
  <c r="E351" i="3"/>
  <c r="E31" i="3"/>
  <c r="E549" i="3"/>
  <c r="E271" i="3"/>
  <c r="E585" i="3"/>
  <c r="E478" i="3"/>
  <c r="E477" i="3"/>
  <c r="AS6" i="3"/>
  <c r="E447" i="3"/>
  <c r="E210" i="3"/>
  <c r="E384" i="3"/>
  <c r="E441" i="3"/>
  <c r="E217" i="3"/>
  <c r="E268" i="3"/>
  <c r="AJ6" i="3"/>
  <c r="E579" i="3"/>
  <c r="E247" i="3"/>
  <c r="E311" i="3"/>
  <c r="E570" i="3"/>
  <c r="AB6" i="3"/>
  <c r="E335" i="3"/>
  <c r="E189" i="3"/>
  <c r="E278" i="3"/>
  <c r="E172" i="3"/>
  <c r="E535" i="3"/>
  <c r="E135" i="3"/>
  <c r="E263" i="3"/>
  <c r="AI6" i="3"/>
  <c r="E246" i="3"/>
  <c r="E132" i="3"/>
  <c r="E228" i="3"/>
  <c r="E587" i="3"/>
  <c r="E368" i="3"/>
  <c r="E28" i="3"/>
  <c r="E373" i="3"/>
  <c r="E342" i="3"/>
  <c r="E165" i="3"/>
  <c r="E141" i="3"/>
  <c r="E552" i="3"/>
  <c r="E398" i="3"/>
  <c r="E566" i="3"/>
  <c r="E460" i="3"/>
  <c r="E90" i="3"/>
  <c r="E155" i="3"/>
  <c r="E348" i="3"/>
  <c r="E58" i="3"/>
  <c r="E521" i="3"/>
  <c r="E461" i="3"/>
  <c r="E352" i="3"/>
  <c r="E157" i="3"/>
  <c r="E313" i="3"/>
  <c r="E529" i="3"/>
  <c r="E438" i="3"/>
  <c r="W6" i="3"/>
  <c r="E471" i="3"/>
  <c r="E54" i="3"/>
  <c r="E208" i="3"/>
  <c r="E357" i="3"/>
  <c r="E93" i="3"/>
  <c r="E196" i="3"/>
  <c r="E145" i="3"/>
  <c r="U6" i="3"/>
  <c r="E548" i="3"/>
  <c r="E367" i="3"/>
  <c r="E403" i="3"/>
  <c r="E71" i="3"/>
  <c r="E291" i="3"/>
  <c r="AM6" i="3"/>
  <c r="E366" i="3"/>
  <c r="E282" i="3"/>
  <c r="E239" i="3"/>
  <c r="E569" i="3"/>
  <c r="E229" i="3"/>
  <c r="E358" i="3"/>
  <c r="E551" i="3"/>
  <c r="E407" i="3"/>
  <c r="E294" i="3"/>
  <c r="E130" i="3"/>
  <c r="E415" i="3"/>
  <c r="E260" i="3"/>
  <c r="E117" i="3"/>
  <c r="E61" i="3"/>
  <c r="E382" i="3"/>
  <c r="E518" i="3"/>
  <c r="E336" i="3"/>
  <c r="E539" i="3"/>
  <c r="E435" i="3"/>
  <c r="E484" i="3"/>
  <c r="E568" i="3"/>
  <c r="E315" i="3"/>
  <c r="E182" i="3"/>
  <c r="E319" i="3"/>
  <c r="E328" i="3"/>
  <c r="E390" i="3"/>
  <c r="E169" i="3"/>
  <c r="E254" i="3"/>
  <c r="E383" i="3"/>
  <c r="E536" i="3"/>
  <c r="E286" i="3"/>
  <c r="E502" i="3"/>
  <c r="E430" i="3"/>
  <c r="AP6" i="3"/>
  <c r="E491" i="3"/>
  <c r="E37" i="3"/>
  <c r="E192" i="3"/>
  <c r="E363" i="3"/>
  <c r="E76" i="3"/>
  <c r="E425" i="3"/>
  <c r="E238" i="3"/>
  <c r="E128" i="3"/>
  <c r="E120" i="3"/>
  <c r="E330" i="3"/>
  <c r="E437" i="3"/>
  <c r="E424" i="3"/>
  <c r="AE6" i="3"/>
  <c r="E496" i="3"/>
  <c r="E73" i="3"/>
  <c r="E256" i="3"/>
  <c r="E394" i="3"/>
  <c r="E32" i="3"/>
  <c r="E236" i="3"/>
  <c r="E164" i="3"/>
  <c r="AG6" i="3"/>
  <c r="P6" i="3"/>
  <c r="E558" i="3"/>
  <c r="E444" i="3"/>
  <c r="E88" i="3"/>
  <c r="E166" i="3"/>
  <c r="E316" i="3"/>
  <c r="E30" i="3"/>
  <c r="E530" i="3"/>
  <c r="E305" i="3"/>
  <c r="E388" i="3"/>
  <c r="E410" i="3"/>
  <c r="E143" i="3"/>
  <c r="E533" i="3"/>
  <c r="E561" i="3"/>
  <c r="E439" i="3"/>
  <c r="E231" i="3"/>
  <c r="E185" i="3"/>
  <c r="E528" i="3"/>
  <c r="E361" i="3"/>
  <c r="E180" i="3"/>
  <c r="E134" i="3"/>
  <c r="E350" i="3"/>
  <c r="E495" i="3"/>
  <c r="E399" i="3"/>
  <c r="E541" i="3"/>
  <c r="E292" i="3"/>
  <c r="E545" i="3"/>
  <c r="E406" i="3"/>
  <c r="E468" i="3"/>
  <c r="E74" i="3"/>
  <c r="E204" i="3"/>
  <c r="E531" i="3"/>
  <c r="E273" i="3"/>
  <c r="E162" i="3"/>
  <c r="E126" i="3"/>
  <c r="E116" i="3"/>
  <c r="U12" i="34"/>
  <c r="AB12" i="34"/>
  <c r="AC29" i="21"/>
  <c r="W29" i="21"/>
  <c r="U14" i="34"/>
  <c r="AB14" i="34"/>
  <c r="H7" i="36"/>
  <c r="O66" i="71"/>
  <c r="D66" i="71"/>
  <c r="O65" i="71"/>
  <c r="P65" i="71"/>
  <c r="P66" i="71"/>
  <c r="Q66" i="71"/>
  <c r="Q65" i="71"/>
  <c r="AZ40" i="3"/>
  <c r="AZ5" i="3" s="1"/>
  <c r="AZ109" i="3"/>
  <c r="E249" i="3"/>
  <c r="AZ118" i="3"/>
  <c r="AZ573" i="3"/>
  <c r="AB44" i="39"/>
  <c r="U44" i="39"/>
  <c r="S12" i="40"/>
  <c r="AA12" i="40"/>
  <c r="S45" i="39"/>
  <c r="AA45" i="39"/>
  <c r="W12" i="35"/>
  <c r="AC12" i="35"/>
  <c r="AA26" i="33"/>
  <c r="S26" i="33"/>
  <c r="AA11" i="36"/>
  <c r="S11" i="36"/>
  <c r="AZ504" i="3"/>
  <c r="AA24" i="35"/>
  <c r="S24" i="35"/>
  <c r="J7" i="37"/>
  <c r="E19" i="71"/>
  <c r="E18" i="71" s="1"/>
  <c r="E17" i="71" s="1"/>
  <c r="E16" i="71" s="1"/>
  <c r="V20" i="71"/>
  <c r="D71" i="71"/>
  <c r="C70" i="71"/>
  <c r="D70" i="71" s="1"/>
  <c r="C56" i="71"/>
  <c r="D55" i="71"/>
  <c r="D27" i="71"/>
  <c r="C26" i="71"/>
  <c r="D26" i="71" s="1"/>
  <c r="E26" i="3"/>
  <c r="E43" i="3"/>
  <c r="AZ96" i="3"/>
  <c r="AZ235" i="3"/>
  <c r="E226" i="3"/>
  <c r="F28" i="6"/>
  <c r="AZ367" i="3"/>
  <c r="U23" i="36"/>
  <c r="AB23" i="36"/>
  <c r="W12" i="40"/>
  <c r="AC12" i="40"/>
  <c r="AC45" i="39"/>
  <c r="W45" i="39"/>
  <c r="W14" i="34"/>
  <c r="AC14" i="34"/>
  <c r="W26" i="33"/>
  <c r="AC26" i="33"/>
  <c r="AZ506" i="3"/>
  <c r="AB24" i="35"/>
  <c r="U24" i="35"/>
  <c r="AC9" i="33"/>
  <c r="W9" i="33"/>
  <c r="AB12" i="21"/>
  <c r="U12" i="21"/>
  <c r="AC24" i="35"/>
  <c r="W24" i="35"/>
  <c r="B15" i="71"/>
  <c r="B14" i="71" s="1"/>
  <c r="B13" i="71" s="1"/>
  <c r="B12" i="71" s="1"/>
  <c r="S16" i="71"/>
  <c r="C31" i="71"/>
  <c r="D30" i="71"/>
  <c r="E33" i="3"/>
  <c r="E299" i="3"/>
  <c r="BL5" i="3"/>
  <c r="AZ585" i="3"/>
  <c r="AB14" i="39"/>
  <c r="U14" i="39"/>
  <c r="U29" i="21"/>
  <c r="AB29" i="21"/>
  <c r="S14" i="34"/>
  <c r="AA14" i="34"/>
  <c r="AC13" i="21"/>
  <c r="W13" i="21"/>
  <c r="AZ555" i="3"/>
  <c r="AC12" i="21"/>
  <c r="W12" i="21"/>
  <c r="AZ525" i="3"/>
  <c r="E493" i="3"/>
  <c r="E59" i="40"/>
  <c r="E28" i="6"/>
  <c r="K14" i="1" s="1"/>
  <c r="M14" i="1" s="1"/>
  <c r="N67" i="71"/>
  <c r="B66" i="71"/>
  <c r="E105" i="3"/>
  <c r="AC39" i="40"/>
  <c r="W39" i="40"/>
  <c r="S14" i="39"/>
  <c r="AA14" i="39"/>
  <c r="AB9" i="33"/>
  <c r="U9" i="33"/>
  <c r="AB13" i="21"/>
  <c r="U13" i="21"/>
  <c r="AZ580" i="3"/>
  <c r="S12" i="21"/>
  <c r="AA12" i="21"/>
  <c r="U45" i="39"/>
  <c r="AB45" i="39"/>
  <c r="C44" i="71"/>
  <c r="D43" i="71"/>
  <c r="E35" i="3"/>
  <c r="AZ150" i="3"/>
  <c r="U39" i="40"/>
  <c r="AB39" i="40"/>
  <c r="AA31" i="39"/>
  <c r="S31" i="39"/>
  <c r="C18" i="71"/>
  <c r="D19" i="71"/>
  <c r="E112" i="3"/>
  <c r="E100" i="3"/>
  <c r="AZ87" i="3"/>
  <c r="E490" i="3"/>
  <c r="S12" i="34"/>
  <c r="AA12" i="34"/>
  <c r="W31" i="39"/>
  <c r="AC31" i="39"/>
  <c r="F29" i="6"/>
  <c r="E29" i="6" s="1"/>
  <c r="K15" i="1" s="1"/>
  <c r="C52" i="71"/>
  <c r="D51" i="71"/>
  <c r="C40" i="71"/>
  <c r="D39" i="71"/>
  <c r="E82" i="3"/>
  <c r="E94" i="3"/>
  <c r="AZ19" i="3"/>
  <c r="AZ281" i="3"/>
  <c r="W44" i="39"/>
  <c r="AC44" i="39"/>
  <c r="U12" i="35"/>
  <c r="AB12" i="35"/>
  <c r="AB31" i="39"/>
  <c r="U31" i="39"/>
  <c r="J57" i="15"/>
  <c r="J55" i="15" s="1"/>
  <c r="J58" i="15" s="1"/>
  <c r="Q50" i="15" s="1"/>
  <c r="J53" i="15"/>
  <c r="L56" i="15" s="1"/>
  <c r="I54" i="15"/>
  <c r="L58" i="15"/>
  <c r="Q60" i="15" s="1"/>
  <c r="G6" i="1"/>
  <c r="G16" i="1" s="1"/>
  <c r="F10" i="39" s="1"/>
  <c r="AA10" i="39" s="1"/>
  <c r="F11" i="81"/>
  <c r="M11" i="81"/>
  <c r="D18" i="53"/>
  <c r="B35" i="72" s="1"/>
  <c r="E61" i="43"/>
  <c r="B59" i="43" s="1"/>
  <c r="C28" i="43" s="1"/>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E51" i="40"/>
  <c r="E16" i="6"/>
  <c r="AC6" i="3"/>
  <c r="H6" i="3"/>
  <c r="E58" i="40"/>
  <c r="E62" i="39"/>
  <c r="D5" i="43"/>
  <c r="J10" i="40"/>
  <c r="AC10" i="40" s="1"/>
  <c r="F10" i="40"/>
  <c r="S10" i="40" s="1"/>
  <c r="H10" i="40"/>
  <c r="AB10" i="40" s="1"/>
  <c r="C7" i="43"/>
  <c r="C5" i="43" s="1"/>
  <c r="D10" i="52"/>
  <c r="D125" i="9"/>
  <c r="D11" i="52" s="1"/>
  <c r="B7" i="74"/>
  <c r="C7" i="74" s="1"/>
  <c r="F67" i="39"/>
  <c r="E69" i="39"/>
  <c r="F59" i="67"/>
  <c r="H7" i="37"/>
  <c r="AB7" i="37" s="1"/>
  <c r="T42" i="37" s="1"/>
  <c r="G42" i="37" s="1"/>
  <c r="B40" i="1"/>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J18" i="67"/>
  <c r="C32" i="15"/>
  <c r="F1" i="67"/>
  <c r="Q52" i="67"/>
  <c r="Q61" i="67"/>
  <c r="Q74" i="67"/>
  <c r="Q74" i="15"/>
  <c r="Q61" i="15"/>
  <c r="AE11" i="1"/>
  <c r="AE9" i="1"/>
  <c r="F27" i="68"/>
  <c r="AE8" i="1"/>
  <c r="AE12" i="1"/>
  <c r="AE10" i="1"/>
  <c r="F40" i="81"/>
  <c r="F43" i="81"/>
  <c r="F9" i="81"/>
  <c r="M22" i="81"/>
  <c r="C76" i="81"/>
  <c r="F8" i="81"/>
  <c r="L48" i="81"/>
  <c r="M23" i="81"/>
  <c r="M6" i="81"/>
  <c r="M29" i="81"/>
  <c r="F38" i="81"/>
  <c r="L47" i="81"/>
  <c r="F6" i="81"/>
  <c r="M9" i="81"/>
  <c r="F36" i="81"/>
  <c r="M28" i="81"/>
  <c r="F16" i="81"/>
  <c r="M8" i="81"/>
  <c r="F37" i="81"/>
  <c r="F7" i="81"/>
  <c r="F42" i="81"/>
  <c r="M26" i="81"/>
  <c r="M24" i="81"/>
  <c r="F13" i="81"/>
  <c r="J15" i="81"/>
  <c r="F26" i="81"/>
  <c r="C27" i="81" l="1"/>
  <c r="C6" i="81"/>
  <c r="C10" i="81" s="1"/>
  <c r="C5" i="81" s="1"/>
  <c r="F64" i="81"/>
  <c r="F65" i="81"/>
  <c r="F66" i="81"/>
  <c r="F51" i="81"/>
  <c r="L56" i="81"/>
  <c r="J53" i="81"/>
  <c r="J57" i="81"/>
  <c r="J55" i="81" s="1"/>
  <c r="J58" i="81" s="1"/>
  <c r="Q50" i="81" s="1"/>
  <c r="L57" i="81"/>
  <c r="I54" i="81"/>
  <c r="L60" i="81"/>
  <c r="F71" i="81"/>
  <c r="N59" i="81"/>
  <c r="L59" i="81"/>
  <c r="M59" i="81"/>
  <c r="L58" i="81"/>
  <c r="F50" i="81"/>
  <c r="M7" i="81"/>
  <c r="J6" i="81" s="1"/>
  <c r="F68" i="81"/>
  <c r="Q71" i="81"/>
  <c r="AY6" i="3"/>
  <c r="E3" i="6"/>
  <c r="D33" i="43" s="1"/>
  <c r="D1" i="43" s="1"/>
  <c r="K16" i="1"/>
  <c r="B29" i="1" s="1"/>
  <c r="C8" i="68" s="1"/>
  <c r="T40" i="71"/>
  <c r="D40" i="71"/>
  <c r="D52" i="71"/>
  <c r="T52" i="71"/>
  <c r="D31" i="71"/>
  <c r="C32" i="71"/>
  <c r="E15" i="71"/>
  <c r="E14" i="71" s="1"/>
  <c r="E13" i="71" s="1"/>
  <c r="E12" i="71" s="1"/>
  <c r="V16" i="71"/>
  <c r="Q73" i="15"/>
  <c r="S10" i="39"/>
  <c r="K26" i="6"/>
  <c r="M26" i="6" s="1"/>
  <c r="I26" i="6" s="1"/>
  <c r="S26" i="6" s="1"/>
  <c r="N66" i="71"/>
  <c r="N65" i="71"/>
  <c r="B11" i="71"/>
  <c r="B10" i="71" s="1"/>
  <c r="B9" i="71" s="1"/>
  <c r="B8" i="71" s="1"/>
  <c r="B7" i="71" s="1"/>
  <c r="B6" i="71" s="1"/>
  <c r="B5" i="71" s="1"/>
  <c r="S12" i="71"/>
  <c r="C17" i="71"/>
  <c r="D18" i="71"/>
  <c r="T44" i="71"/>
  <c r="D44" i="71"/>
  <c r="F30" i="6"/>
  <c r="F31" i="6" s="1"/>
  <c r="T56" i="71"/>
  <c r="D56" i="71"/>
  <c r="Q52" i="15"/>
  <c r="F1" i="15"/>
  <c r="J10" i="39"/>
  <c r="W10" i="39" s="1"/>
  <c r="H10" i="39"/>
  <c r="U10" i="39" s="1"/>
  <c r="L36" i="43"/>
  <c r="P36" i="43" s="1"/>
  <c r="F24" i="81"/>
  <c r="C53" i="81"/>
  <c r="E65" i="39"/>
  <c r="AC7" i="34"/>
  <c r="V49" i="34" s="1"/>
  <c r="I49" i="34" s="1"/>
  <c r="U7" i="34"/>
  <c r="AA7" i="34"/>
  <c r="R49" i="34" s="1"/>
  <c r="R50" i="34" s="1"/>
  <c r="AG11" i="1"/>
  <c r="AG9" i="1"/>
  <c r="AG10" i="1"/>
  <c r="AG8" i="1"/>
  <c r="AG12" i="1"/>
  <c r="AG7"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C16" i="81"/>
  <c r="M27" i="81"/>
  <c r="F41" i="67"/>
  <c r="F41" i="15"/>
  <c r="AE6" i="1"/>
  <c r="M27" i="67"/>
  <c r="L37" i="43" l="1"/>
  <c r="N37" i="43" s="1"/>
  <c r="C49" i="81"/>
  <c r="C61" i="81" s="1"/>
  <c r="Q52" i="81"/>
  <c r="F1" i="81"/>
  <c r="J19" i="81"/>
  <c r="J18" i="81"/>
  <c r="D17" i="71"/>
  <c r="C16" i="71"/>
  <c r="J10" i="81"/>
  <c r="J5" i="81" s="1"/>
  <c r="J24" i="81" s="1"/>
  <c r="Q73" i="81"/>
  <c r="Q60" i="81"/>
  <c r="Q66" i="81"/>
  <c r="Q57" i="81"/>
  <c r="E11" i="71"/>
  <c r="E10" i="71" s="1"/>
  <c r="E9" i="71" s="1"/>
  <c r="E8" i="71" s="1"/>
  <c r="E7" i="71" s="1"/>
  <c r="E6" i="71" s="1"/>
  <c r="E5" i="71" s="1"/>
  <c r="V12" i="71"/>
  <c r="D32" i="71"/>
  <c r="T32" i="71"/>
  <c r="Q61" i="81"/>
  <c r="Q74" i="81"/>
  <c r="C33" i="81"/>
  <c r="C32" i="81"/>
  <c r="F69" i="67"/>
  <c r="AG6" i="1"/>
  <c r="O36" i="43"/>
  <c r="N36" i="43"/>
  <c r="M36" i="43"/>
  <c r="Q36" i="43"/>
  <c r="C24" i="81"/>
  <c r="C38" i="81"/>
  <c r="B14" i="74"/>
  <c r="B1" i="74" s="1"/>
  <c r="M21" i="6"/>
  <c r="I21" i="6" s="1"/>
  <c r="S21" i="6" s="1"/>
  <c r="E6" i="70"/>
  <c r="C34" i="43"/>
  <c r="E34" i="43" s="1"/>
  <c r="F69"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81"/>
  <c r="C14" i="67"/>
  <c r="C17" i="67"/>
  <c r="M27" i="15"/>
  <c r="C17" i="15"/>
  <c r="AE7" i="1"/>
  <c r="O37" i="43" l="1"/>
  <c r="Q37" i="43"/>
  <c r="M37" i="43"/>
  <c r="P37" i="43"/>
  <c r="C48" i="81"/>
  <c r="C15" i="71"/>
  <c r="M23" i="43"/>
  <c r="T16" i="71"/>
  <c r="D16" i="71"/>
  <c r="U16" i="71" s="1"/>
  <c r="E7" i="70"/>
  <c r="C14" i="74"/>
  <c r="B2" i="74" s="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F41" i="81"/>
  <c r="C14" i="81"/>
  <c r="F69" i="81" l="1"/>
  <c r="C66" i="81"/>
  <c r="C60" i="81"/>
  <c r="C18" i="81"/>
  <c r="C15" i="81"/>
  <c r="D15" i="71"/>
  <c r="C14" i="71"/>
  <c r="D7" i="74"/>
  <c r="D8" i="74"/>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G3" i="43" s="1"/>
  <c r="C23" i="69"/>
  <c r="B2" i="76"/>
  <c r="I69" i="39"/>
  <c r="J67" i="39"/>
  <c r="I63" i="40"/>
  <c r="H65" i="40"/>
  <c r="I58" i="21"/>
  <c r="J58" i="21" s="1"/>
  <c r="K58" i="21" s="1"/>
  <c r="L58" i="21" s="1"/>
  <c r="M58" i="21" s="1"/>
  <c r="N58" i="21" s="1"/>
  <c r="O58" i="21" s="1"/>
  <c r="H7" i="21" s="1"/>
  <c r="F7" i="21"/>
  <c r="J48" i="35"/>
  <c r="C19" i="81" l="1"/>
  <c r="C20" i="81" s="1"/>
  <c r="C26" i="81" s="1"/>
  <c r="D14" i="71"/>
  <c r="C13" i="71"/>
  <c r="H26" i="43"/>
  <c r="J26" i="43"/>
  <c r="E26" i="43"/>
  <c r="N94" i="46"/>
  <c r="F26" i="43"/>
  <c r="G26" i="43"/>
  <c r="N370" i="46"/>
  <c r="Z7" i="43"/>
  <c r="B116" i="43"/>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J7" i="35"/>
  <c r="W7" i="21" l="1"/>
  <c r="D13" i="71"/>
  <c r="C12" i="71"/>
  <c r="C23" i="81"/>
  <c r="C29" i="81"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D26" i="43"/>
  <c r="C25" i="43"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81"/>
  <c r="F35" i="67"/>
  <c r="F35" i="15"/>
  <c r="M21" i="67"/>
  <c r="F35" i="81"/>
  <c r="M21" i="15"/>
  <c r="C57" i="81" l="1"/>
  <c r="C64" i="81" s="1"/>
  <c r="Q49" i="81"/>
  <c r="J14" i="81"/>
  <c r="C13" i="81"/>
  <c r="J59" i="81"/>
  <c r="J60" i="81" s="1"/>
  <c r="C36" i="81"/>
  <c r="C11" i="71"/>
  <c r="T12" i="71"/>
  <c r="D12" i="71"/>
  <c r="U12" i="71" s="1"/>
  <c r="J20" i="81"/>
  <c r="J17" i="81" s="1"/>
  <c r="F63" i="81"/>
  <c r="C62" i="81" s="1"/>
  <c r="C59" i="81" s="1"/>
  <c r="C34" i="81"/>
  <c r="C31" i="81" s="1"/>
  <c r="C118" i="43"/>
  <c r="D116" i="43" s="1"/>
  <c r="C33" i="43"/>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E6" i="76"/>
  <c r="D11" i="71" l="1"/>
  <c r="C10" i="71"/>
  <c r="L46" i="81"/>
  <c r="Q48" i="81"/>
  <c r="C75" i="81"/>
  <c r="C37" i="81"/>
  <c r="C30" i="81" s="1"/>
  <c r="C39" i="81" s="1"/>
  <c r="C56" i="81"/>
  <c r="C65" i="81" s="1"/>
  <c r="C58" i="81" s="1"/>
  <c r="C67" i="81" s="1"/>
  <c r="C68" i="81" s="1"/>
  <c r="C71" i="81" s="1"/>
  <c r="Q70" i="81"/>
  <c r="J13" i="81"/>
  <c r="J23" i="81" s="1"/>
  <c r="J22" i="81"/>
  <c r="E2" i="76"/>
  <c r="B3" i="76" s="1"/>
  <c r="E33" i="43"/>
  <c r="C6" i="68" s="1"/>
  <c r="C7" i="68" s="1"/>
  <c r="C5" i="68"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J16" i="81" l="1"/>
  <c r="J25" i="81" s="1"/>
  <c r="J26" i="81" s="1"/>
  <c r="J29" i="81" s="1"/>
  <c r="Q69" i="81"/>
  <c r="Q68" i="81" s="1"/>
  <c r="C40" i="81"/>
  <c r="C46" i="81" s="1"/>
  <c r="C80" i="81"/>
  <c r="C79" i="81" s="1"/>
  <c r="D10" i="71"/>
  <c r="C9" i="71"/>
  <c r="C23" i="68"/>
  <c r="C20" i="68"/>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81"/>
  <c r="L51" i="67"/>
  <c r="Q56" i="81" l="1"/>
  <c r="Q62" i="81" s="1"/>
  <c r="Q47" i="81"/>
  <c r="Q53" i="81" s="1"/>
  <c r="C43" i="81"/>
  <c r="C83" i="81"/>
  <c r="C82" i="81" s="1"/>
  <c r="Q67" i="81"/>
  <c r="C8" i="71"/>
  <c r="D9" i="71"/>
  <c r="Q65" i="81"/>
  <c r="Q75" i="81" s="1"/>
  <c r="B2" i="81"/>
  <c r="B3" i="81" s="1"/>
  <c r="L57" i="67"/>
  <c r="L60" i="67" s="1"/>
  <c r="L46" i="67" s="1"/>
  <c r="D2" i="67" s="1"/>
  <c r="B2" i="67" s="1"/>
  <c r="Q67" i="67"/>
  <c r="C28" i="68"/>
  <c r="C27" i="68" s="1"/>
  <c r="C25" i="68"/>
  <c r="C22" i="68" s="1"/>
  <c r="Q65" i="67"/>
  <c r="B2" i="33"/>
  <c r="B3" i="33" s="1"/>
  <c r="C83" i="67"/>
  <c r="C82" i="67" s="1"/>
  <c r="Q47" i="67"/>
  <c r="Q53" i="67" s="1"/>
  <c r="C46" i="67"/>
  <c r="Q56" i="67"/>
  <c r="C43" i="67"/>
  <c r="C80" i="15"/>
  <c r="C79" i="15" s="1"/>
  <c r="C40" i="15"/>
  <c r="C46" i="15" s="1"/>
  <c r="H7" i="39"/>
  <c r="J7" i="39"/>
  <c r="S7" i="39"/>
  <c r="AA7" i="39"/>
  <c r="R47" i="39" s="1"/>
  <c r="O63" i="40"/>
  <c r="O65" i="40" s="1"/>
  <c r="N65" i="40"/>
  <c r="L51" i="15"/>
  <c r="D2" i="35"/>
  <c r="D2" i="37"/>
  <c r="D2" i="36"/>
  <c r="D2" i="34"/>
  <c r="E2" i="68"/>
  <c r="D8" i="71" l="1"/>
  <c r="C7" i="71"/>
  <c r="Q57" i="67"/>
  <c r="Q62" i="67" s="1"/>
  <c r="Q66" i="67"/>
  <c r="Q75" i="67" s="1"/>
  <c r="C31" i="68"/>
  <c r="C52" i="68"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7" i="1"/>
  <c r="AO8" i="1"/>
  <c r="AO11" i="1"/>
  <c r="AO10" i="1"/>
  <c r="AO9" i="1"/>
  <c r="AO12" i="1"/>
  <c r="AO6" i="1"/>
  <c r="D7" i="71" l="1"/>
  <c r="C6" i="71"/>
  <c r="B2" i="68"/>
  <c r="C57" i="68"/>
  <c r="C56" i="68"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19" i="9"/>
  <c r="C5" i="71" l="1"/>
  <c r="D5" i="71" s="1"/>
  <c r="M24" i="43" s="1"/>
  <c r="D6" i="71"/>
  <c r="C21" i="9"/>
  <c r="C102" i="9"/>
  <c r="B3" i="68"/>
  <c r="B2"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34" i="9"/>
  <c r="C20" i="9"/>
  <c r="D35" i="9"/>
  <c r="D21" i="9" l="1"/>
  <c r="D102" i="9"/>
  <c r="D22" i="9"/>
  <c r="G19" i="9"/>
  <c r="G21" i="9" s="1"/>
  <c r="B3" i="70"/>
  <c r="C103" i="9"/>
  <c r="C42" i="40"/>
  <c r="C43" i="40"/>
  <c r="E47" i="40"/>
  <c r="F47" i="40" s="1"/>
  <c r="E46" i="40"/>
  <c r="F46" i="40" s="1"/>
  <c r="I47" i="40"/>
  <c r="J47" i="40" s="1"/>
  <c r="D20" i="9"/>
  <c r="D103" i="9" l="1"/>
  <c r="G20" i="9"/>
  <c r="C32" i="9" s="1"/>
  <c r="C35" i="9" s="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D118" i="9" l="1"/>
  <c r="D4" i="52" s="1"/>
  <c r="B47" i="72" s="1"/>
  <c r="F118" i="9"/>
  <c r="F4" i="52" s="1"/>
  <c r="B51" i="72" s="1"/>
  <c r="H118" i="9"/>
  <c r="C104" i="9" l="1"/>
  <c r="D14" i="74"/>
  <c r="G14" i="74" s="1"/>
  <c r="B6" i="74" s="1"/>
  <c r="D6" i="74" s="1"/>
  <c r="F119" i="9"/>
  <c r="F5" i="52" s="1"/>
  <c r="B53" i="72" s="1"/>
  <c r="G118" i="9"/>
  <c r="G4" i="52" s="1"/>
  <c r="B52" i="72" s="1"/>
  <c r="H101" i="9"/>
  <c r="I118" i="9"/>
  <c r="D119" i="9"/>
  <c r="D5" i="52" s="1"/>
  <c r="B49" i="72" s="1"/>
  <c r="H4" i="52"/>
  <c r="H119" i="9"/>
  <c r="H5" i="52" s="1"/>
  <c r="F14" i="74" l="1"/>
  <c r="E14" i="74"/>
  <c r="B5" i="74"/>
  <c r="D5" i="74" s="1"/>
  <c r="D45" i="9"/>
  <c r="M48" i="9"/>
  <c r="H107" i="9"/>
  <c r="D5" i="53"/>
  <c r="C105" i="9"/>
  <c r="I4" i="52"/>
  <c r="H102" i="9"/>
  <c r="E118" i="9"/>
  <c r="E4" i="52" s="1"/>
  <c r="B48" i="72" s="1"/>
  <c r="D7" i="53" l="1"/>
  <c r="B21" i="72" s="1"/>
  <c r="C5" i="74"/>
  <c r="D122" i="9"/>
  <c r="H108" i="9"/>
  <c r="D13" i="53"/>
  <c r="D53" i="9"/>
  <c r="D52" i="9"/>
  <c r="C72" i="9"/>
  <c r="C85" i="9"/>
  <c r="C64" i="9"/>
  <c r="C63" i="9" s="1"/>
  <c r="C67" i="9" s="1"/>
  <c r="C78" i="9"/>
  <c r="C73" i="9" s="1"/>
  <c r="C93" i="9"/>
  <c r="C86" i="9" s="1"/>
  <c r="D55" i="9"/>
  <c r="M53" i="9" s="1"/>
  <c r="B20" i="72"/>
  <c r="D6" i="53"/>
  <c r="B22" i="72" s="1"/>
  <c r="C95" i="9" l="1"/>
  <c r="C96" i="9" s="1"/>
  <c r="E96" i="9" s="1"/>
  <c r="E97" i="9" s="1"/>
  <c r="D14" i="53"/>
  <c r="B32" i="72" s="1"/>
  <c r="B30" i="72"/>
  <c r="D123" i="9"/>
  <c r="D9" i="52" s="1"/>
  <c r="D8" i="52"/>
  <c r="D59" i="9"/>
  <c r="M55" i="9" s="1"/>
  <c r="C68" i="9"/>
  <c r="D54" i="9" s="1"/>
  <c r="C79" i="9"/>
  <c r="C6" i="74"/>
  <c r="D15" i="53"/>
  <c r="B31" i="72" s="1"/>
  <c r="C80" i="9" l="1"/>
  <c r="E80" i="9" s="1"/>
  <c r="E81" i="9" s="1"/>
  <c r="C97" i="9"/>
  <c r="D58" i="9" s="1"/>
  <c r="D56" i="9" s="1"/>
  <c r="M54" i="9" s="1"/>
  <c r="N57" i="9" s="1"/>
  <c r="C81" i="9" l="1"/>
  <c r="P57" i="9"/>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<sst xmlns="http://schemas.openxmlformats.org/spreadsheetml/2006/main" count="8296" uniqueCount="3473">
  <si>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</si>
  <si>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</si>
  <si>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</si>
  <si>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</si>
  <si>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</si>
  <si>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</si>
  <si>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</si>
  <si>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</si>
  <si>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</si>
  <si>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</si>
  <si>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</si>
  <si>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</si>
  <si>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</si>
  <si>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</si>
  <si>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</si>
  <si>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</si>
  <si>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</si>
  <si>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</si>
  <si>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</si>
  <si>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</si>
  <si>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</si>
  <si>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</si>
  <si>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</si>
  <si>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</si>
  <si>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</si>
  <si>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</si>
  <si>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</si>
  <si>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</si>
  <si>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</si>
  <si>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</si>
  <si>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</si>
  <si>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</si>
  <si>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</si>
  <si>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</si>
  <si>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</si>
  <si>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</si>
  <si>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</si>
  <si>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</si>
  <si>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</si>
  <si>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</si>
  <si>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</si>
  <si>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</si>
  <si>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</si>
  <si>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</si>
  <si>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</si>
  <si>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</si>
  <si>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</si>
  <si>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</si>
  <si>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</si>
  <si>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</si>
  <si>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</si>
  <si>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</si>
  <si>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</si>
  <si>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</si>
  <si>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</si>
  <si>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</si>
  <si>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</si>
  <si>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</si>
  <si>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</si>
  <si>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</si>
  <si>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</si>
  <si>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</si>
  <si>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</si>
  <si>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</si>
  <si>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</si>
  <si>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</si>
  <si>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</si>
  <si>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</si>
  <si>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</si>
  <si>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</si>
  <si>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</si>
  <si>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</si>
  <si>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</si>
  <si>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</si>
  <si>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</si>
  <si>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</si>
  <si>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</si>
  <si>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</si>
  <si>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</si>
  <si>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</si>
  <si>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</si>
  <si>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</si>
  <si>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</si>
  <si>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</si>
  <si>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</si>
  <si>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</si>
  <si>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</si>
  <si>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</si>
  <si>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</si>
  <si>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</si>
  <si>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</si>
  <si>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</si>
  <si>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</si>
  <si>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</si>
  <si>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</si>
  <si>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</si>
  <si>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</si>
  <si>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</si>
  <si>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</si>
  <si>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</si>
  <si>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</si>
  <si>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</si>
  <si>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</si>
  <si>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</si>
  <si>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</si>
  <si>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</si>
  <si>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</si>
  <si>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</si>
  <si>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</si>
  <si>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</si>
  <si>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</si>
  <si>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</si>
  <si>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</si>
  <si>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</si>
  <si>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</si>
  <si>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</si>
  <si>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</si>
  <si>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</si>
  <si>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</si>
  <si>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</si>
  <si>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</si>
  <si>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</si>
  <si>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</si>
  <si>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</si>
  <si>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</si>
  <si>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</si>
  <si>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</si>
  <si>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</si>
  <si>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</si>
  <si>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</si>
  <si>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</si>
  <si>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</si>
  <si>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</si>
  <si>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</si>
  <si>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</si>
  <si>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</si>
  <si>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</si>
  <si>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</si>
  <si>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</si>
  <si>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</si>
  <si>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</si>
  <si>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</si>
  <si>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</si>
  <si>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</si>
  <si>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</si>
  <si>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</si>
  <si>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</si>
  <si>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</si>
  <si>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</si>
  <si>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</si>
  <si>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</si>
  <si>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</si>
  <si>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</si>
  <si>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</si>
  <si>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</si>
  <si>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</si>
  <si>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</si>
  <si>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</si>
  <si>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</si>
  <si>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</si>
  <si>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</si>
  <si>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</si>
  <si>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</si>
  <si>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</si>
  <si>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</si>
  <si>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</si>
  <si>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</si>
  <si>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</si>
  <si>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</si>
  <si>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</si>
  <si>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</si>
  <si>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</si>
  <si>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</si>
  <si>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</si>
  <si>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</si>
  <si>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</si>
  <si>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</si>
  <si>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</si>
  <si>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</si>
  <si>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</si>
  <si>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</si>
  <si>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</si>
  <si>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</si>
  <si>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</si>
  <si>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</si>
  <si>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</si>
  <si>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</si>
  <si>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</si>
  <si>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</si>
  <si>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</si>
  <si>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</si>
  <si>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</si>
  <si>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</si>
  <si>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</si>
  <si>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</si>
  <si>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</si>
  <si>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</si>
  <si>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</si>
  <si>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</si>
  <si>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</si>
  <si>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</si>
  <si>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</si>
  <si>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</si>
  <si>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</si>
  <si>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</si>
  <si>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</si>
  <si>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</si>
  <si>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</si>
  <si>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</si>
  <si>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</si>
  <si>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</si>
  <si>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</si>
  <si>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</si>
  <si>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</si>
  <si>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</si>
  <si>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</si>
  <si>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</si>
  <si>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</si>
  <si>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</si>
  <si>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</si>
  <si>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</si>
  <si>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</si>
  <si>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</si>
  <si>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</si>
  <si>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</si>
  <si>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</si>
  <si>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</si>
  <si>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</si>
  <si>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</si>
  <si>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</si>
  <si>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</si>
  <si>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</si>
  <si>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</si>
  <si>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</si>
  <si>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</si>
  <si>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</si>
  <si>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</si>
  <si>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</si>
  <si>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</si>
  <si>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</si>
  <si>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</si>
  <si>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</si>
  <si>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</si>
  <si>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</si>
  <si>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</si>
  <si>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</si>
  <si>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</si>
  <si>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</si>
  <si>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</si>
  <si>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</si>
  <si>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</si>
  <si>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</si>
  <si>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</si>
  <si>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</si>
  <si>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</si>
  <si>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</si>
  <si>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</si>
  <si>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</si>
  <si>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</si>
  <si>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</si>
  <si>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</si>
  <si>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</si>
  <si>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</si>
  <si>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</si>
  <si>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</si>
  <si>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</si>
  <si>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</si>
  <si>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</si>
  <si>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</si>
  <si>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</si>
  <si>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</si>
  <si>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</si>
  <si>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</si>
  <si>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</si>
  <si>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</si>
  <si>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</si>
  <si>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</si>
  <si>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</si>
  <si>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</si>
  <si>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</si>
  <si>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</si>
  <si>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</si>
  <si>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</si>
  <si>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</si>
  <si>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</si>
  <si>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</si>
  <si>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</si>
  <si>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</si>
  <si>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</si>
  <si>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</si>
  <si>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</si>
  <si>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</si>
  <si>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</si>
  <si>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</si>
  <si>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</si>
  <si>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</si>
  <si>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</si>
  <si>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</si>
  <si>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</si>
  <si>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</si>
  <si>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</si>
  <si>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</si>
  <si>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</si>
  <si>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</si>
  <si>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</si>
  <si>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</si>
  <si>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</si>
  <si>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</si>
  <si>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</si>
  <si>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</si>
  <si>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</si>
  <si>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</si>
  <si>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</si>
  <si>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</si>
  <si>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</si>
  <si>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</si>
  <si>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</si>
  <si>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</si>
  <si>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</si>
  <si>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</si>
  <si>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</si>
  <si>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</si>
  <si>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</si>
  <si>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</si>
  <si>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</si>
  <si>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</si>
  <si>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</si>
  <si>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</si>
  <si>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</si>
  <si>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</si>
  <si>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</si>
  <si>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</si>
  <si>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</si>
  <si>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</si>
  <si>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</si>
  <si>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</si>
  <si>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</si>
  <si>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</si>
  <si>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</si>
  <si>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</si>
  <si>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</si>
  <si>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</si>
  <si>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</si>
  <si>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</si>
  <si>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</si>
  <si>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</si>
  <si>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</si>
  <si>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</si>
  <si>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</si>
  <si>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</si>
  <si>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</si>
  <si>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</si>
  <si>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</si>
  <si>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</si>
  <si>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</si>
  <si>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</si>
  <si>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</si>
  <si>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</si>
  <si>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</si>
  <si>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</si>
  <si>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</si>
  <si>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</si>
  <si>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</si>
  <si>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</si>
  <si>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</si>
  <si>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</si>
  <si>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</si>
  <si>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</si>
  <si>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</si>
  <si>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</si>
  <si>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</si>
  <si>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</si>
  <si>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</si>
  <si>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</si>
  <si>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</si>
  <si>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</si>
  <si>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</si>
  <si>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</si>
  <si>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</si>
  <si>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</si>
  <si>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</si>
  <si>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</si>
  <si>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</si>
  <si>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</si>
  <si>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</si>
  <si>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</si>
  <si>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</si>
  <si>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</si>
  <si>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</si>
  <si>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</si>
  <si>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</si>
  <si>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</si>
  <si>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</si>
  <si>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</si>
  <si>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</si>
  <si>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</si>
  <si>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</si>
  <si>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</si>
  <si>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</si>
  <si>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</si>
  <si>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</si>
  <si>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</si>
  <si>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</si>
  <si>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</si>
  <si>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</si>
  <si>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</si>
  <si>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</si>
  <si>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</si>
  <si>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</si>
  <si>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</si>
  <si>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</si>
  <si>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</si>
  <si>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</si>
  <si>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</si>
  <si>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</si>
  <si>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</si>
  <si>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</si>
  <si>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</si>
  <si>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</si>
  <si>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</si>
  <si>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</si>
  <si>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</si>
  <si>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</si>
  <si>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</si>
  <si>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</si>
  <si>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</si>
  <si>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</si>
  <si>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</si>
  <si>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</si>
  <si>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</si>
  <si>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</si>
  <si>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</si>
  <si>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</si>
  <si>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</si>
  <si>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</si>
  <si>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</si>
  <si>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</si>
  <si>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</si>
  <si>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</si>
  <si>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</si>
  <si>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</si>
  <si>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</si>
  <si>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</si>
  <si>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</si>
  <si>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</si>
  <si>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</si>
  <si>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</si>
  <si>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</si>
  <si>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</si>
  <si>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</si>
  <si>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</si>
  <si>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</si>
  <si>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</si>
  <si>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</si>
  <si>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</si>
  <si>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</si>
  <si>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</si>
  <si>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</si>
  <si>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</si>
  <si>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</si>
  <si>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</si>
  <si>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</si>
  <si>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</si>
  <si>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</si>
  <si>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</si>
  <si>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</si>
  <si>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</si>
  <si>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</si>
  <si>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</si>
  <si>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</si>
  <si>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</si>
  <si>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</si>
  <si>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</si>
  <si>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</si>
  <si>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</si>
  <si>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</si>
  <si>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</si>
  <si>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</si>
  <si>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</si>
  <si>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</si>
  <si>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</si>
  <si>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</si>
  <si>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</si>
  <si>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</si>
  <si>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</si>
  <si>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</si>
  <si>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</si>
  <si>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</si>
  <si>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</si>
  <si>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</si>
  <si>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</si>
  <si>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</si>
  <si>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</si>
  <si>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</si>
  <si>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</si>
  <si>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</si>
  <si>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</si>
  <si>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</si>
  <si>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</si>
  <si>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</si>
  <si>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</si>
  <si>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</si>
  <si>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</si>
  <si>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</si>
  <si>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</si>
  <si>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</si>
  <si>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</si>
  <si>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</si>
  <si>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</si>
  <si>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</si>
  <si>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</si>
  <si>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</si>
  <si>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</si>
  <si>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</si>
  <si>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</si>
  <si>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</si>
  <si>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</si>
  <si>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</si>
  <si>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</si>
  <si>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</si>
  <si>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</si>
  <si>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</si>
  <si>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</si>
  <si>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</si>
  <si>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</si>
  <si>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</si>
  <si>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</si>
  <si>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</si>
  <si>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</si>
  <si>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</si>
  <si>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</si>
  <si>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</si>
  <si>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</si>
  <si>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</si>
  <si>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</si>
  <si>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</si>
  <si>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</si>
  <si>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</si>
  <si>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</si>
  <si>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</si>
  <si>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</si>
  <si>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</si>
  <si>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</si>
  <si>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</si>
  <si>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</si>
  <si>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</si>
  <si>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</si>
  <si>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</si>
  <si>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</si>
  <si>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</si>
  <si>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</si>
  <si>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</si>
  <si>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</si>
  <si>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</si>
  <si>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</si>
  <si>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</si>
  <si>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</si>
  <si>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</si>
  <si>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</si>
  <si>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</si>
  <si>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</si>
  <si>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</si>
  <si>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</si>
  <si>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</si>
  <si>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</si>
  <si>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</si>
  <si>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</si>
  <si>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</si>
  <si>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</si>
  <si>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</si>
  <si>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</si>
  <si>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</si>
  <si>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</si>
  <si>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</si>
  <si>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</si>
  <si>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</si>
  <si>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</si>
  <si>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</si>
  <si>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</si>
  <si>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</si>
  <si>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</si>
  <si>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</si>
  <si>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</si>
  <si>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</si>
  <si>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</si>
  <si>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</si>
  <si>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</si>
  <si>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</si>
  <si>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</si>
  <si>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</si>
  <si>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</si>
  <si>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</si>
  <si>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</si>
  <si>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</si>
  <si>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</si>
  <si>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</si>
  <si>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</si>
  <si>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</si>
  <si>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</si>
  <si>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</si>
  <si>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</si>
  <si>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</si>
  <si>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</si>
  <si>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</si>
  <si>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</si>
  <si>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</si>
  <si>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</si>
  <si>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</si>
  <si>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</si>
  <si>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</si>
  <si>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</si>
  <si>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</si>
  <si>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</si>
  <si>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</si>
  <si>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</si>
  <si>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</si>
  <si>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</si>
  <si>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</si>
  <si>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</si>
  <si>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</si>
  <si>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</si>
  <si>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</si>
  <si>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</si>
  <si>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</si>
  <si>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</si>
  <si>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</si>
  <si>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</si>
  <si>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</si>
  <si>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</si>
  <si>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</si>
  <si>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</si>
  <si>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</si>
  <si>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</si>
  <si>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</si>
  <si>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</si>
  <si>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</si>
  <si>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</si>
  <si>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</si>
  <si>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</si>
  <si>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</si>
  <si>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</si>
  <si>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</si>
  <si>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</si>
  <si>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</si>
  <si>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</si>
  <si>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</si>
  <si>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</si>
  <si>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</si>
  <si>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</si>
  <si>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</si>
  <si>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</si>
  <si>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</si>
  <si>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</si>
  <si>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</si>
  <si>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</si>
  <si>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</si>
  <si>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</si>
  <si>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</si>
  <si>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</si>
  <si>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</si>
  <si>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</si>
  <si>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</si>
  <si>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</si>
  <si>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</si>
  <si>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</si>
  <si>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</si>
  <si>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</si>
  <si>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</si>
  <si>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</si>
  <si>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</si>
  <si>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</si>
  <si>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</si>
  <si>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</si>
  <si>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</si>
  <si>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</si>
  <si>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</si>
  <si>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</si>
  <si>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</si>
  <si>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</si>
  <si>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</si>
  <si>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</si>
  <si>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</si>
  <si>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</si>
  <si>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</si>
  <si>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</si>
  <si>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</si>
  <si>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</si>
  <si>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</si>
  <si>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</si>
  <si>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</si>
  <si>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</si>
  <si>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</si>
  <si>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</si>
  <si>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</si>
  <si>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</si>
  <si>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</si>
  <si>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</si>
  <si>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</si>
  <si>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</si>
  <si>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</si>
  <si>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</si>
  <si>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</si>
  <si>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</si>
  <si>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</si>
  <si>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</si>
  <si>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</si>
  <si>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</si>
  <si>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</si>
  <si>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</si>
  <si>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</si>
  <si>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</si>
  <si>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</si>
  <si>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</si>
  <si>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</si>
  <si>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</si>
  <si>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</si>
  <si>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</si>
  <si>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</si>
  <si>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</si>
  <si>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</si>
  <si>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</si>
  <si>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</si>
  <si>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</si>
  <si>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</si>
  <si>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</si>
  <si>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</si>
  <si>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</si>
  <si>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</si>
  <si>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</si>
  <si>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</si>
  <si>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</si>
  <si>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</si>
  <si>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</si>
  <si>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</si>
  <si>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</si>
  <si>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</si>
  <si>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</si>
  <si>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</si>
  <si>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</si>
  <si>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</si>
  <si>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</si>
  <si>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</si>
  <si>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</si>
  <si>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</si>
  <si>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</si>
  <si>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</si>
  <si>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</si>
  <si>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</si>
  <si>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</si>
  <si>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</si>
  <si>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</si>
  <si>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</si>
  <si>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</si>
  <si>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</si>
  <si>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</si>
  <si>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</si>
  <si>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</si>
  <si>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</si>
  <si>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</si>
  <si>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</si>
  <si>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</si>
  <si>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</si>
  <si>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</si>
  <si>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</si>
  <si>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</si>
  <si>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</si>
  <si>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</si>
  <si>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</si>
  <si>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</si>
  <si>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</si>
  <si>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</si>
  <si>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</si>
  <si>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</si>
  <si>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</si>
  <si>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</si>
  <si>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</si>
  <si>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</si>
  <si>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</si>
  <si>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</si>
  <si>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</si>
  <si>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</si>
  <si>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</si>
  <si>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</si>
  <si>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</si>
  <si>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</si>
  <si>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</si>
  <si>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</si>
  <si>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</si>
  <si>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</si>
  <si>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</si>
  <si>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</si>
  <si>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</si>
  <si>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</si>
  <si>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</si>
  <si>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</si>
  <si>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</si>
  <si>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</si>
  <si>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</si>
  <si>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</si>
  <si>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</si>
  <si>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</si>
  <si>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</si>
  <si>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</si>
  <si>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</si>
  <si>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</si>
  <si>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</si>
  <si>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</si>
  <si>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</si>
  <si>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</si>
  <si>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</si>
  <si>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</si>
  <si>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</si>
  <si>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</si>
  <si>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</si>
  <si>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</si>
  <si>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</si>
  <si>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</si>
  <si>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</si>
  <si>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</si>
  <si>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</si>
  <si>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</si>
  <si>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</si>
  <si>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</si>
  <si>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</si>
  <si>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</si>
  <si>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</si>
  <si>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</si>
  <si>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</si>
  <si>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</si>
  <si>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</si>
  <si>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</si>
  <si>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</si>
  <si>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</si>
  <si>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</si>
  <si>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</si>
  <si>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</si>
  <si>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</si>
  <si>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</si>
  <si>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</si>
  <si>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</si>
  <si>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</si>
  <si>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</si>
  <si>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</si>
  <si>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</si>
  <si>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</si>
  <si>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</si>
  <si>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</si>
  <si>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</si>
  <si>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</si>
  <si>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</si>
  <si>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</si>
  <si>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</si>
  <si>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</si>
  <si>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</si>
  <si>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</si>
  <si>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</si>
  <si>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</si>
  <si>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</si>
  <si>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</si>
  <si>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</si>
  <si>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</si>
  <si>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</si>
  <si>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</si>
  <si>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</si>
  <si>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</si>
  <si>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</si>
  <si>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</si>
  <si>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</si>
  <si>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</si>
  <si>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</si>
  <si>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</si>
  <si>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</si>
  <si>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</si>
  <si>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</si>
  <si>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</si>
  <si>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</si>
  <si>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</si>
  <si>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</si>
  <si>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</si>
  <si>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</si>
  <si>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</si>
  <si>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</si>
  <si>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</si>
  <si>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</si>
  <si>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</si>
  <si>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</si>
  <si>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</si>
  <si>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</si>
  <si>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</si>
  <si>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</si>
  <si>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</si>
  <si>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</si>
  <si>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</si>
  <si>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</si>
  <si>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</si>
  <si>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</si>
  <si>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</si>
  <si>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</si>
  <si>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</si>
  <si>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</si>
  <si>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</si>
  <si>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</si>
  <si>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</si>
  <si>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</si>
  <si>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</si>
  <si>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</si>
  <si>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</si>
  <si>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</si>
  <si>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</si>
  <si>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</si>
  <si>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</si>
  <si>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</si>
  <si>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</si>
  <si>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</si>
  <si>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</si>
  <si>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</si>
  <si>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</si>
  <si>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</si>
  <si>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</si>
  <si>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</si>
  <si>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</si>
  <si>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</si>
  <si>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</si>
  <si>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</si>
  <si>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</si>
  <si>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</si>
  <si>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</si>
  <si>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</si>
  <si>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</si>
  <si>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</si>
  <si>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</si>
  <si>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</si>
  <si>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</si>
  <si>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</si>
  <si>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</si>
  <si>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</si>
  <si>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</si>
  <si>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</si>
  <si>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</si>
  <si>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</si>
  <si>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</si>
  <si>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</si>
  <si>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</si>
  <si>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</si>
  <si>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</si>
  <si>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</si>
  <si>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</si>
  <si>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</si>
  <si>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</si>
  <si>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</si>
  <si>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</si>
  <si>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</si>
  <si>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</si>
  <si>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</si>
  <si>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</si>
  <si>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</si>
  <si>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</si>
  <si>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</si>
  <si>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</si>
  <si>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</si>
  <si>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</si>
  <si>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</si>
  <si>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</si>
  <si>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</si>
  <si>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</si>
  <si>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</si>
  <si>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</si>
  <si>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</si>
  <si>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</si>
  <si>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</si>
  <si>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</si>
  <si>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</si>
  <si>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</si>
  <si>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</si>
  <si>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</si>
  <si>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</si>
  <si>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</si>
  <si>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</si>
  <si>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</si>
  <si>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</si>
  <si>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</si>
  <si>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</si>
  <si>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</si>
  <si>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</si>
  <si>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</si>
  <si>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</si>
  <si>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</si>
  <si>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</si>
  <si>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</si>
  <si>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</si>
  <si>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</si>
  <si>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</si>
  <si>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</si>
  <si>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</si>
  <si>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</si>
  <si>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</si>
  <si>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</si>
  <si>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</si>
  <si>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</si>
  <si>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</si>
  <si>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</si>
  <si>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</si>
  <si>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</si>
  <si>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</si>
  <si>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</si>
  <si>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</si>
  <si>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</si>
  <si>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</si>
  <si>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</si>
  <si>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</si>
  <si>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</si>
  <si>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</si>
  <si>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</si>
  <si>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</si>
  <si>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</si>
  <si>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</si>
  <si>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</si>
  <si>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</si>
  <si>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</si>
  <si>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</si>
  <si>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</si>
  <si>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</si>
  <si>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</si>
  <si>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</si>
  <si>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</si>
  <si>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</si>
  <si>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</si>
  <si>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</si>
  <si>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</si>
  <si>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</si>
  <si>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</si>
  <si>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</si>
  <si>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</si>
  <si>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</si>
  <si>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</si>
  <si>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</si>
  <si>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</si>
  <si>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</si>
  <si>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</si>
  <si>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</si>
  <si>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</si>
  <si>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</si>
  <si>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</si>
  <si>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</si>
  <si>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</si>
  <si>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</si>
  <si>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</si>
  <si>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</si>
  <si>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</si>
  <si>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</si>
  <si>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</si>
  <si>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</si>
  <si>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</si>
  <si>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</si>
  <si>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</si>
  <si>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</si>
  <si>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</si>
  <si>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</si>
  <si>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</si>
  <si>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</si>
  <si>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</si>
  <si>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</si>
  <si>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</si>
  <si>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</si>
  <si>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</si>
  <si>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</si>
  <si>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</si>
  <si>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</si>
  <si>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</si>
  <si>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</si>
  <si>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</si>
  <si>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</si>
  <si>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</si>
  <si>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</si>
  <si>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</si>
  <si>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</si>
  <si>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</si>
  <si>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</si>
  <si>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</si>
  <si>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</si>
  <si>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</si>
  <si>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</si>
  <si>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</si>
  <si>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</si>
  <si>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</si>
  <si>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</si>
  <si>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</si>
  <si>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</si>
  <si>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</si>
  <si>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</si>
  <si>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</si>
  <si>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</si>
  <si>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</si>
  <si>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</si>
  <si>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</si>
  <si>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</si>
  <si>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</si>
  <si>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</si>
  <si>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</si>
  <si>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</si>
  <si>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</si>
  <si>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</si>
  <si>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</si>
  <si>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</si>
  <si>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</si>
  <si>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</si>
  <si>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</si>
  <si>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</si>
  <si>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</si>
  <si>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</si>
  <si>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</si>
  <si>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</si>
  <si>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</si>
  <si>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</si>
  <si>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</si>
  <si>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</si>
  <si>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</si>
  <si>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</si>
  <si>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</si>
  <si>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</si>
  <si>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</si>
  <si>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</si>
  <si>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</si>
  <si>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</si>
  <si>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</si>
  <si>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</si>
  <si>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</si>
  <si>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</si>
  <si>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</si>
  <si>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</si>
  <si>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</si>
  <si>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</si>
  <si>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</si>
  <si>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</si>
  <si>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</si>
  <si>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</si>
  <si>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</si>
  <si>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</si>
  <si>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</si>
  <si>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</si>
  <si>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</si>
  <si>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</si>
  <si>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</si>
  <si>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</si>
  <si>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</si>
  <si>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</si>
  <si>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</si>
  <si>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</si>
  <si>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</si>
  <si>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</si>
  <si>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</si>
  <si>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</si>
  <si>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</si>
  <si>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</si>
  <si>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</si>
  <si>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</si>
  <si>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</si>
  <si>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</si>
  <si>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</si>
  <si>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</si>
  <si>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</si>
  <si>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</si>
  <si>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</si>
  <si>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</si>
  <si>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</si>
  <si>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</si>
  <si>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</si>
  <si>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</si>
  <si>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</si>
  <si>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</si>
  <si>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</si>
  <si>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</si>
  <si>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</si>
  <si>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</si>
  <si>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</si>
  <si>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</si>
  <si>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</si>
  <si>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</si>
  <si>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</si>
  <si>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</si>
  <si>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</si>
  <si>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</si>
  <si>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</si>
  <si>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</si>
  <si>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</si>
  <si>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</si>
  <si>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</si>
  <si>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</si>
  <si>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</si>
  <si>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</si>
  <si>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</si>
  <si>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</si>
  <si>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</si>
  <si>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</si>
  <si>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</si>
  <si>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</si>
  <si>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</si>
  <si>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</si>
  <si>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</si>
  <si>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</si>
  <si>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</si>
  <si>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</si>
  <si>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</si>
  <si>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</si>
  <si>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</si>
  <si>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</si>
  <si>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</si>
  <si>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</si>
  <si>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</si>
  <si>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</si>
  <si>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</si>
  <si>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</si>
  <si>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</si>
  <si>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</si>
  <si>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</si>
  <si>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</si>
  <si>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</si>
  <si>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</si>
  <si>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</si>
  <si>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</si>
  <si>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</si>
  <si>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</si>
  <si>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</si>
  <si>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</si>
  <si>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</si>
  <si>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</si>
  <si>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</si>
  <si>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</si>
  <si>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</si>
  <si>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</si>
  <si>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</si>
  <si>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</si>
  <si>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</si>
  <si>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</si>
  <si>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</si>
  <si>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</si>
  <si>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</si>
  <si>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</si>
  <si>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</si>
  <si>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</si>
  <si>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</si>
  <si>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</si>
  <si>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</si>
  <si>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</si>
  <si>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</si>
  <si>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</si>
  <si>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</si>
  <si>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</si>
  <si>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</si>
  <si>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</si>
  <si>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</si>
  <si>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</si>
  <si>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</si>
  <si>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</si>
  <si>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</si>
  <si>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</si>
  <si>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</si>
  <si>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</si>
  <si>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</si>
  <si>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</si>
  <si>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</si>
  <si>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</si>
  <si>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</si>
  <si>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</si>
  <si>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</si>
  <si>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</si>
  <si>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</si>
  <si>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</si>
  <si>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</si>
  <si>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</si>
  <si>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</si>
  <si>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</si>
  <si>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</si>
  <si>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</si>
  <si>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</si>
  <si>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</si>
  <si>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</si>
  <si>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</si>
  <si>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</si>
  <si>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</si>
  <si>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</si>
  <si>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</si>
  <si>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</si>
  <si>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</si>
  <si>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</si>
  <si>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</si>
  <si>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</si>
  <si>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</si>
  <si>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</si>
  <si>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</si>
  <si>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</si>
  <si>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</si>
  <si>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</si>
  <si>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</si>
  <si>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</si>
  <si>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</si>
  <si>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</si>
  <si>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</si>
  <si>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</si>
  <si>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</si>
  <si>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</si>
  <si>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</si>
  <si>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</si>
  <si>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</si>
  <si>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</si>
  <si>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</si>
  <si>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</si>
  <si>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</si>
  <si>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</si>
  <si>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</si>
  <si>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</si>
  <si>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</si>
  <si>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</si>
  <si>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</si>
  <si>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</si>
  <si>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</si>
  <si>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</si>
  <si>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</si>
  <si>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</si>
  <si>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</si>
  <si>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</si>
  <si>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</si>
  <si>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</si>
  <si>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</si>
  <si>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</si>
  <si>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</si>
  <si>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</si>
  <si>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</si>
  <si>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</si>
  <si>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</si>
  <si>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</si>
  <si>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</si>
  <si>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</si>
  <si>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</si>
  <si>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</si>
  <si>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</si>
  <si>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</si>
  <si>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</si>
  <si>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</si>
  <si>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</si>
  <si>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</si>
  <si>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</si>
  <si>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</si>
  <si>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</si>
  <si>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</si>
  <si>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</si>
  <si>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</si>
  <si>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</si>
  <si>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</si>
  <si>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</si>
  <si>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</si>
  <si>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</si>
  <si>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</si>
  <si>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</si>
  <si>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</si>
  <si>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</si>
  <si>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</si>
  <si>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</si>
  <si>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</si>
  <si>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</si>
  <si>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</si>
  <si>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</si>
  <si>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</si>
  <si>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</si>
  <si>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</si>
  <si>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</si>
  <si>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</si>
  <si>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</si>
  <si>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</si>
  <si>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</si>
  <si>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</si>
  <si>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</si>
  <si>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</si>
  <si>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</si>
  <si>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</si>
  <si>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</si>
  <si>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</si>
  <si>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</si>
  <si>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</si>
  <si>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</si>
  <si>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</si>
  <si>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</si>
  <si>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</si>
  <si>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</si>
  <si>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</si>
  <si>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</si>
  <si>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</si>
  <si>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</si>
  <si>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</si>
  <si>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</si>
  <si>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</si>
  <si>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</si>
  <si>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</si>
  <si>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</si>
  <si>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</si>
  <si>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</si>
  <si>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</si>
  <si>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</si>
  <si>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</si>
  <si>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</si>
  <si>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</si>
  <si>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</si>
  <si>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</si>
  <si>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</si>
  <si>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</si>
  <si>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</si>
  <si>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</si>
  <si>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</si>
  <si>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</si>
  <si>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</si>
  <si>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</si>
  <si>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</si>
  <si>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</si>
  <si>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</si>
  <si>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</si>
  <si>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</si>
  <si>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</si>
  <si>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</si>
  <si>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</si>
  <si>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</si>
  <si>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</si>
  <si>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</si>
  <si>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</si>
  <si>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</si>
  <si>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</si>
  <si>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</si>
  <si>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</si>
  <si>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</si>
  <si>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</si>
  <si>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</si>
  <si>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</si>
  <si>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</si>
  <si>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</si>
  <si>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</si>
  <si>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</si>
  <si>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</si>
  <si>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</si>
  <si>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</si>
  <si>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</si>
  <si>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</si>
  <si>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</si>
  <si>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</si>
  <si>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</si>
  <si>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</si>
  <si>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</si>
  <si>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</si>
  <si>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</si>
  <si>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</si>
  <si>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</si>
  <si>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</si>
  <si>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</si>
  <si>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</si>
  <si>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</si>
  <si>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</si>
  <si>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</si>
  <si>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</si>
  <si>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</si>
  <si>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</si>
  <si>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</si>
  <si>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</si>
  <si>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</si>
  <si>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</si>
  <si>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</si>
  <si>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</si>
  <si>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</si>
  <si>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</si>
  <si>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</si>
  <si>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</si>
  <si>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</si>
  <si>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</si>
  <si>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</si>
  <si>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</si>
  <si>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</si>
  <si>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</si>
  <si>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</si>
  <si>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</si>
  <si>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</si>
  <si>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</si>
  <si>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</si>
  <si>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</si>
  <si>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</si>
  <si>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</si>
  <si>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</si>
  <si>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</si>
  <si>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</si>
  <si>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</si>
  <si>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</si>
  <si>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</si>
  <si>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</si>
  <si>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</si>
  <si>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</si>
  <si>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</si>
  <si>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</si>
  <si>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</si>
  <si>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</si>
  <si>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</si>
  <si>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</si>
  <si>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</si>
  <si>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</si>
  <si>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</si>
  <si>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</si>
  <si>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</si>
  <si>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</si>
  <si>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</si>
  <si>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</si>
  <si>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</si>
  <si>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</si>
  <si>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</si>
  <si>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</si>
  <si>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</si>
  <si>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</si>
  <si>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</si>
  <si>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</si>
  <si>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</si>
  <si>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</si>
  <si>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</si>
  <si>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</si>
  <si>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</si>
  <si>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</si>
  <si>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</si>
  <si>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</si>
  <si>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</si>
  <si>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</si>
  <si>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</si>
  <si>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</si>
  <si>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</si>
  <si>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</si>
  <si>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</si>
  <si>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</si>
  <si>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</si>
  <si>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</si>
  <si>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</si>
  <si>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</si>
  <si>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</si>
  <si>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</si>
  <si>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</si>
  <si>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</si>
  <si>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</si>
  <si>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</si>
  <si>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</si>
  <si>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</si>
  <si>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</si>
  <si>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</si>
  <si>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</si>
  <si>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</si>
  <si>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</si>
  <si>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</si>
  <si>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</si>
  <si>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</si>
  <si>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</si>
  <si>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</si>
  <si>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</si>
  <si>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</si>
  <si>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</si>
  <si>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</si>
  <si>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</si>
  <si>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</si>
  <si>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</si>
  <si>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</si>
  <si>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</si>
  <si>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</si>
  <si>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</si>
  <si>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</si>
  <si>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</si>
  <si>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</si>
  <si>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</si>
  <si>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</si>
  <si>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</si>
  <si>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</si>
  <si>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</si>
  <si>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</si>
  <si>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</si>
  <si>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</si>
  <si>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</si>
  <si>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</si>
  <si>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</si>
  <si>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</si>
  <si>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</si>
  <si>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</si>
  <si>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</si>
  <si>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</si>
  <si>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</si>
  <si>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</si>
  <si>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</si>
  <si>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</si>
  <si>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</si>
  <si>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</si>
  <si>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</si>
  <si>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</si>
  <si>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</si>
  <si>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</si>
  <si>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</si>
  <si>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</si>
  <si>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</si>
  <si>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</si>
  <si>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</si>
  <si>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</si>
  <si>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</si>
  <si>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</si>
  <si>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</si>
  <si>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</si>
  <si>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</si>
  <si>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</si>
  <si>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</si>
  <si>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</si>
  <si>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</si>
  <si>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</si>
  <si>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</si>
  <si>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</si>
  <si>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</si>
  <si>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</si>
  <si>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</si>
  <si>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</si>
  <si>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</si>
  <si>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</si>
  <si>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</si>
  <si>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</si>
  <si>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</si>
  <si>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</si>
  <si>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</si>
  <si>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</si>
  <si>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</si>
  <si>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</si>
  <si>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</si>
  <si>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</si>
  <si>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</si>
  <si>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</si>
  <si>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</si>
  <si>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</si>
  <si>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</si>
  <si>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</si>
  <si>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</si>
  <si>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</si>
  <si>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</si>
  <si>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</si>
  <si>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</si>
  <si>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</si>
  <si>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</si>
  <si>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</si>
  <si>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</si>
  <si>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</si>
  <si>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</si>
  <si>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</si>
  <si>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</si>
  <si>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</si>
  <si>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</si>
  <si>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</si>
  <si>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</si>
  <si>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</si>
  <si>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</si>
  <si>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</si>
  <si>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</si>
  <si>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</si>
  <si>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</si>
  <si>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</si>
  <si>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</si>
  <si>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</si>
  <si>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</si>
  <si>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</si>
  <si>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</si>
  <si>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</si>
  <si>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</si>
  <si>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</si>
  <si>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</si>
  <si>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</si>
  <si>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</si>
  <si>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</si>
  <si>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</si>
  <si>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</si>
  <si>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</si>
  <si>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</si>
  <si>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</si>
  <si>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</si>
  <si>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</si>
  <si>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</si>
  <si>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</si>
  <si>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</si>
  <si>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</si>
  <si>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</si>
  <si>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</si>
  <si>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</si>
  <si>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</si>
  <si>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</si>
  <si>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</si>
  <si>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</si>
  <si>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</si>
  <si>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</si>
  <si>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</si>
  <si>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</si>
  <si>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</si>
  <si>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</si>
  <si>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</si>
  <si>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</si>
  <si>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</si>
  <si>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</si>
  <si>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</si>
  <si>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</si>
  <si>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</si>
  <si>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</si>
  <si>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</si>
  <si>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</si>
  <si>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</si>
  <si>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</si>
  <si>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</si>
  <si>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</si>
  <si>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</si>
  <si>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</si>
  <si>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</si>
  <si>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</si>
  <si>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</si>
  <si>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</si>
  <si>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</si>
  <si>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</si>
  <si>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</si>
  <si>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</si>
  <si>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</si>
  <si>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</si>
  <si>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</si>
  <si>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</si>
  <si>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</si>
  <si>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</si>
  <si>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</si>
  <si>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</si>
  <si>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</si>
  <si>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</si>
  <si>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</si>
  <si>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</si>
  <si>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</si>
  <si>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</si>
  <si>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</si>
  <si>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</si>
  <si>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</si>
  <si>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</si>
  <si>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</si>
  <si>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</si>
  <si>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</si>
  <si>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</si>
  <si>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</si>
  <si>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</si>
  <si>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</si>
  <si>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</si>
  <si>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</si>
  <si>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</si>
  <si>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</si>
  <si>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</si>
  <si>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</si>
  <si>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</si>
  <si>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</si>
  <si>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</si>
  <si>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</si>
  <si>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</si>
  <si>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</si>
  <si>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</si>
  <si>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</si>
  <si>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</si>
  <si>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</si>
  <si>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</si>
  <si>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</si>
  <si>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</si>
  <si>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</si>
  <si>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</si>
  <si>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</si>
  <si>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</si>
  <si>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</si>
  <si>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</si>
  <si>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</si>
  <si>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</si>
  <si>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</si>
  <si>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</si>
  <si>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</si>
  <si>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</si>
  <si>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</si>
  <si>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</si>
  <si>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</si>
  <si>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</si>
  <si>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</si>
  <si>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</si>
  <si>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</si>
  <si>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</si>
  <si>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</si>
  <si>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</si>
  <si>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</si>
  <si>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</si>
  <si>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</si>
  <si>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</si>
  <si>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</si>
  <si>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</si>
  <si>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</si>
  <si>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</si>
  <si>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</si>
  <si>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</si>
  <si>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</si>
  <si>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</si>
  <si>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</si>
  <si>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</si>
  <si>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</si>
  <si>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</si>
  <si>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</si>
  <si>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</si>
  <si>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</si>
  <si>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</si>
  <si>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</si>
  <si>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</si>
  <si>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</si>
  <si>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</si>
  <si>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</si>
  <si>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</si>
  <si>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</si>
  <si>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</si>
  <si>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</si>
  <si>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</si>
  <si>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</si>
  <si>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</si>
  <si>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</si>
  <si>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</si>
  <si>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</si>
  <si>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</si>
  <si>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</si>
  <si>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</si>
  <si>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</si>
  <si>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</si>
  <si>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</si>
  <si>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</si>
  <si>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</si>
  <si>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</si>
  <si>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</si>
  <si>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</si>
  <si>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</si>
  <si>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</si>
  <si>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</si>
  <si>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</si>
  <si>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</si>
  <si>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</si>
  <si>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</si>
  <si>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</si>
  <si>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</si>
  <si>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</si>
  <si>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</si>
  <si>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</si>
  <si>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</si>
  <si>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</si>
  <si>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</si>
  <si>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</si>
  <si>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</si>
  <si>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</si>
  <si>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</si>
  <si>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</si>
  <si>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</si>
  <si>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</si>
  <si>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</si>
  <si>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</si>
  <si>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</si>
  <si>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</si>
  <si>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</si>
  <si>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</si>
  <si>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</si>
  <si>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</si>
  <si>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</si>
  <si>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</si>
  <si>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</si>
  <si>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</si>
  <si>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</si>
  <si>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</si>
  <si>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</si>
  <si>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</si>
  <si>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</si>
  <si>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</si>
  <si>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</si>
  <si>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</si>
  <si>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</si>
  <si>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</si>
  <si>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</si>
  <si>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</si>
  <si>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</si>
  <si>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</si>
  <si>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</si>
  <si>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</si>
  <si>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</si>
  <si>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</si>
  <si>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</si>
  <si>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</si>
  <si>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</si>
  <si>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</si>
  <si>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</si>
  <si>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</si>
  <si>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</si>
  <si>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</si>
  <si>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</si>
  <si>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</si>
  <si>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</si>
  <si>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</si>
  <si>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</si>
  <si>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</si>
  <si>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</si>
  <si>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</si>
  <si>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</si>
  <si>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</si>
  <si>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</si>
  <si>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</si>
  <si>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</si>
  <si>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</si>
  <si>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</si>
  <si>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</si>
  <si>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</si>
  <si>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</si>
  <si>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</si>
  <si>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</si>
  <si>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</si>
  <si>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</si>
  <si>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</si>
  <si>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</si>
  <si>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</si>
  <si>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</si>
  <si>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</si>
  <si>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</si>
  <si>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</si>
  <si>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</si>
  <si>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</si>
  <si>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</si>
  <si>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</si>
  <si>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</si>
  <si>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</si>
  <si>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</si>
  <si>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</si>
  <si>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</si>
  <si>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</si>
  <si>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</si>
  <si>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</si>
  <si>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</si>
  <si>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</si>
  <si>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</si>
  <si>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</si>
  <si>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</si>
  <si>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</si>
  <si>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</si>
  <si>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</si>
  <si>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</si>
  <si>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</si>
  <si>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</si>
  <si>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</si>
  <si>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</si>
  <si>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</si>
  <si>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</si>
  <si>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</si>
  <si>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</si>
  <si>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</si>
  <si>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</si>
  <si>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</si>
  <si>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</si>
  <si>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</si>
  <si>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</si>
  <si>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</si>
  <si>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</si>
  <si>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</si>
  <si>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</si>
  <si>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</si>
  <si>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</si>
  <si>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</si>
  <si>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</si>
  <si>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</si>
  <si>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</si>
  <si>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</si>
  <si>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</si>
  <si>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</si>
  <si>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</si>
  <si>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</si>
  <si>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</si>
  <si>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</si>
  <si>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</si>
  <si>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</si>
  <si>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</si>
  <si>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</si>
  <si>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</si>
  <si>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</si>
  <si>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</si>
  <si>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</si>
  <si>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</si>
  <si>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</si>
  <si>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</si>
  <si>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</si>
  <si>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</si>
  <si>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</si>
  <si>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</si>
  <si>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</si>
  <si>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</si>
  <si>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</si>
  <si>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</si>
  <si>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</si>
  <si>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</si>
  <si>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</si>
  <si>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</si>
  <si>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</si>
  <si>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</si>
  <si>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</si>
  <si>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</si>
  <si>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</si>
  <si>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</si>
  <si>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</si>
  <si>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</si>
  <si>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</si>
  <si>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</si>
  <si>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</si>
  <si>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</si>
  <si>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</si>
  <si>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</si>
  <si>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</si>
  <si>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</si>
  <si>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</si>
  <si>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</si>
  <si>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</si>
  <si>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</si>
  <si>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</si>
  <si>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</si>
  <si>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</si>
  <si>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</si>
  <si>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</si>
  <si>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</si>
  <si>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</si>
  <si>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</si>
  <si>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</si>
  <si>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</si>
  <si>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</si>
  <si>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</si>
  <si>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</si>
  <si>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</si>
  <si>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</si>
  <si>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</si>
  <si>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</si>
  <si>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</si>
  <si>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</si>
  <si>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</si>
  <si>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</si>
  <si>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</si>
  <si>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</si>
  <si>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</si>
  <si>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</si>
  <si>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</si>
  <si>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</si>
  <si>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</si>
  <si>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</si>
  <si>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</si>
  <si>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</si>
  <si>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</si>
  <si>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</si>
  <si>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</si>
  <si>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</si>
  <si>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</si>
  <si>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</si>
  <si>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</si>
  <si>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</si>
  <si>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</si>
  <si>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</si>
  <si>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</si>
  <si>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</si>
  <si>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</si>
  <si>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</si>
  <si>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</si>
  <si>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</si>
  <si>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</si>
  <si>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</si>
  <si>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</si>
  <si>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</si>
  <si>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</si>
  <si>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</si>
  <si>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</si>
  <si>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</si>
  <si>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</si>
  <si>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</si>
  <si>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</si>
  <si>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</si>
  <si>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</si>
  <si>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</si>
  <si>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</si>
  <si>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</si>
  <si>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</si>
  <si>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</si>
  <si>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</si>
  <si>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</si>
  <si>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</si>
  <si>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</si>
  <si>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</si>
  <si>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</si>
  <si>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</si>
  <si>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</si>
  <si>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</si>
  <si>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</si>
  <si>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</si>
  <si>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</si>
  <si>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</si>
  <si>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</si>
  <si>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</si>
  <si>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</si>
  <si>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</si>
  <si>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</si>
  <si>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</si>
  <si>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</si>
  <si>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</si>
  <si>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</si>
  <si>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</si>
  <si>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</si>
  <si>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</si>
  <si>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</si>
  <si>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</si>
  <si>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</si>
  <si>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</si>
  <si>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</si>
  <si>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</si>
  <si>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</si>
  <si>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</si>
  <si>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</si>
  <si>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</si>
  <si>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</si>
  <si>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</si>
  <si>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</si>
  <si>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</si>
  <si>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</si>
  <si>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</si>
  <si>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</si>
  <si>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</si>
  <si>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</si>
  <si>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</si>
  <si>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</si>
  <si>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</si>
  <si>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</si>
  <si>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</si>
  <si>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</si>
  <si>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</si>
  <si>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</si>
  <si>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</si>
  <si>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</si>
  <si>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</si>
  <si>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</si>
  <si>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</si>
  <si>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</si>
  <si>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</si>
  <si>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</si>
  <si>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</si>
  <si>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</si>
  <si>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</si>
  <si>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</si>
  <si>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</si>
  <si>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</si>
  <si>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</si>
  <si>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</si>
  <si>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</si>
  <si>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</si>
  <si>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</si>
  <si>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</si>
  <si>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</si>
  <si>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</si>
  <si>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</si>
  <si>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</si>
  <si>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</si>
  <si>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</si>
  <si>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</si>
  <si>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</si>
  <si>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</si>
  <si>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</si>
  <si>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</si>
  <si>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</si>
  <si>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</si>
  <si>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</si>
  <si>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</si>
  <si>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</si>
  <si>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</si>
  <si>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</si>
  <si>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</si>
  <si>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</si>
  <si>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</si>
  <si>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</si>
  <si>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</si>
  <si>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</si>
  <si>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</si>
  <si>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</si>
  <si>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</si>
  <si>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</si>
  <si>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</si>
  <si>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</si>
  <si>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</si>
  <si>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</si>
  <si>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</si>
  <si>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</si>
  <si>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</si>
  <si>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</si>
  <si>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</si>
  <si>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</si>
  <si>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</si>
  <si>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</si>
  <si>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</si>
  <si>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</si>
  <si>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</si>
  <si>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</si>
  <si>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</si>
  <si>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</si>
  <si>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</si>
  <si>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</si>
  <si>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</si>
  <si>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</si>
  <si>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</si>
  <si>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</si>
  <si>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</si>
  <si>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</si>
  <si>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</si>
  <si>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</si>
  <si>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</si>
  <si>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</si>
  <si>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</si>
  <si>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</si>
  <si>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</si>
  <si>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</si>
  <si>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</si>
  <si>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</si>
  <si>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</si>
  <si>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</si>
  <si>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</si>
  <si>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</si>
  <si>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</si>
  <si>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</si>
  <si>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</si>
  <si>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</si>
  <si>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</si>
  <si>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</si>
  <si>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</si>
  <si>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</si>
  <si>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</si>
  <si>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</si>
  <si>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</si>
  <si>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</si>
  <si>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</si>
  <si>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</si>
  <si>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</si>
  <si>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</si>
  <si>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</si>
  <si>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</si>
  <si>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</si>
  <si>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</si>
  <si>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</si>
  <si>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</si>
  <si>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</si>
  <si>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</si>
  <si>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</si>
  <si>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</si>
  <si>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</si>
  <si>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</si>
  <si>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</si>
  <si>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</si>
  <si>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</si>
  <si>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</si>
  <si>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</si>
  <si>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</si>
  <si>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</si>
  <si>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</si>
  <si>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</si>
  <si>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</si>
  <si>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</si>
  <si>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</si>
  <si>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</si>
  <si>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</si>
  <si>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</si>
  <si>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</si>
  <si>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</si>
  <si>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</si>
  <si>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</si>
  <si>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</si>
  <si>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</si>
  <si>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</si>
  <si>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</si>
  <si>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</si>
  <si>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</si>
  <si>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</si>
  <si>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</si>
  <si>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</si>
  <si>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</si>
  <si>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</si>
  <si>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</si>
  <si>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</si>
  <si>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</si>
  <si>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</si>
  <si>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</si>
  <si>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</si>
  <si>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</si>
  <si>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</si>
  <si>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</si>
  <si>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</si>
  <si>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</si>
  <si>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</si>
  <si>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</si>
  <si>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</si>
  <si>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</si>
  <si>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</si>
  <si>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</si>
  <si>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</si>
  <si>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</si>
  <si>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</si>
  <si>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</si>
  <si>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</si>
  <si>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</si>
  <si>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</si>
  <si>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</si>
  <si>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</si>
  <si>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</si>
  <si>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</si>
  <si>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</si>
  <si>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</si>
  <si>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</si>
  <si>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</si>
  <si>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</si>
  <si>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</si>
  <si>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</si>
  <si>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</si>
  <si>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</si>
  <si>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</si>
  <si>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</si>
  <si>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</si>
  <si>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</si>
  <si>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</si>
  <si>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</si>
  <si>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</si>
  <si>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</si>
  <si>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</si>
  <si>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</si>
  <si>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</si>
  <si>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</si>
  <si>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</si>
  <si>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</si>
  <si>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</si>
  <si>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</si>
  <si>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</si>
  <si>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</si>
  <si>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</si>
  <si>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</si>
  <si>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</si>
  <si>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</si>
  <si>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</si>
  <si>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</si>
  <si>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</si>
  <si>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</si>
  <si>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</si>
  <si>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</si>
  <si>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</si>
  <si>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</si>
  <si>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</si>
  <si>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</si>
  <si>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</si>
  <si>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</si>
  <si>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</si>
  <si>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</si>
  <si>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</si>
  <si>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</si>
  <si>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</si>
  <si>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</si>
  <si>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</si>
  <si>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</si>
  <si>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</si>
  <si>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</si>
  <si>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</si>
  <si>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</si>
  <si>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</si>
  <si>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</si>
  <si>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</si>
  <si>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</si>
  <si>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</si>
  <si>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</si>
  <si>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</si>
  <si>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</si>
  <si>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</si>
  <si>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</si>
  <si>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</si>
  <si>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</si>
  <si>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</si>
  <si>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</si>
  <si>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</si>
  <si>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</si>
  <si>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</si>
  <si>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</si>
  <si>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</si>
  <si>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</si>
  <si>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</si>
  <si>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</si>
  <si>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</si>
  <si>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</si>
  <si>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</si>
  <si>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</si>
  <si>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</si>
  <si>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</si>
  <si>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</si>
  <si>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</si>
  <si>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</si>
  <si>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</si>
  <si>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</si>
  <si>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</si>
  <si>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</si>
  <si>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</si>
  <si>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</si>
  <si>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</si>
  <si>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</si>
  <si>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</si>
  <si>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</si>
  <si>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</si>
  <si>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</si>
  <si>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</si>
  <si>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</si>
  <si>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</si>
  <si>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</si>
  <si>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</si>
  <si>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</si>
  <si>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</si>
  <si>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</si>
  <si>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</si>
  <si>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</si>
  <si>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</si>
  <si>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</si>
  <si>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</si>
  <si>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</si>
  <si>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</si>
  <si>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</si>
  <si>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</si>
  <si>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</si>
  <si>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</si>
  <si>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</si>
  <si>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</si>
  <si>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</si>
  <si>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</si>
  <si>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</si>
  <si>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</si>
  <si>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</si>
  <si>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</si>
  <si>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</si>
  <si>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</si>
  <si>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</si>
  <si>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</si>
  <si>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</si>
  <si>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</si>
  <si>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</si>
  <si>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</si>
  <si>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</si>
  <si>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</si>
  <si>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</si>
  <si>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</si>
  <si>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</si>
  <si>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</si>
  <si>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</si>
  <si>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</si>
  <si>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</si>
  <si>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</si>
  <si>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</si>
  <si>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</si>
  <si>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</si>
  <si>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</si>
  <si>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</si>
  <si>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</si>
  <si>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</si>
  <si>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</si>
  <si>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</si>
  <si>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</si>
  <si>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</si>
  <si>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</si>
  <si>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</si>
  <si>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</si>
  <si>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</si>
  <si>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</si>
  <si>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</si>
  <si>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</si>
  <si>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</si>
  <si>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</si>
  <si>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</si>
  <si>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</si>
  <si>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</si>
  <si>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</si>
  <si>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</si>
  <si>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</si>
  <si>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</si>
  <si>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</si>
  <si>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</si>
  <si>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</si>
  <si>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</si>
  <si>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</si>
  <si>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</si>
  <si>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</si>
  <si>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</si>
  <si>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</si>
  <si>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</si>
  <si>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</si>
  <si>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</si>
  <si>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</si>
  <si>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</si>
  <si>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</si>
  <si>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</si>
  <si>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</si>
  <si>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</si>
  <si>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</si>
  <si>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</si>
  <si>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</si>
  <si>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</si>
  <si>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</si>
  <si>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</si>
  <si>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</si>
  <si>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</si>
  <si>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</si>
  <si>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</si>
  <si>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</si>
  <si>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</si>
  <si>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</si>
  <si>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</si>
  <si>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</si>
  <si>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</si>
  <si>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</si>
  <si>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</si>
  <si>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</si>
  <si>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</si>
  <si>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</si>
  <si>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</si>
  <si>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</si>
  <si>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</si>
  <si>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</si>
  <si>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</si>
  <si>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</si>
  <si>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</si>
  <si>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</si>
  <si>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</si>
  <si>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</si>
  <si>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</si>
  <si>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</si>
  <si>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</si>
  <si>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</si>
  <si>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</si>
  <si>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</si>
  <si>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</si>
  <si>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</si>
  <si>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</si>
  <si>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</si>
  <si>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</si>
  <si>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</si>
  <si>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</si>
  <si>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</si>
  <si>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</si>
  <si>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</si>
  <si>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</si>
  <si>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</si>
  <si>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</si>
  <si>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</si>
  <si>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</si>
  <si>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</si>
  <si>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</si>
  <si>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</si>
  <si>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</si>
  <si>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</si>
  <si>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</si>
  <si>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</si>
  <si>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</si>
  <si>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</si>
  <si>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</si>
  <si>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</si>
  <si>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</si>
  <si>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</si>
  <si>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</si>
  <si>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</si>
  <si>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</si>
  <si>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</si>
  <si>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</si>
  <si>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</si>
  <si>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</si>
  <si>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</si>
  <si>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</si>
  <si>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</si>
  <si>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</si>
  <si>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</si>
  <si>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</si>
  <si>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</si>
  <si>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</si>
  <si>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</si>
  <si>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</si>
  <si>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</si>
  <si>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</si>
  <si>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</si>
  <si>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</si>
  <si>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</si>
  <si>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</si>
  <si>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</si>
  <si>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</si>
  <si>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</si>
  <si>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</si>
  <si>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</si>
  <si>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</si>
  <si>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</si>
  <si>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</si>
  <si>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</si>
  <si>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</si>
  <si>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</si>
  <si>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</si>
  <si>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</si>
  <si>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</si>
  <si>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</si>
  <si>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</si>
  <si>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</si>
  <si>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</si>
  <si>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</si>
  <si>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</si>
  <si>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</si>
  <si>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</si>
  <si>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</si>
  <si>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</si>
  <si>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</si>
  <si>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</si>
  <si>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</si>
  <si>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</si>
  <si>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</si>
  <si>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</si>
  <si>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</si>
  <si>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</si>
  <si>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</si>
  <si>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</si>
  <si>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</si>
  <si>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</si>
  <si>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</si>
  <si>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</si>
  <si>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</si>
  <si>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</si>
  <si>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</si>
  <si>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</si>
  <si>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</si>
  <si>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</si>
  <si>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</si>
  <si>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</si>
  <si>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</si>
  <si>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</si>
  <si>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</si>
  <si>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</si>
  <si>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</si>
  <si>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</si>
  <si>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</si>
  <si>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</si>
  <si>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</si>
  <si>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</si>
  <si>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</si>
  <si>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</si>
  <si>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</si>
  <si>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</si>
  <si>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</si>
  <si>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</si>
  <si>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</si>
  <si>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</si>
  <si>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</si>
  <si>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</si>
  <si>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</si>
  <si>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</si>
  <si>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</si>
  <si>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</si>
  <si>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</si>
  <si>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</si>
  <si>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</si>
  <si>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</si>
  <si>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</si>
  <si>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</si>
  <si>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</si>
  <si>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</si>
  <si>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</si>
  <si>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</si>
  <si>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</si>
  <si>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</si>
  <si>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</si>
  <si>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</si>
  <si>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</si>
  <si>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</si>
  <si>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</si>
  <si>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</si>
  <si>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</si>
  <si>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</si>
  <si>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</si>
  <si>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</si>
  <si>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</si>
  <si>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</si>
  <si>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</si>
  <si>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</si>
  <si>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</si>
  <si>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</si>
  <si>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</si>
  <si>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</si>
  <si>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</si>
  <si>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</si>
  <si>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</si>
  <si>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</si>
  <si>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</si>
  <si>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</si>
  <si>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</si>
  <si>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</si>
  <si>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</si>
  <si>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</si>
  <si>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</si>
  <si>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</si>
  <si>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</si>
  <si>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</si>
  <si>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</si>
  <si>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</si>
  <si>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</si>
  <si>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</si>
  <si>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</si>
  <si>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</si>
  <si>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</si>
  <si>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</si>
  <si>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</si>
  <si>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</si>
  <si>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</si>
  <si>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</si>
  <si>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</si>
  <si>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</si>
  <si>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</si>
  <si>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</si>
  <si>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</si>
  <si>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</si>
  <si>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</si>
  <si>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</si>
  <si>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</si>
  <si>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</si>
  <si>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</si>
  <si>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</si>
  <si>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</si>
  <si>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</si>
  <si>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</si>
  <si>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</si>
  <si>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</si>
  <si>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</si>
  <si>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</si>
  <si>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</si>
  <si>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</si>
  <si>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</si>
  <si>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</si>
  <si>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</si>
  <si>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</si>
  <si>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</si>
  <si>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</si>
  <si>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</si>
  <si>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</si>
  <si>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</si>
  <si>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</si>
  <si>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</si>
  <si>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</si>
  <si>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</si>
  <si>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</si>
  <si>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</si>
  <si>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</si>
  <si>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</si>
  <si>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</si>
  <si>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</si>
  <si>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</si>
  <si>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</si>
  <si>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</si>
  <si>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</si>
  <si>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</si>
  <si>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</si>
  <si>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</si>
  <si>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</si>
  <si>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</si>
  <si>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</si>
  <si>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</si>
  <si>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</si>
  <si>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</si>
  <si>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</si>
  <si>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</si>
  <si>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</si>
  <si>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</si>
  <si>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</si>
  <si>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</si>
  <si>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</si>
  <si>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</si>
  <si>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</si>
  <si>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</si>
  <si>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</si>
  <si>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</si>
  <si>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</si>
  <si>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</si>
  <si>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</si>
  <si>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</si>
  <si>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</si>
  <si>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</si>
  <si>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</si>
  <si>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</si>
  <si>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</si>
  <si>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</si>
  <si>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</si>
  <si>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</si>
  <si>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</si>
  <si>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</si>
  <si>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</si>
  <si>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</si>
  <si>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</si>
  <si>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</si>
  <si>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</si>
  <si>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</si>
  <si>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</si>
  <si>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</si>
  <si>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</si>
  <si>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</si>
  <si>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</si>
  <si>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</si>
  <si>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</si>
  <si>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</si>
  <si>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</si>
  <si>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</si>
  <si>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</si>
  <si>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</si>
  <si>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</si>
  <si>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</si>
  <si>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</si>
  <si>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</si>
  <si>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</si>
  <si>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</si>
  <si>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</si>
  <si>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</si>
  <si>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</si>
  <si>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</si>
  <si>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</si>
  <si>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</si>
  <si>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</si>
  <si>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</si>
  <si>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</si>
  <si>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</si>
  <si>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</si>
  <si>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</si>
  <si>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</si>
  <si>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</si>
  <si>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</si>
  <si>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</si>
  <si>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</si>
  <si>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</si>
  <si>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</si>
  <si>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</si>
  <si>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</si>
  <si>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</si>
  <si>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</si>
  <si>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</si>
  <si>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</si>
  <si>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</si>
  <si>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</si>
  <si>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</si>
  <si>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</si>
  <si>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</si>
  <si>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</si>
  <si>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</si>
  <si>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</si>
  <si>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</si>
  <si>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</si>
  <si>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</si>
  <si>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</si>
  <si>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</si>
  <si>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</si>
  <si>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</si>
  <si>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</si>
  <si>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</si>
  <si>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</si>
  <si>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</si>
  <si>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</si>
  <si>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</si>
  <si>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</si>
  <si>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</si>
  <si>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</si>
  <si>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</si>
  <si>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</si>
  <si>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</si>
  <si>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</si>
  <si>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</si>
  <si>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</si>
  <si>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</si>
  <si>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</si>
  <si>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</si>
  <si>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</si>
  <si>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</si>
  <si>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</si>
  <si>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</si>
  <si>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</si>
  <si>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</si>
  <si>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</si>
  <si>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</si>
  <si>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</si>
  <si>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</si>
  <si>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</si>
  <si>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</si>
  <si>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</si>
  <si>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</si>
  <si>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</si>
  <si>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</si>
  <si>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</si>
  <si>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</si>
  <si>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</si>
  <si>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</si>
  <si>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</si>
  <si>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</si>
  <si>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</si>
  <si>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</si>
  <si>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</si>
  <si>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</si>
  <si>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</si>
  <si>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</si>
  <si>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</si>
  <si>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</si>
  <si>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</si>
  <si>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</si>
  <si>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</si>
  <si>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</si>
  <si>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</si>
  <si>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</si>
  <si>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</si>
  <si>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</si>
  <si>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</si>
  <si>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</si>
  <si>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</si>
  <si>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</si>
  <si>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</si>
  <si>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</si>
  <si>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</si>
  <si>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</si>
  <si>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</si>
  <si>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</si>
  <si>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</si>
  <si>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</si>
  <si>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</si>
  <si>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</si>
  <si>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</si>
  <si>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</si>
  <si>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</si>
  <si>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</si>
  <si>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</si>
  <si>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</si>
  <si>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</si>
  <si>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</si>
  <si>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</si>
  <si>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</si>
  <si>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</si>
  <si>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</si>
  <si>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</si>
  <si>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</si>
  <si>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</si>
  <si>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</si>
  <si>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</si>
  <si>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</si>
  <si>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</si>
  <si>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</si>
  <si>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</si>
  <si>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</si>
  <si>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</si>
  <si>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</si>
  <si>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</si>
  <si>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</si>
  <si>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</si>
  <si>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</si>
  <si>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</si>
  <si>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</si>
  <si>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</si>
  <si>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</si>
  <si>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</si>
  <si>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</si>
  <si>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</si>
  <si>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</si>
  <si>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</si>
  <si>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</si>
  <si>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</si>
  <si>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</si>
  <si>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</si>
  <si>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</si>
  <si>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</si>
  <si>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</si>
  <si>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</si>
  <si>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</si>
  <si>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</si>
  <si>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</si>
  <si>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</si>
  <si>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</si>
  <si>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</si>
  <si>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</si>
  <si>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</si>
  <si>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</si>
  <si>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</si>
  <si>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</si>
  <si>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</si>
  <si>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</si>
  <si>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</si>
  <si>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</si>
  <si>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</si>
  <si>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</si>
  <si>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</si>
  <si>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</si>
  <si>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</si>
  <si>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</si>
  <si>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</si>
  <si>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</si>
  <si>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</si>
  <si>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</si>
  <si>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</si>
  <si>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</si>
  <si>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</si>
  <si>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</si>
  <si>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</si>
  <si>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</si>
  <si>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</si>
  <si>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</si>
  <si>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</si>
  <si>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</si>
  <si>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</si>
  <si>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</si>
  <si>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</si>
  <si>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</si>
  <si>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</si>
  <si>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</si>
  <si>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</si>
  <si>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</si>
  <si>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</si>
  <si>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</si>
  <si>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</si>
  <si>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</si>
  <si>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</si>
  <si>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</si>
  <si>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</si>
  <si>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</si>
  <si>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</si>
  <si>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</si>
  <si>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</si>
  <si>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</si>
  <si>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</si>
  <si>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</si>
  <si>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</si>
  <si>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</si>
  <si>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</si>
  <si>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</si>
  <si>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</si>
  <si>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</si>
  <si>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</si>
  <si>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</si>
  <si>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</si>
  <si>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</si>
  <si>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</si>
  <si>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</si>
  <si>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</si>
  <si>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</si>
  <si>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</si>
  <si>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</si>
  <si>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</si>
  <si>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</si>
  <si>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</si>
  <si>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</si>
  <si>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</si>
  <si>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</si>
  <si>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</si>
  <si>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</si>
  <si>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</si>
  <si>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</si>
  <si>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</si>
  <si>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</si>
  <si>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</si>
  <si>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</si>
  <si>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</si>
  <si>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</si>
  <si>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</si>
  <si>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</si>
  <si>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</si>
  <si>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</si>
  <si>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</si>
  <si>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</si>
  <si>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</si>
  <si>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</si>
  <si>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</si>
  <si>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</si>
  <si>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</si>
  <si>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</si>
  <si>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</si>
  <si>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</si>
  <si>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</si>
  <si>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</si>
  <si>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</si>
  <si>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</si>
  <si>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</si>
  <si>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</si>
  <si>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</si>
  <si>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</si>
  <si>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</si>
  <si>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</si>
  <si>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</si>
  <si>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</si>
  <si>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</si>
  <si>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</si>
  <si>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</si>
  <si>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</si>
  <si>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</si>
  <si>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</si>
  <si>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</si>
  <si>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</si>
  <si>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</si>
  <si>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</si>
  <si>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</si>
  <si>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</si>
  <si>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</si>
  <si>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</si>
  <si>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</si>
  <si>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</si>
  <si>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</si>
  <si>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</si>
  <si>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</si>
  <si>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</si>
  <si>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</si>
  <si>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</si>
  <si>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</si>
  <si>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</si>
  <si>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</si>
  <si>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</si>
  <si>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</si>
  <si>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</si>
  <si>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</si>
  <si>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</si>
  <si>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</si>
  <si>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</si>
  <si>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</si>
  <si>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</si>
  <si>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</si>
  <si>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</si>
  <si>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</si>
  <si>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</si>
  <si>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</si>
  <si>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</si>
  <si>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</si>
  <si>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</si>
  <si>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</si>
  <si>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</si>
  <si>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</si>
  <si>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</si>
  <si>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</si>
  <si>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</si>
  <si>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</si>
  <si>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</si>
  <si>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</si>
  <si>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</si>
  <si>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</si>
  <si>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</si>
  <si>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</si>
  <si>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</si>
  <si>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</si>
  <si>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</si>
  <si>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</si>
  <si>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</si>
  <si>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</si>
  <si>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</si>
  <si>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</si>
  <si>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</si>
  <si>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</si>
  <si>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</si>
  <si>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</si>
  <si>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</si>
  <si>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</si>
  <si>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</si>
  <si>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</si>
  <si>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</si>
  <si>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</si>
  <si>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</si>
  <si>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</si>
  <si>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</si>
  <si>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</si>
  <si>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</si>
  <si>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</si>
  <si>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</si>
  <si>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</si>
  <si>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</si>
  <si>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</si>
  <si>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</si>
  <si>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</si>
  <si>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</si>
  <si>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</si>
  <si>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</si>
  <si>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</si>
  <si>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</si>
  <si>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</si>
  <si>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</si>
  <si>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</si>
  <si>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</si>
  <si>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</si>
  <si>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</si>
  <si>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</si>
  <si>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</si>
  <si>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</si>
  <si>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</si>
  <si>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</si>
  <si>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</si>
  <si>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</si>
  <si>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</si>
  <si>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</si>
  <si>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</si>
  <si>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</si>
  <si>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</si>
  <si>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</si>
  <si>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</si>
  <si>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</si>
  <si>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</si>
  <si>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</si>
  <si>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</si>
  <si>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</si>
  <si>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</si>
  <si>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</si>
  <si>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</si>
  <si>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</si>
  <si>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</si>
  <si>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</si>
  <si>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</si>
  <si>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</si>
  <si>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</si>
  <si>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</si>
  <si>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</si>
  <si>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</si>
  <si>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</si>
  <si>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</si>
  <si>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</si>
  <si>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</si>
  <si>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</si>
  <si>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</si>
  <si>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</si>
  <si>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</si>
  <si>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</si>
  <si>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</si>
  <si>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</si>
  <si>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</si>
  <si>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</si>
  <si>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</si>
  <si>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</si>
  <si>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</si>
  <si>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</si>
  <si>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</si>
  <si>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</si>
  <si>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</si>
  <si>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</si>
  <si>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</si>
  <si>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</si>
  <si>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</si>
  <si>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</si>
  <si>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</si>
  <si>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</si>
  <si>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</si>
  <si>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</si>
  <si>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</si>
  <si>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</si>
  <si>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</si>
  <si>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</si>
  <si>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</si>
  <si>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</si>
  <si>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</si>
  <si>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</si>
  <si>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</si>
  <si>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</si>
  <si>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</si>
  <si>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</si>
  <si>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</si>
  <si>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</si>
  <si>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</si>
  <si>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</si>
  <si>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</si>
  <si>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</si>
  <si>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</si>
  <si>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</si>
  <si>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</si>
  <si>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</si>
  <si>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</si>
  <si>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</si>
  <si>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</si>
  <si>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</si>
  <si>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</si>
  <si>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</si>
  <si>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</si>
  <si>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</si>
  <si>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</si>
  <si>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</si>
  <si>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</si>
  <si>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</si>
  <si>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</si>
  <si>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</si>
  <si>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</si>
  <si>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</si>
  <si>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</si>
  <si>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</si>
  <si>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</si>
  <si>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</si>
  <si>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</si>
  <si>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</si>
  <si>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</si>
  <si>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</si>
  <si>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</si>
  <si>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</si>
  <si>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</si>
  <si>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</si>
  <si>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</si>
  <si>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</si>
  <si>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</si>
  <si>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</si>
  <si>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</si>
  <si>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</si>
  <si>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</si>
  <si>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</si>
  <si>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</si>
  <si>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</si>
  <si>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</si>
  <si>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</si>
  <si>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</si>
  <si>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</si>
  <si>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</si>
  <si>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</si>
  <si>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</si>
  <si>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</si>
  <si>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</si>
  <si>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</si>
  <si>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</si>
  <si>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</si>
  <si>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</si>
  <si>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</si>
  <si>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</si>
  <si>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</si>
  <si>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</si>
  <si>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</si>
  <si>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</si>
  <si>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</si>
  <si>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</si>
  <si>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</si>
  <si>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</si>
  <si>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</si>
  <si>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</si>
  <si>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</si>
  <si>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</si>
  <si>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</si>
  <si>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</si>
  <si>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</si>
  <si>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</si>
  <si>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</si>
  <si>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</si>
  <si>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</si>
  <si>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</si>
  <si>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</si>
  <si>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</si>
  <si>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</si>
  <si>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</si>
  <si>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</si>
  <si>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</si>
  <si>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</si>
  <si>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</si>
  <si>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</si>
  <si>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</si>
  <si>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</si>
  <si>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</si>
  <si>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</si>
  <si>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</si>
  <si>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</si>
  <si>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</si>
  <si>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</si>
  <si>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</si>
  <si>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</si>
  <si>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</si>
  <si>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</si>
  <si>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</si>
  <si>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</si>
  <si>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</si>
  <si>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</si>
  <si>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</si>
  <si>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</si>
  <si>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</si>
  <si>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</si>
  <si>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</si>
  <si>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</si>
  <si>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</si>
  <si>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</si>
  <si>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</si>
  <si>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</si>
  <si>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</si>
  <si>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</si>
  <si>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</si>
  <si>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</si>
  <si>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</si>
  <si>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</si>
  <si>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</si>
  <si>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</si>
  <si>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</si>
  <si>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郑燚</t>
  </si>
  <si>
    <t>崔锴</t>
  </si>
  <si>
    <t>中行商务区支行</t>
    <phoneticPr fontId="6" type="noConversion"/>
  </si>
  <si>
    <t>抵押</t>
  </si>
  <si>
    <t>房地产抵押价值</t>
  </si>
  <si>
    <t>北京市</t>
  </si>
  <si>
    <t>企业</t>
  </si>
  <si>
    <r>
      <rPr>
        <sz val="10"/>
        <color theme="9" tint="-0.249977111117893"/>
        <rFont val="宋体"/>
        <family val="3"/>
        <charset val="134"/>
      </rPr>
      <t>朝阳区朝阳区门外大街</t>
    </r>
    <r>
      <rPr>
        <sz val="10"/>
        <color theme="9" tint="-0.249977111117893"/>
        <rFont val="Arial"/>
        <family val="2"/>
      </rPr>
      <t>18</t>
    </r>
    <r>
      <rPr>
        <sz val="10"/>
        <color theme="9" tint="-0.249977111117893"/>
        <rFont val="宋体"/>
        <family val="3"/>
        <charset val="134"/>
      </rPr>
      <t>号</t>
    </r>
    <phoneticPr fontId="6" type="noConversion"/>
  </si>
  <si>
    <t>北京丰联广场商业有限公司</t>
    <phoneticPr fontId="6" type="noConversion"/>
  </si>
  <si>
    <t>否</t>
  </si>
  <si>
    <t>是</t>
  </si>
  <si>
    <t>原件</t>
  </si>
  <si>
    <t>综合项目（商业、办公）</t>
  </si>
  <si>
    <t>通路</t>
  </si>
  <si>
    <t>通电</t>
  </si>
  <si>
    <t>通讯</t>
  </si>
  <si>
    <t>通上水</t>
  </si>
  <si>
    <t>通下水</t>
  </si>
  <si>
    <t>平整</t>
  </si>
  <si>
    <t>总建筑面积</t>
    <phoneticPr fontId="3" type="noConversion"/>
  </si>
  <si>
    <t>总土地面积</t>
    <phoneticPr fontId="3" type="noConversion"/>
  </si>
  <si>
    <t>地上</t>
  </si>
  <si>
    <t>底商</t>
  </si>
  <si>
    <t>成新度</t>
  </si>
  <si>
    <t>直线</t>
    <phoneticPr fontId="3" type="noConversion"/>
  </si>
  <si>
    <t>观察</t>
    <phoneticPr fontId="3" type="noConversion"/>
  </si>
  <si>
    <t>综合</t>
    <phoneticPr fontId="3" type="noConversion"/>
  </si>
  <si>
    <t>收益法</t>
  </si>
  <si>
    <t>周边有75、110、420路及地铁2号、6号线，周边道路密集，停车便捷程度，综合评价交通便捷度好</t>
  </si>
  <si>
    <t>估价对象所在区域银行、购物场所、学校等公共配套设施齐备，综合评价公共配套设施水平好。</t>
  </si>
  <si>
    <t>估价对象所在区域基础设施水平“七通一平</t>
  </si>
  <si>
    <t>区域内有东城职业大学、日坛公园、富国海底世界等自然及人文环境，综合评价自然及人文环境状况较好。</t>
  </si>
  <si>
    <t>城市主干道——朝阳门外大街</t>
  </si>
  <si>
    <t>估价对象容积率</t>
  </si>
  <si>
    <t>朝阳门外大街</t>
  </si>
  <si>
    <t>与级别开发程度不一致</t>
  </si>
  <si>
    <t>楼层修正</t>
  </si>
  <si>
    <t>好</t>
  </si>
  <si>
    <t>较好</t>
  </si>
  <si>
    <t>押一</t>
  </si>
  <si>
    <t>钢混</t>
  </si>
  <si>
    <t>非生产用房</t>
  </si>
  <si>
    <t>现房</t>
  </si>
  <si>
    <t>成本法</t>
  </si>
  <si>
    <t>成本比率</t>
  </si>
  <si>
    <t>总价</t>
  </si>
  <si>
    <t>利息：取LPR加浮动点数</t>
  </si>
  <si>
    <t>未包含在土地购买价格中</t>
  </si>
  <si>
    <t>已包含在土地取得成本中</t>
  </si>
  <si>
    <r>
      <t>2023</t>
    </r>
    <r>
      <rPr>
        <b/>
        <sz val="14"/>
        <rFont val="宋体"/>
        <family val="3"/>
        <charset val="134"/>
      </rPr>
      <t>年商铺月应收租金预测表</t>
    </r>
    <phoneticPr fontId="3" type="noConversion"/>
  </si>
  <si>
    <t>序号</t>
    <phoneticPr fontId="3" type="noConversion"/>
  </si>
  <si>
    <t>商铺号</t>
    <phoneticPr fontId="3" type="noConversion"/>
  </si>
  <si>
    <t>品牌</t>
    <phoneticPr fontId="3" type="noConversion"/>
  </si>
  <si>
    <t>内部面积</t>
    <phoneticPr fontId="3" type="noConversion"/>
  </si>
  <si>
    <t>合同面积1</t>
    <phoneticPr fontId="3" type="noConversion"/>
  </si>
  <si>
    <t>合同条件</t>
    <phoneticPr fontId="3" type="noConversion"/>
  </si>
  <si>
    <r>
      <t>年</t>
    </r>
    <r>
      <rPr>
        <b/>
        <sz val="10"/>
        <rFont val="Arial"/>
        <family val="2"/>
      </rPr>
      <t xml:space="preserve"> </t>
    </r>
    <r>
      <rPr>
        <b/>
        <sz val="10"/>
        <rFont val="宋体"/>
        <family val="3"/>
        <charset val="134"/>
      </rPr>
      <t>租金</t>
    </r>
    <phoneticPr fontId="3" type="noConversion"/>
  </si>
  <si>
    <t>或有租金</t>
    <phoneticPr fontId="3" type="noConversion"/>
  </si>
  <si>
    <r>
      <t>租金</t>
    </r>
    <r>
      <rPr>
        <b/>
        <sz val="10"/>
        <rFont val="Times New Roman"/>
        <family val="1"/>
      </rPr>
      <t>(</t>
    </r>
    <r>
      <rPr>
        <b/>
        <sz val="10"/>
        <rFont val="宋体"/>
        <family val="3"/>
        <charset val="134"/>
      </rPr>
      <t>￥</t>
    </r>
    <r>
      <rPr>
        <b/>
        <sz val="10"/>
        <rFont val="Times New Roman"/>
        <family val="1"/>
      </rPr>
      <t>/</t>
    </r>
    <r>
      <rPr>
        <b/>
        <sz val="10"/>
        <rFont val="宋体"/>
        <family val="3"/>
        <charset val="134"/>
      </rPr>
      <t>月</t>
    </r>
    <r>
      <rPr>
        <b/>
        <sz val="10"/>
        <rFont val="Times New Roman"/>
        <family val="1"/>
      </rPr>
      <t>)</t>
    </r>
    <phoneticPr fontId="3" type="noConversion"/>
  </si>
  <si>
    <t>管理费</t>
    <phoneticPr fontId="3" type="noConversion"/>
  </si>
  <si>
    <t>合同期</t>
    <phoneticPr fontId="3" type="noConversion"/>
  </si>
  <si>
    <r>
      <t>1月</t>
    </r>
    <r>
      <rPr>
        <b/>
        <sz val="8"/>
        <rFont val="宋体"/>
        <family val="3"/>
        <charset val="134"/>
      </rPr>
      <t/>
    </r>
  </si>
  <si>
    <r>
      <t>2月</t>
    </r>
    <r>
      <rPr>
        <b/>
        <sz val="8"/>
        <rFont val="宋体"/>
        <family val="3"/>
        <charset val="134"/>
      </rPr>
      <t/>
    </r>
  </si>
  <si>
    <r>
      <t>3月</t>
    </r>
    <r>
      <rPr>
        <b/>
        <sz val="8"/>
        <rFont val="宋体"/>
        <family val="3"/>
        <charset val="134"/>
      </rPr>
      <t/>
    </r>
  </si>
  <si>
    <r>
      <t>4月</t>
    </r>
    <r>
      <rPr>
        <b/>
        <sz val="8"/>
        <rFont val="宋体"/>
        <family val="3"/>
        <charset val="134"/>
      </rPr>
      <t/>
    </r>
  </si>
  <si>
    <r>
      <t>5月</t>
    </r>
    <r>
      <rPr>
        <b/>
        <sz val="8"/>
        <rFont val="宋体"/>
        <family val="3"/>
        <charset val="134"/>
      </rPr>
      <t/>
    </r>
  </si>
  <si>
    <r>
      <t>6月</t>
    </r>
    <r>
      <rPr>
        <b/>
        <sz val="8"/>
        <rFont val="宋体"/>
        <family val="3"/>
        <charset val="134"/>
      </rPr>
      <t/>
    </r>
  </si>
  <si>
    <r>
      <t>7月</t>
    </r>
    <r>
      <rPr>
        <b/>
        <sz val="8"/>
        <rFont val="宋体"/>
        <family val="3"/>
        <charset val="134"/>
      </rPr>
      <t/>
    </r>
  </si>
  <si>
    <r>
      <t>8</t>
    </r>
    <r>
      <rPr>
        <b/>
        <sz val="10"/>
        <rFont val="Times New Roman"/>
        <family val="1"/>
      </rPr>
      <t>月</t>
    </r>
    <r>
      <rPr>
        <b/>
        <sz val="8"/>
        <rFont val="宋体"/>
        <family val="3"/>
        <charset val="134"/>
      </rPr>
      <t/>
    </r>
  </si>
  <si>
    <r>
      <t>9</t>
    </r>
    <r>
      <rPr>
        <b/>
        <sz val="10"/>
        <rFont val="Times New Roman"/>
        <family val="1"/>
      </rPr>
      <t>月</t>
    </r>
    <r>
      <rPr>
        <b/>
        <sz val="8"/>
        <rFont val="宋体"/>
        <family val="3"/>
        <charset val="134"/>
      </rPr>
      <t/>
    </r>
  </si>
  <si>
    <r>
      <t>10</t>
    </r>
    <r>
      <rPr>
        <b/>
        <sz val="10"/>
        <rFont val="Times New Roman"/>
        <family val="1"/>
      </rPr>
      <t>月</t>
    </r>
    <r>
      <rPr>
        <b/>
        <sz val="8"/>
        <rFont val="宋体"/>
        <family val="3"/>
        <charset val="134"/>
      </rPr>
      <t/>
    </r>
  </si>
  <si>
    <r>
      <t>11</t>
    </r>
    <r>
      <rPr>
        <b/>
        <sz val="10"/>
        <rFont val="Times New Roman"/>
        <family val="1"/>
      </rPr>
      <t>月</t>
    </r>
    <r>
      <rPr>
        <b/>
        <sz val="8"/>
        <rFont val="宋体"/>
        <family val="3"/>
        <charset val="134"/>
      </rPr>
      <t/>
    </r>
  </si>
  <si>
    <r>
      <t>12</t>
    </r>
    <r>
      <rPr>
        <b/>
        <sz val="10"/>
        <rFont val="Times New Roman"/>
        <family val="1"/>
      </rPr>
      <t>月</t>
    </r>
    <r>
      <rPr>
        <b/>
        <sz val="8"/>
        <rFont val="宋体"/>
        <family val="3"/>
        <charset val="134"/>
      </rPr>
      <t/>
    </r>
  </si>
  <si>
    <t>丰联丽格</t>
    <phoneticPr fontId="3" type="noConversion"/>
  </si>
  <si>
    <t>17.3.1-19.7.31</t>
    <phoneticPr fontId="3" type="noConversion"/>
  </si>
  <si>
    <t>19.8.1-21.2.28</t>
    <phoneticPr fontId="3" type="noConversion"/>
  </si>
  <si>
    <t>21.3.1-25.2.28</t>
    <phoneticPr fontId="3" type="noConversion"/>
  </si>
  <si>
    <t>402+403</t>
    <phoneticPr fontId="3" type="noConversion"/>
  </si>
  <si>
    <t>丰联丽格</t>
  </si>
  <si>
    <t>21.9.1-24.8.31</t>
    <phoneticPr fontId="3" type="noConversion"/>
  </si>
  <si>
    <t>24.9.1-27.8.31</t>
    <phoneticPr fontId="3" type="noConversion"/>
  </si>
  <si>
    <t>27.9.1-30.8.31</t>
    <phoneticPr fontId="3" type="noConversion"/>
  </si>
  <si>
    <t>30.9.1-31.8.31</t>
    <phoneticPr fontId="3" type="noConversion"/>
  </si>
  <si>
    <t>405+406+407</t>
    <phoneticPr fontId="3" type="noConversion"/>
  </si>
  <si>
    <t>小计</t>
    <phoneticPr fontId="3" type="noConversion"/>
  </si>
  <si>
    <t>已出租</t>
  </si>
  <si>
    <t>已出租</t>
    <phoneticPr fontId="7" type="noConversion"/>
  </si>
  <si>
    <t>未出租</t>
  </si>
  <si>
    <t>未出租</t>
    <phoneticPr fontId="7" type="noConversion"/>
  </si>
  <si>
    <t>月收入</t>
    <phoneticPr fontId="134" type="noConversion"/>
  </si>
  <si>
    <t>使用面积</t>
    <phoneticPr fontId="134" type="noConversion"/>
  </si>
  <si>
    <t>建筑面积</t>
    <phoneticPr fontId="134" type="noConversion"/>
  </si>
  <si>
    <t>租约期内租金</t>
    <phoneticPr fontId="134" type="noConversion"/>
  </si>
  <si>
    <t>租约期外租金</t>
    <phoneticPr fontId="134" type="noConversion"/>
  </si>
  <si>
    <t>收益法-未出租</t>
  </si>
  <si>
    <t>收益法-未出租</t>
    <phoneticPr fontId="16" type="noConversion"/>
  </si>
  <si>
    <t>收益法（汇总）</t>
  </si>
  <si>
    <t>需扣减承租人权益</t>
  </si>
  <si>
    <t>燃气</t>
  </si>
  <si>
    <t>项目全部</t>
  </si>
  <si>
    <t>估价对象位于朝阳门商圈，周边商业氛围成熟，有悠唐购物中心、银河SOHO等购物中心，人流量大，商业繁华度好</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</si>
</sst>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_ * #,##0_ ;_ * \-#,##0_ ;_ * &quot;-&quot;??_ ;_ @_ "/>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
      <b/>
      <sz val="14"/>
      <name val="Times New Roman"/>
      <family val="1"/>
    </font>
    <font>
      <b/>
      <sz val="14"/>
      <name val="宋体"/>
      <family val="3"/>
      <charset val="134"/>
    </font>
    <font>
      <b/>
      <sz val="10"/>
      <name val="Times New Roman"/>
      <family val="1"/>
    </font>
    <font>
      <b/>
      <sz val="8"/>
      <name val="宋体"/>
      <family val="3"/>
      <charset val="134"/>
    </font>
    <font>
      <sz val="10"/>
      <name val="Times New Roman"/>
      <family val="1"/>
    </font>
    <font>
      <sz val="10"/>
      <name val="Arial Unicode MS"/>
      <family val="2"/>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22"/>
        <bgColor indexed="64"/>
      </patternFill>
    </fill>
    <fill>
      <patternFill patternType="solid">
        <fgColor theme="0" tint="-0.34998626667073579"/>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269" fillId="0" borderId="0" applyFont="0" applyFill="0" applyBorder="0" applyAlignment="0" applyProtection="0">
      <alignment vertical="center"/>
    </xf>
    <xf numFmtId="0" fontId="36" fillId="0" borderId="0">
      <alignment vertical="center"/>
    </xf>
    <xf numFmtId="0" fontId="44" fillId="0" borderId="0"/>
  </cellStyleXfs>
  <cellXfs count="353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77" fillId="7" borderId="150" xfId="0" applyFont="1" applyFill="1" applyBorder="1" applyAlignment="1" applyProtection="1">
      <alignment vertical="center" wrapText="1"/>
      <protection locked="0"/>
    </xf>
    <xf numFmtId="0" fontId="77" fillId="7" borderId="54" xfId="0" applyFont="1" applyFill="1" applyBorder="1" applyAlignment="1" applyProtection="1">
      <alignment vertical="center" wrapText="1"/>
      <protection locked="0"/>
    </xf>
    <xf numFmtId="0" fontId="77" fillId="12" borderId="0" xfId="0" applyFont="1" applyFill="1" applyProtection="1">
      <alignment vertical="center"/>
      <protection locked="0"/>
    </xf>
    <xf numFmtId="9" fontId="47" fillId="12" borderId="0" xfId="17" applyFont="1" applyFill="1" applyAlignment="1" applyProtection="1">
      <alignment vertical="center"/>
      <protection locked="0"/>
    </xf>
    <xf numFmtId="49" fontId="222" fillId="0" borderId="24" xfId="0" applyNumberFormat="1" applyFont="1" applyBorder="1" applyAlignment="1" applyProtection="1">
      <alignment vertical="center" wrapText="1"/>
      <protection locked="0"/>
    </xf>
    <xf numFmtId="0" fontId="270" fillId="0" borderId="60" xfId="20" applyFont="1" applyBorder="1" applyAlignment="1">
      <alignment horizontal="centerContinuous" vertical="center"/>
    </xf>
    <xf numFmtId="0" fontId="272" fillId="22" borderId="1" xfId="20" applyFont="1" applyFill="1" applyBorder="1" applyAlignment="1">
      <alignment horizontal="center" vertical="center"/>
    </xf>
    <xf numFmtId="196" fontId="80" fillId="22" borderId="1" xfId="19" applyNumberFormat="1" applyFont="1" applyFill="1" applyBorder="1" applyAlignment="1">
      <alignment horizontal="right" vertical="center"/>
    </xf>
    <xf numFmtId="0" fontId="80" fillId="22" borderId="1" xfId="20" applyFont="1" applyFill="1" applyBorder="1" applyAlignment="1">
      <alignment horizontal="center" vertical="center"/>
    </xf>
    <xf numFmtId="196" fontId="54" fillId="22" borderId="1" xfId="19" applyNumberFormat="1" applyFont="1" applyFill="1" applyBorder="1" applyAlignment="1">
      <alignment horizontal="right" vertical="center"/>
    </xf>
    <xf numFmtId="176" fontId="274" fillId="0" borderId="1" xfId="20" applyNumberFormat="1" applyFont="1" applyBorder="1" applyAlignment="1">
      <alignment horizontal="center" vertical="center"/>
    </xf>
    <xf numFmtId="0" fontId="274" fillId="0" borderId="1" xfId="20" applyFont="1" applyBorder="1" applyAlignment="1">
      <alignment horizontal="center" vertical="center"/>
    </xf>
    <xf numFmtId="176" fontId="274" fillId="23" borderId="1" xfId="20" applyNumberFormat="1" applyFont="1" applyFill="1" applyBorder="1" applyAlignment="1">
      <alignment horizontal="center" vertical="center"/>
    </xf>
    <xf numFmtId="0" fontId="274" fillId="23" borderId="1" xfId="20" applyFont="1" applyFill="1" applyBorder="1" applyAlignment="1">
      <alignment horizontal="center" vertical="center"/>
    </xf>
    <xf numFmtId="0" fontId="274" fillId="2" borderId="1" xfId="20" applyFont="1" applyFill="1" applyBorder="1" applyAlignment="1">
      <alignment horizontal="center" vertical="center"/>
    </xf>
    <xf numFmtId="0" fontId="19" fillId="2" borderId="1" xfId="21" applyFont="1" applyFill="1" applyBorder="1" applyAlignment="1">
      <alignment horizontal="center" vertical="center" shrinkToFit="1"/>
    </xf>
    <xf numFmtId="0" fontId="274" fillId="2" borderId="1" xfId="21" applyFont="1" applyFill="1" applyBorder="1" applyAlignment="1">
      <alignment horizontal="center" vertical="center" wrapText="1"/>
    </xf>
    <xf numFmtId="176" fontId="274" fillId="2" borderId="1" xfId="20" applyNumberFormat="1" applyFont="1" applyFill="1" applyBorder="1" applyAlignment="1">
      <alignment horizontal="center" vertical="center"/>
    </xf>
    <xf numFmtId="176" fontId="274" fillId="2" borderId="1" xfId="21" applyNumberFormat="1" applyFont="1" applyFill="1" applyBorder="1" applyAlignment="1">
      <alignment horizontal="center" vertical="center" wrapText="1"/>
    </xf>
    <xf numFmtId="196" fontId="53" fillId="2" borderId="1" xfId="19" applyNumberFormat="1" applyFont="1" applyFill="1" applyBorder="1" applyAlignment="1">
      <alignment horizontal="center" vertical="center"/>
    </xf>
    <xf numFmtId="176" fontId="0" fillId="0" borderId="0" xfId="0" applyNumberFormat="1">
      <alignment vertical="center"/>
    </xf>
    <xf numFmtId="43" fontId="0" fillId="0" borderId="0" xfId="0" applyNumberFormat="1">
      <alignment vertical="center"/>
    </xf>
    <xf numFmtId="176" fontId="95" fillId="0" borderId="0" xfId="0" applyNumberFormat="1" applyFont="1">
      <alignment vertical="center"/>
    </xf>
    <xf numFmtId="43" fontId="47" fillId="0" borderId="3" xfId="0" applyNumberFormat="1" applyFont="1" applyBorder="1" applyProtection="1">
      <alignment vertical="center"/>
      <protection locked="0"/>
    </xf>
    <xf numFmtId="179" fontId="51" fillId="7" borderId="23" xfId="0" applyNumberFormat="1" applyFont="1" applyFill="1" applyBorder="1" applyAlignment="1" applyProtection="1">
      <alignment horizontal="center" vertical="center"/>
      <protection locked="0"/>
    </xf>
    <xf numFmtId="181" fontId="51" fillId="7" borderId="1" xfId="0" applyNumberFormat="1" applyFont="1" applyFill="1" applyBorder="1" applyProtection="1">
      <alignment vertical="center"/>
      <protection locked="0"/>
    </xf>
    <xf numFmtId="10" fontId="44" fillId="0" borderId="24" xfId="0" applyNumberFormat="1" applyFont="1" applyBorder="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196" fontId="53" fillId="23" borderId="13" xfId="19" applyNumberFormat="1" applyFont="1" applyFill="1" applyBorder="1" applyAlignment="1">
      <alignment horizontal="right" vertical="center"/>
    </xf>
    <xf numFmtId="196" fontId="53" fillId="23" borderId="15" xfId="19" applyNumberFormat="1" applyFont="1" applyFill="1" applyBorder="1" applyAlignment="1">
      <alignment horizontal="right" vertical="center"/>
    </xf>
    <xf numFmtId="196" fontId="53" fillId="23" borderId="2" xfId="19" applyNumberFormat="1" applyFont="1" applyFill="1" applyBorder="1" applyAlignment="1">
      <alignment horizontal="right" vertical="center"/>
    </xf>
    <xf numFmtId="196" fontId="53" fillId="23" borderId="13" xfId="19" applyNumberFormat="1" applyFont="1" applyFill="1" applyBorder="1" applyAlignment="1">
      <alignment horizontal="center" vertical="center"/>
    </xf>
    <xf numFmtId="196" fontId="53" fillId="23" borderId="15" xfId="19" applyNumberFormat="1" applyFont="1" applyFill="1" applyBorder="1" applyAlignment="1">
      <alignment horizontal="center" vertical="center"/>
    </xf>
    <xf numFmtId="196" fontId="53" fillId="23" borderId="2" xfId="19" applyNumberFormat="1" applyFont="1" applyFill="1" applyBorder="1" applyAlignment="1">
      <alignment horizontal="center" vertical="center"/>
    </xf>
    <xf numFmtId="196" fontId="53" fillId="23" borderId="1" xfId="19" applyNumberFormat="1" applyFont="1" applyFill="1" applyBorder="1" applyAlignment="1">
      <alignment horizontal="right" vertical="center"/>
    </xf>
    <xf numFmtId="196" fontId="53" fillId="0" borderId="1" xfId="19" applyNumberFormat="1" applyFont="1" applyFill="1" applyBorder="1" applyAlignment="1">
      <alignment horizontal="right" vertical="center"/>
    </xf>
    <xf numFmtId="196" fontId="53" fillId="0" borderId="13" xfId="19" applyNumberFormat="1" applyFont="1" applyFill="1" applyBorder="1" applyAlignment="1">
      <alignment horizontal="right" vertical="center"/>
    </xf>
    <xf numFmtId="196" fontId="53" fillId="0" borderId="15" xfId="19" applyNumberFormat="1" applyFont="1" applyFill="1" applyBorder="1" applyAlignment="1">
      <alignment horizontal="right" vertical="center"/>
    </xf>
    <xf numFmtId="196" fontId="53" fillId="0" borderId="2" xfId="19" applyNumberFormat="1" applyFont="1" applyFill="1" applyBorder="1" applyAlignment="1">
      <alignment horizontal="right" vertical="center"/>
    </xf>
    <xf numFmtId="0" fontId="274" fillId="23" borderId="1" xfId="20" applyFont="1" applyFill="1" applyBorder="1" applyAlignment="1">
      <alignment horizontal="center" vertical="center"/>
    </xf>
    <xf numFmtId="0" fontId="274" fillId="23" borderId="1" xfId="21" applyFont="1" applyFill="1" applyBorder="1" applyAlignment="1">
      <alignment horizontal="center" vertical="center" shrinkToFit="1"/>
    </xf>
    <xf numFmtId="0" fontId="275" fillId="23" borderId="1" xfId="21" applyFont="1" applyFill="1" applyBorder="1" applyAlignment="1">
      <alignment horizontal="center" vertical="center" wrapText="1"/>
    </xf>
    <xf numFmtId="176" fontId="274" fillId="23" borderId="1" xfId="20" applyNumberFormat="1" applyFont="1" applyFill="1" applyBorder="1" applyAlignment="1">
      <alignment horizontal="center" vertical="center" shrinkToFit="1"/>
    </xf>
    <xf numFmtId="0" fontId="274" fillId="0" borderId="1" xfId="20" applyFont="1" applyBorder="1" applyAlignment="1">
      <alignment horizontal="center" vertical="center"/>
    </xf>
    <xf numFmtId="0" fontId="274" fillId="0" borderId="13" xfId="20" applyFont="1" applyBorder="1" applyAlignment="1">
      <alignment horizontal="center" vertical="center"/>
    </xf>
    <xf numFmtId="0" fontId="274" fillId="0" borderId="15" xfId="20" applyFont="1" applyBorder="1" applyAlignment="1">
      <alignment horizontal="center" vertical="center"/>
    </xf>
    <xf numFmtId="0" fontId="274" fillId="0" borderId="2" xfId="20" applyFont="1" applyBorder="1" applyAlignment="1">
      <alignment horizontal="center" vertical="center"/>
    </xf>
    <xf numFmtId="0" fontId="19" fillId="0" borderId="13" xfId="20" applyFont="1" applyBorder="1" applyAlignment="1">
      <alignment horizontal="center" vertical="center"/>
    </xf>
    <xf numFmtId="0" fontId="19" fillId="0" borderId="15" xfId="20" applyFont="1" applyBorder="1" applyAlignment="1">
      <alignment horizontal="center" vertical="center"/>
    </xf>
    <xf numFmtId="43" fontId="274" fillId="0" borderId="13" xfId="19" applyFont="1" applyFill="1" applyBorder="1" applyAlignment="1">
      <alignment horizontal="center" vertical="center"/>
    </xf>
    <xf numFmtId="43" fontId="274" fillId="0" borderId="15" xfId="19" applyFont="1" applyFill="1" applyBorder="1" applyAlignment="1">
      <alignment horizontal="center" vertical="center"/>
    </xf>
    <xf numFmtId="43" fontId="274" fillId="0" borderId="2" xfId="19" applyFont="1" applyFill="1" applyBorder="1" applyAlignment="1">
      <alignment horizontal="center" vertical="center"/>
    </xf>
    <xf numFmtId="196" fontId="54" fillId="22" borderId="1" xfId="19" applyNumberFormat="1" applyFont="1" applyFill="1" applyBorder="1" applyAlignment="1">
      <alignment horizontal="right" vertical="center"/>
    </xf>
    <xf numFmtId="176" fontId="274" fillId="0" borderId="1" xfId="20" applyNumberFormat="1" applyFont="1" applyBorder="1" applyAlignment="1">
      <alignment horizontal="center" vertical="center"/>
    </xf>
    <xf numFmtId="0" fontId="80" fillId="22" borderId="1" xfId="20" applyFont="1" applyFill="1" applyBorder="1" applyAlignment="1">
      <alignment horizontal="center" vertical="center" wrapText="1"/>
    </xf>
    <xf numFmtId="0" fontId="272" fillId="22" borderId="1" xfId="20" applyFont="1" applyFill="1" applyBorder="1" applyAlignment="1">
      <alignment horizontal="center" vertical="center" wrapText="1"/>
    </xf>
    <xf numFmtId="0" fontId="80" fillId="22" borderId="1" xfId="20" applyFont="1" applyFill="1" applyBorder="1" applyAlignment="1">
      <alignment horizontal="center" vertical="center" shrinkToFit="1"/>
    </xf>
    <xf numFmtId="0" fontId="272" fillId="22" borderId="1" xfId="20" applyFont="1" applyFill="1" applyBorder="1" applyAlignment="1">
      <alignment horizontal="center" vertical="center" shrinkToFit="1"/>
    </xf>
    <xf numFmtId="176" fontId="80" fillId="22" borderId="1" xfId="20" applyNumberFormat="1" applyFont="1" applyFill="1" applyBorder="1" applyAlignment="1">
      <alignment horizontal="center" vertical="center"/>
    </xf>
    <xf numFmtId="176" fontId="272" fillId="22" borderId="1" xfId="20" applyNumberFormat="1" applyFont="1" applyFill="1" applyBorder="1" applyAlignment="1">
      <alignment horizontal="center" vertical="center"/>
    </xf>
    <xf numFmtId="0" fontId="80" fillId="22" borderId="1" xfId="20" applyFont="1" applyFill="1" applyBorder="1" applyAlignment="1">
      <alignment horizontal="center" vertical="center"/>
    </xf>
    <xf numFmtId="0" fontId="272" fillId="22" borderId="1" xfId="20" applyFont="1" applyFill="1" applyBorder="1" applyAlignment="1">
      <alignment horizontal="center"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2">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_2012年租金收入预测(2011.7.28)" xfId="20"/>
    <cellStyle name="常规_Sheet1" xfId="21"/>
    <cellStyle name="千位分隔" xfId="19" builtinId="3"/>
  </cellStyles>
  <dxfs count="198">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北京市朝阳区朝阳区门外大街18号房地产抵押价值预评估</v>
      </c>
    </row>
    <row r="3" spans="1:2">
      <c r="A3" s="1119" t="s">
        <v>523</v>
      </c>
      <c r="B3" s="1120" t="str">
        <f>'预评函-封皮'!B40</f>
        <v>中行商务区支行</v>
      </c>
    </row>
    <row r="4" spans="1:2">
      <c r="A4" s="1119" t="s">
        <v>524</v>
      </c>
      <c r="B4" s="1120" t="str">
        <f ca="1">'预评函-封皮'!B46</f>
        <v>郑燚（注册号：1120070131)、崔锴（注册号：1120100036)</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受贵公司委托，我公司对北京市朝阳区朝阳区门外大街18号房地产抵押价值进行了预评估。</v>
      </c>
    </row>
    <row r="7" spans="1:2">
      <c r="A7" s="1119" t="s">
        <v>566</v>
      </c>
      <c r="B7" s="1120" t="str">
        <f>'预评函-1'!A7</f>
        <v>估价对象为北京市朝阳区朝阳区门外大街18号房地产，为北京丰联广场商业有限公司所有。根据《国有土地使用证》[]，估价对象（分摊）出让国有建设用地使用权面积为750.35平方米，建筑面积为6547.83平方米。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朝阳区朝阳区门外大街18号房地产,为北京丰联广场商业有限公司开发建设的综合项目（商业、办公），该项目尚在开发建设中。根据《国有土地使用证》[]，估价对象（分摊）出让国有建设用地使用权面积为750.35平方米，规划建筑面积为6547.83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朝阳区朝阳区门外大街18号房地产作为抵押担保物，向中行商务区支行办理贷款手续。中行商务区支行特委托北京康正宏基房地产评估有限公司对上述抵押物进行评估。本次评估为确定房地产抵押贷款额度提供参考依据而评估房地产抵押价值。</v>
      </c>
    </row>
    <row r="12" spans="1:2">
      <c r="A12" s="1119" t="s">
        <v>528</v>
      </c>
      <c r="B12" s="1120" t="str">
        <f>'预评函-1'!A15</f>
        <v>2023年5月5日（评估专业人员实地查勘之日）</v>
      </c>
    </row>
    <row r="13" spans="1:2">
      <c r="A13" s="1119" t="s">
        <v>529</v>
      </c>
      <c r="B13" s="1120" t="str">
        <f>'预评函-1'!A18</f>
        <v>本次估价的“房地产价值”是指在正常市场情况下，在价值时点2023年5月5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18019</v>
      </c>
    </row>
    <row r="21" spans="1:2">
      <c r="A21" s="1119" t="s">
        <v>537</v>
      </c>
      <c r="B21" s="1120">
        <f ca="1">'预评函-2'!D7</f>
        <v>27519</v>
      </c>
    </row>
    <row r="22" spans="1:2">
      <c r="A22" s="1119" t="s">
        <v>538</v>
      </c>
      <c r="B22" s="1120" t="str">
        <f ca="1">'预评函-2'!D6</f>
        <v>壹亿捌仟零壹拾玖万元整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18019</v>
      </c>
    </row>
    <row r="31" spans="1:2">
      <c r="A31" s="1119" t="s">
        <v>576</v>
      </c>
      <c r="B31" s="1120">
        <f ca="1">'预评函-2'!D15</f>
        <v>27519</v>
      </c>
    </row>
    <row r="32" spans="1:2">
      <c r="A32" s="1119" t="s">
        <v>543</v>
      </c>
      <c r="B32" s="1120" t="str">
        <f ca="1">'预评函-2'!D14</f>
        <v>壹亿捌仟零壹拾玖万元整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北京市朝阳区朝阳区门外大街18号房地产</v>
      </c>
    </row>
    <row r="42" spans="1:2">
      <c r="A42" s="1119" t="s">
        <v>590</v>
      </c>
      <c r="B42" s="1120" t="str">
        <f>'预评函-3'!B2</f>
        <v>建筑面积</v>
      </c>
    </row>
    <row r="43" spans="1:2">
      <c r="A43" s="1119" t="s">
        <v>591</v>
      </c>
      <c r="B43" s="1120">
        <f>'预评函-3'!B4</f>
        <v>6547.83</v>
      </c>
    </row>
    <row r="44" spans="1:2">
      <c r="A44" s="1119" t="s">
        <v>575</v>
      </c>
      <c r="B44" s="1120" t="str">
        <f>'预评函-3'!C2</f>
        <v>(分摊)土地面积</v>
      </c>
    </row>
    <row r="45" spans="1:2">
      <c r="A45" s="1119" t="s">
        <v>547</v>
      </c>
      <c r="B45" s="1120">
        <f>'预评函-3'!C4</f>
        <v>750.35</v>
      </c>
    </row>
    <row r="46" spans="1:2">
      <c r="A46" s="1119" t="s">
        <v>573</v>
      </c>
      <c r="B46" s="1120" t="str">
        <f>'预评函-3'!D2</f>
        <v>出让国有建设用地使用权价值</v>
      </c>
    </row>
    <row r="47" spans="1:2">
      <c r="A47" s="1119" t="s">
        <v>548</v>
      </c>
      <c r="B47" s="1120">
        <f ca="1">'预评函-3'!D4</f>
        <v>14091</v>
      </c>
    </row>
    <row r="48" spans="1:2">
      <c r="A48" s="1119" t="s">
        <v>549</v>
      </c>
      <c r="B48" s="1120">
        <f ca="1">'预评函-3'!E4</f>
        <v>21520</v>
      </c>
    </row>
    <row r="49" spans="1:2">
      <c r="A49" s="1119" t="s">
        <v>550</v>
      </c>
      <c r="B49" s="1120" t="str">
        <f ca="1">'预评函-3'!D5</f>
        <v>壹亿肆仟零玖拾壹万元整</v>
      </c>
    </row>
    <row r="50" spans="1:2">
      <c r="A50" s="1119" t="s">
        <v>574</v>
      </c>
      <c r="B50" s="1120" t="str">
        <f>'预评函-3'!F2</f>
        <v>在建建筑物价值</v>
      </c>
    </row>
    <row r="51" spans="1:2">
      <c r="A51" s="1119" t="s">
        <v>551</v>
      </c>
      <c r="B51" s="1120">
        <f ca="1">'预评函-3'!F4</f>
        <v>3928</v>
      </c>
    </row>
    <row r="52" spans="1:2">
      <c r="A52" s="1119" t="s">
        <v>552</v>
      </c>
      <c r="B52" s="1120">
        <f ca="1">'预评函-3'!G4</f>
        <v>5999</v>
      </c>
    </row>
    <row r="53" spans="1:2">
      <c r="A53" s="1119" t="s">
        <v>580</v>
      </c>
      <c r="B53" s="1120" t="str">
        <f ca="1">'预评函-3'!F5</f>
        <v>叁仟玖佰贰拾捌万元整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（1）根据估价对象《房屋所有权证》原件、《国有土地使用权》原件，截至价值时点，估价对象抵押权未见登记。</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t="str">
        <f>'预评函-4'!A4</f>
        <v>郑燚</v>
      </c>
    </row>
    <row r="71" spans="1:2">
      <c r="A71" s="1119" t="s">
        <v>563</v>
      </c>
      <c r="B71" s="1120">
        <f ca="1">'预评函-4'!B4</f>
        <v>1120070131</v>
      </c>
    </row>
    <row r="72" spans="1:2">
      <c r="A72" s="1119" t="s">
        <v>564</v>
      </c>
      <c r="B72" s="1127" t="str">
        <f>'预评函-4'!A5</f>
        <v>崔锴</v>
      </c>
    </row>
    <row r="73" spans="1:2" s="1115" customFormat="1" ht="15" thickBot="1">
      <c r="A73" s="1122" t="s">
        <v>565</v>
      </c>
      <c r="B73" s="1123">
        <f ca="1">'预评函-4'!B5</f>
        <v>1120100036</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37" sqref="F37"/>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3341</v>
      </c>
    </row>
    <row r="8" spans="1:23">
      <c r="A8" s="1441" t="s">
        <v>1026</v>
      </c>
      <c r="B8" s="1441" t="s">
        <v>1027</v>
      </c>
      <c r="C8" s="1442" t="s">
        <v>319</v>
      </c>
      <c r="F8" s="1443" t="s">
        <v>1028</v>
      </c>
      <c r="H8" s="1443" t="s">
        <v>2575</v>
      </c>
      <c r="I8" s="1443" t="s">
        <v>3342</v>
      </c>
    </row>
    <row r="9" spans="1:23">
      <c r="A9" s="1441" t="s">
        <v>1029</v>
      </c>
      <c r="B9" s="1441" t="s">
        <v>1030</v>
      </c>
      <c r="C9" s="1442" t="s">
        <v>320</v>
      </c>
      <c r="F9" s="1443" t="s">
        <v>1031</v>
      </c>
      <c r="H9" s="1443"/>
      <c r="I9" s="1445" t="s">
        <v>3343</v>
      </c>
    </row>
    <row r="10" spans="1:23">
      <c r="A10" s="1441" t="s">
        <v>1032</v>
      </c>
      <c r="B10" s="1441" t="s">
        <v>1033</v>
      </c>
      <c r="C10" s="1442" t="s">
        <v>321</v>
      </c>
      <c r="F10" s="1443" t="s">
        <v>2576</v>
      </c>
      <c r="I10" s="1445" t="s">
        <v>3344</v>
      </c>
    </row>
    <row r="11" spans="1:23">
      <c r="A11" s="1441" t="s">
        <v>1034</v>
      </c>
      <c r="B11" s="1441" t="s">
        <v>1035</v>
      </c>
      <c r="C11" s="1442" t="s">
        <v>322</v>
      </c>
      <c r="F11" s="1443" t="s">
        <v>13</v>
      </c>
      <c r="I11" s="1445" t="s">
        <v>3345</v>
      </c>
    </row>
    <row r="12" spans="1:23">
      <c r="A12" s="1441" t="s">
        <v>1036</v>
      </c>
      <c r="B12" s="1441" t="s">
        <v>1037</v>
      </c>
      <c r="C12" s="1442" t="s">
        <v>323</v>
      </c>
      <c r="I12" s="1445" t="s">
        <v>3346</v>
      </c>
    </row>
    <row r="13" spans="1:23">
      <c r="A13" s="1441" t="s">
        <v>1038</v>
      </c>
      <c r="B13" s="1441" t="s">
        <v>1039</v>
      </c>
      <c r="C13" s="1442" t="s">
        <v>324</v>
      </c>
      <c r="I13" s="1445" t="s">
        <v>3347</v>
      </c>
    </row>
    <row r="14" spans="1:23">
      <c r="A14" s="1441" t="s">
        <v>1040</v>
      </c>
      <c r="B14" s="1441" t="s">
        <v>1041</v>
      </c>
      <c r="C14" s="1443" t="s">
        <v>13</v>
      </c>
      <c r="I14" s="1445" t="s">
        <v>3348</v>
      </c>
    </row>
    <row r="15" spans="1:23">
      <c r="A15" s="1441" t="s">
        <v>1042</v>
      </c>
      <c r="B15" s="1441" t="s">
        <v>1043</v>
      </c>
      <c r="C15" s="1442"/>
      <c r="I15" s="1445" t="s">
        <v>3349</v>
      </c>
    </row>
    <row r="16" spans="1:23">
      <c r="A16" s="1441" t="s">
        <v>1044</v>
      </c>
      <c r="B16" s="1441" t="s">
        <v>312</v>
      </c>
      <c r="C16" s="1442"/>
    </row>
    <row r="17" spans="1:3">
      <c r="A17" s="1441" t="s">
        <v>1045</v>
      </c>
      <c r="B17" s="1441" t="s">
        <v>2288</v>
      </c>
      <c r="C17" s="1442"/>
    </row>
    <row r="18" spans="1:3">
      <c r="A18" s="1441" t="s">
        <v>1046</v>
      </c>
      <c r="B18" s="1441" t="s">
        <v>2431</v>
      </c>
      <c r="C18" s="1442"/>
    </row>
    <row r="19" spans="1:3">
      <c r="A19" s="1441" t="s">
        <v>1047</v>
      </c>
      <c r="B19" s="1441" t="s">
        <v>3467</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为估价委托人在向中行商务区支行办理贷款手续过程中，确定房地产抵押贷款额度提供参考依据而评估房地产抵押价值。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朝阳区门外大街18号房地产作为抵押担保物，向中行商务区支行办理贷款手续。中行商务区支行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0"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0"/>
      <c r="B54" s="1447" t="s">
        <v>385</v>
      </c>
      <c r="C54" s="1445" t="s">
        <v>583</v>
      </c>
    </row>
    <row r="55" spans="1:4">
      <c r="A55" s="3210"/>
      <c r="B55" s="1447" t="s">
        <v>386</v>
      </c>
      <c r="C55" s="1445" t="s">
        <v>584</v>
      </c>
    </row>
    <row r="56" spans="1:4">
      <c r="A56" s="3210"/>
      <c r="B56" s="1447" t="s">
        <v>387</v>
      </c>
      <c r="C56" s="1445" t="s">
        <v>588</v>
      </c>
    </row>
    <row r="57" spans="1:4">
      <c r="A57" s="3210"/>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2498</v>
      </c>
      <c r="B1" s="2755"/>
      <c r="C1" s="2755"/>
      <c r="D1" s="2755"/>
      <c r="E1" s="2755"/>
      <c r="F1" s="2756"/>
      <c r="I1" s="3133" t="s">
        <v>2591</v>
      </c>
      <c r="J1" s="2781"/>
      <c r="K1" s="2781"/>
      <c r="L1" s="2781"/>
      <c r="M1" s="2781"/>
      <c r="N1" s="2966"/>
      <c r="O1" s="2966"/>
      <c r="P1" s="2966"/>
      <c r="Q1" s="2966"/>
      <c r="R1" s="2966"/>
    </row>
    <row r="2" spans="1:18">
      <c r="A2" s="2758"/>
      <c r="B2" s="2759"/>
      <c r="C2" s="2759"/>
      <c r="D2" s="2759"/>
      <c r="E2" s="2759"/>
      <c r="F2" s="2760"/>
      <c r="I2" s="3211" t="s">
        <v>2578</v>
      </c>
      <c r="J2" s="3211"/>
      <c r="K2" s="3211"/>
      <c r="L2" s="3211"/>
      <c r="M2" s="3211"/>
      <c r="N2" s="3211"/>
      <c r="O2" s="3211"/>
      <c r="P2" s="3211"/>
      <c r="Q2" s="3211"/>
      <c r="R2" s="3211"/>
    </row>
    <row r="3" spans="1:18">
      <c r="A3" s="2761" t="s">
        <v>2499</v>
      </c>
      <c r="B3" s="2762">
        <f>项目基本情况!D3</f>
        <v>45051</v>
      </c>
      <c r="C3" s="2764"/>
      <c r="D3" s="2764"/>
      <c r="E3" s="2764"/>
      <c r="F3" s="2760"/>
      <c r="I3" s="2776"/>
      <c r="J3" s="2776" t="s">
        <v>2582</v>
      </c>
      <c r="K3" s="2776" t="s">
        <v>2583</v>
      </c>
      <c r="L3" s="2776" t="s">
        <v>2584</v>
      </c>
      <c r="M3" s="2776" t="s">
        <v>2585</v>
      </c>
      <c r="N3" s="3134" t="s">
        <v>2586</v>
      </c>
      <c r="O3" s="3134" t="s">
        <v>2587</v>
      </c>
      <c r="P3" s="3134" t="s">
        <v>2588</v>
      </c>
      <c r="Q3" s="3134" t="s">
        <v>2589</v>
      </c>
      <c r="R3" s="3134" t="s">
        <v>2590</v>
      </c>
    </row>
    <row r="4" spans="1:18">
      <c r="A4" s="2761" t="s">
        <v>2500</v>
      </c>
      <c r="B4" s="2764" t="s">
        <v>2501</v>
      </c>
      <c r="C4" s="2764" t="s">
        <v>2502</v>
      </c>
      <c r="D4" s="2764" t="s">
        <v>2503</v>
      </c>
      <c r="E4" s="2764" t="s">
        <v>2504</v>
      </c>
      <c r="F4" s="2760"/>
      <c r="I4" s="2776" t="s">
        <v>2579</v>
      </c>
      <c r="J4" s="2776">
        <v>80</v>
      </c>
      <c r="K4" s="2776">
        <v>70</v>
      </c>
      <c r="L4" s="2776">
        <v>20</v>
      </c>
      <c r="M4" s="2776">
        <v>30</v>
      </c>
      <c r="N4" s="2764">
        <v>45</v>
      </c>
      <c r="O4" s="2764">
        <v>60</v>
      </c>
      <c r="P4" s="2764">
        <v>50</v>
      </c>
      <c r="Q4" s="2764">
        <v>20</v>
      </c>
      <c r="R4" s="2764">
        <v>375</v>
      </c>
    </row>
    <row r="5" spans="1:18">
      <c r="A5" s="2765">
        <v>40</v>
      </c>
      <c r="B5" s="2762">
        <v>46375</v>
      </c>
      <c r="C5" s="2764">
        <f>ROUNDDOWN(MIN((B5-B3)/365,A5),2)</f>
        <v>3.62</v>
      </c>
      <c r="D5" s="2766">
        <f>IF(ISERROR(ROUND(POWER(1+E5,A5-C5)*(POWER(1+E5,C5)-1)/(POWER(1+E5,A5)-1),3)),0,ROUND(POWER(1+E5,A5-C5)*(POWER(1+E5,C5)-1)/(POWER(1+E5,A5)-1),4))</f>
        <v>0.16719999999999999</v>
      </c>
      <c r="E5" s="2767">
        <v>0.04</v>
      </c>
      <c r="F5" s="2760"/>
      <c r="I5" s="2776" t="s">
        <v>2580</v>
      </c>
      <c r="J5" s="2776">
        <v>70</v>
      </c>
      <c r="K5" s="2776">
        <v>60</v>
      </c>
      <c r="L5" s="2776">
        <v>15</v>
      </c>
      <c r="M5" s="2776">
        <v>25</v>
      </c>
      <c r="N5" s="2764">
        <v>40</v>
      </c>
      <c r="O5" s="2764">
        <v>50</v>
      </c>
      <c r="P5" s="2764">
        <v>40</v>
      </c>
      <c r="Q5" s="2764">
        <v>15</v>
      </c>
      <c r="R5" s="2764">
        <v>315</v>
      </c>
    </row>
    <row r="6" spans="1:18">
      <c r="A6" s="2765">
        <v>50</v>
      </c>
      <c r="B6" s="2762">
        <v>50028</v>
      </c>
      <c r="C6" s="2764">
        <f>ROUNDDOWN(MIN((B6-B3)/365,A6),2)</f>
        <v>13.63</v>
      </c>
      <c r="D6" s="2766">
        <f>IF(ISERROR(ROUND(POWER(1+E6,A6-C6)*(POWER(1+E6,C6)-1)/(POWER(1+E6,A6)-1),3)),0,ROUND(POWER(1+E6,A6-C6)*(POWER(1+E6,C6)-1)/(POWER(1+E6,A6)-1),4))</f>
        <v>0.4819</v>
      </c>
      <c r="E6" s="2767">
        <v>0.04</v>
      </c>
      <c r="F6" s="2760"/>
      <c r="I6" s="2776" t="s">
        <v>2581</v>
      </c>
      <c r="J6" s="2776">
        <v>60</v>
      </c>
      <c r="K6" s="2776">
        <v>50</v>
      </c>
      <c r="L6" s="2776">
        <v>10</v>
      </c>
      <c r="M6" s="2776">
        <v>20</v>
      </c>
      <c r="N6" s="2764">
        <v>35</v>
      </c>
      <c r="O6" s="2764">
        <v>40</v>
      </c>
      <c r="P6" s="2764">
        <v>30</v>
      </c>
      <c r="Q6" s="2764">
        <v>10</v>
      </c>
      <c r="R6" s="2764">
        <v>255</v>
      </c>
    </row>
    <row r="7" spans="1:18">
      <c r="A7" s="2765">
        <v>70</v>
      </c>
      <c r="B7" s="2762">
        <v>57333</v>
      </c>
      <c r="C7" s="2764">
        <f>ROUNDDOWN(MIN((B7-B3)/365,A7),2)</f>
        <v>33.64</v>
      </c>
      <c r="D7" s="2766">
        <f>IF(ISERROR(ROUND(POWER(1+E7,A7-C7)*(POWER(1+E7,C7)-1)/(POWER(1+E7,A7)-1),3)),0,ROUND(POWER(1+E7,A7-C7)*(POWER(1+E7,C7)-1)/(POWER(1+E7,A7)-1),4))</f>
        <v>0.78300000000000003</v>
      </c>
      <c r="E7" s="2767">
        <v>0.04</v>
      </c>
      <c r="F7" s="2760"/>
    </row>
    <row r="8" spans="1:18">
      <c r="A8" s="2758"/>
      <c r="B8" s="2759"/>
      <c r="C8" s="2759"/>
      <c r="D8" s="2759"/>
      <c r="E8" s="2759"/>
      <c r="F8" s="2760"/>
    </row>
    <row r="9" spans="1:18">
      <c r="A9" s="2761" t="s">
        <v>2505</v>
      </c>
      <c r="B9" s="2764"/>
      <c r="C9" s="2764"/>
      <c r="D9" s="2764"/>
      <c r="E9" s="2764"/>
      <c r="F9" s="2768"/>
    </row>
    <row r="10" spans="1:18">
      <c r="A10" s="2761" t="s">
        <v>2506</v>
      </c>
      <c r="B10" s="2764"/>
      <c r="C10" s="2764"/>
      <c r="D10" s="2764" t="s">
        <v>2504</v>
      </c>
      <c r="E10" s="2764"/>
      <c r="F10" s="2768" t="s">
        <v>2503</v>
      </c>
    </row>
    <row r="11" spans="1:18">
      <c r="A11" s="2761" t="s">
        <v>2507</v>
      </c>
      <c r="B11" s="2769">
        <v>70</v>
      </c>
      <c r="C11" s="2764" t="s">
        <v>2508</v>
      </c>
      <c r="D11" s="2769">
        <v>4.4999999999999998E-2</v>
      </c>
      <c r="E11" s="2764" t="s">
        <v>2509</v>
      </c>
      <c r="F11" s="2770">
        <f>ROUND(1-(1/(POWER(1+D11,B11))),4)</f>
        <v>0.95409999999999995</v>
      </c>
    </row>
    <row r="12" spans="1:18">
      <c r="A12" s="2761" t="s">
        <v>2510</v>
      </c>
      <c r="B12" s="2769">
        <v>40</v>
      </c>
      <c r="C12" s="2764" t="s">
        <v>2511</v>
      </c>
      <c r="D12" s="2769">
        <v>4.4999999999999998E-2</v>
      </c>
      <c r="E12" s="2764" t="s">
        <v>2512</v>
      </c>
      <c r="F12" s="2770">
        <f>ROUND(1-(1/(POWER(1+D12,B12))),4)</f>
        <v>0.82809999999999995</v>
      </c>
    </row>
    <row r="13" spans="1:18">
      <c r="A13" s="2761" t="s">
        <v>2513</v>
      </c>
      <c r="B13" s="2764"/>
      <c r="C13" s="2764"/>
      <c r="D13" s="2759"/>
      <c r="E13" s="2759"/>
      <c r="F13" s="2760"/>
    </row>
    <row r="14" spans="1:18">
      <c r="A14" s="2761" t="s">
        <v>2514</v>
      </c>
      <c r="B14" s="2769">
        <v>5000</v>
      </c>
      <c r="C14" s="2763"/>
      <c r="D14" s="2759"/>
      <c r="E14" s="2759"/>
      <c r="F14" s="2760"/>
    </row>
    <row r="15" spans="1:18">
      <c r="A15" s="2761" t="s">
        <v>2515</v>
      </c>
      <c r="B15" s="2764">
        <f>ROUND(B14*F12/F11,2)</f>
        <v>4339.6899999999996</v>
      </c>
      <c r="C15" s="2764">
        <f>ROUND(F12/F11,4)</f>
        <v>0.8679</v>
      </c>
      <c r="D15" s="2759"/>
      <c r="E15" s="2759"/>
      <c r="F15" s="2760"/>
    </row>
    <row r="16" spans="1:18">
      <c r="A16" s="2761" t="s">
        <v>2516</v>
      </c>
      <c r="B16" s="2764"/>
      <c r="C16" s="2764"/>
      <c r="D16" s="2759"/>
      <c r="E16" s="2759"/>
      <c r="F16" s="2760"/>
    </row>
    <row r="17" spans="1:13">
      <c r="A17" s="2761" t="s">
        <v>2515</v>
      </c>
      <c r="B17" s="2769">
        <v>4810</v>
      </c>
      <c r="C17" s="2763"/>
      <c r="D17" s="2759"/>
      <c r="E17" s="2759"/>
      <c r="F17" s="2760"/>
    </row>
    <row r="18" spans="1:13" ht="14.25" thickBot="1">
      <c r="A18" s="2771" t="s">
        <v>2514</v>
      </c>
      <c r="B18" s="2772">
        <f>ROUND(B17*F11/F12,2)</f>
        <v>5541.87</v>
      </c>
      <c r="C18" s="2772">
        <f>ROUND(F11/F12,4)</f>
        <v>1.1521999999999999</v>
      </c>
      <c r="D18" s="2773"/>
      <c r="E18" s="2773"/>
      <c r="F18" s="2774"/>
    </row>
    <row r="19" spans="1:13" ht="14.25" thickBot="1"/>
    <row r="20" spans="1:13" s="2807" customFormat="1" ht="14.25" thickTop="1">
      <c r="A20" s="2804" t="s">
        <v>2517</v>
      </c>
      <c r="B20" s="2805"/>
      <c r="C20" s="2805"/>
      <c r="D20" s="2805"/>
      <c r="E20" s="2805"/>
      <c r="F20" s="2805"/>
      <c r="G20" s="2806"/>
      <c r="I20" s="2808" t="s">
        <v>2562</v>
      </c>
      <c r="J20" s="2808" t="s">
        <v>2567</v>
      </c>
      <c r="K20" s="2808"/>
      <c r="L20" s="2808"/>
      <c r="M20" s="2808"/>
    </row>
    <row r="21" spans="1:13">
      <c r="A21" s="2775"/>
      <c r="B21" s="2776" t="s">
        <v>2518</v>
      </c>
      <c r="C21" s="2776" t="s">
        <v>2519</v>
      </c>
      <c r="D21" s="2776" t="s">
        <v>2520</v>
      </c>
      <c r="E21" s="2776" t="s">
        <v>2521</v>
      </c>
      <c r="F21" s="2776" t="s">
        <v>2522</v>
      </c>
      <c r="G21" s="2777" t="s">
        <v>2523</v>
      </c>
      <c r="I21" s="2798">
        <v>5</v>
      </c>
      <c r="J21" s="2798">
        <v>54.2</v>
      </c>
    </row>
    <row r="22" spans="1:13">
      <c r="A22" s="2775" t="s">
        <v>2524</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3">
      <c r="A23" s="2775" t="s">
        <v>2525</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2565</v>
      </c>
      <c r="M23" s="2798" t="s">
        <v>2566</v>
      </c>
    </row>
    <row r="24" spans="1:13">
      <c r="A24" s="2775" t="s">
        <v>2526</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2564</v>
      </c>
      <c r="M24" s="2798">
        <v>10</v>
      </c>
    </row>
    <row r="25" spans="1:13">
      <c r="A25" s="2775" t="s">
        <v>2527</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2568</v>
      </c>
      <c r="M25" s="2798">
        <v>8</v>
      </c>
    </row>
    <row r="26" spans="1:13">
      <c r="A26" s="2780"/>
      <c r="B26" s="2781"/>
      <c r="C26" s="2781"/>
      <c r="D26" s="2781"/>
      <c r="E26" s="2781"/>
      <c r="F26" s="2781"/>
      <c r="G26" s="2782"/>
      <c r="I26" s="2798">
        <v>30</v>
      </c>
      <c r="J26" s="2798">
        <v>90.5</v>
      </c>
      <c r="K26" s="2798">
        <f t="shared" si="2"/>
        <v>4.2000000000000028</v>
      </c>
      <c r="L26" s="2798" t="s">
        <v>2569</v>
      </c>
      <c r="M26" s="2798">
        <v>5</v>
      </c>
    </row>
    <row r="27" spans="1:13">
      <c r="A27" s="2780" t="s">
        <v>2528</v>
      </c>
      <c r="B27" s="2781"/>
      <c r="C27" s="2781"/>
      <c r="D27" s="2781"/>
      <c r="E27" s="2781"/>
      <c r="F27" s="2781"/>
      <c r="G27" s="2782"/>
      <c r="I27" s="2798">
        <v>35</v>
      </c>
      <c r="J27" s="2798">
        <v>93.8</v>
      </c>
      <c r="K27" s="2798">
        <f t="shared" si="2"/>
        <v>3.2999999999999972</v>
      </c>
      <c r="L27" s="2798" t="s">
        <v>2570</v>
      </c>
      <c r="M27" s="2798">
        <v>3</v>
      </c>
    </row>
    <row r="28" spans="1:13">
      <c r="A28" s="2780" t="s">
        <v>2529</v>
      </c>
      <c r="B28" s="2781"/>
      <c r="C28" s="2781"/>
      <c r="D28" s="2781"/>
      <c r="E28" s="2781"/>
      <c r="F28" s="2781"/>
      <c r="G28" s="2782"/>
      <c r="I28" s="2798">
        <v>40</v>
      </c>
      <c r="J28" s="2798">
        <v>96.4</v>
      </c>
      <c r="K28" s="2798">
        <f t="shared" si="2"/>
        <v>2.6000000000000085</v>
      </c>
      <c r="L28" s="2798" t="s">
        <v>2571</v>
      </c>
      <c r="M28" s="2798">
        <v>2</v>
      </c>
    </row>
    <row r="29" spans="1:13">
      <c r="A29" s="2780" t="s">
        <v>2530</v>
      </c>
      <c r="B29" s="2781"/>
      <c r="C29" s="2781"/>
      <c r="D29" s="2781"/>
      <c r="E29" s="2781"/>
      <c r="F29" s="2781"/>
      <c r="G29" s="2782"/>
      <c r="I29" s="2798">
        <v>45</v>
      </c>
      <c r="J29" s="2798">
        <v>98.4</v>
      </c>
      <c r="K29" s="2798">
        <f t="shared" si="2"/>
        <v>2</v>
      </c>
    </row>
    <row r="30" spans="1:13">
      <c r="A30" s="2780" t="s">
        <v>2531</v>
      </c>
      <c r="B30" s="2781"/>
      <c r="C30" s="2781"/>
      <c r="D30" s="2781"/>
      <c r="E30" s="2781"/>
      <c r="F30" s="2781"/>
      <c r="G30" s="2782"/>
      <c r="I30" s="2798">
        <v>50</v>
      </c>
      <c r="J30" s="2798">
        <v>100</v>
      </c>
      <c r="K30" s="2798">
        <f t="shared" si="2"/>
        <v>1.5999999999999943</v>
      </c>
    </row>
    <row r="31" spans="1:13">
      <c r="A31" s="2780" t="s">
        <v>2532</v>
      </c>
      <c r="B31" s="2781"/>
      <c r="C31" s="2781"/>
      <c r="D31" s="2781"/>
      <c r="E31" s="2781"/>
      <c r="F31" s="2781"/>
      <c r="G31" s="2782"/>
      <c r="I31" s="2798" t="s">
        <v>2563</v>
      </c>
    </row>
    <row r="32" spans="1:13">
      <c r="A32" s="2780" t="s">
        <v>2533</v>
      </c>
      <c r="B32" s="2781"/>
      <c r="C32" s="2781"/>
      <c r="D32" s="2781"/>
      <c r="E32" s="2781"/>
      <c r="F32" s="2781"/>
      <c r="G32" s="2782"/>
    </row>
    <row r="33" spans="1:13">
      <c r="A33" s="2780" t="s">
        <v>2534</v>
      </c>
      <c r="B33" s="2781"/>
      <c r="C33" s="2781"/>
      <c r="D33" s="2781"/>
      <c r="E33" s="2781"/>
      <c r="F33" s="2781"/>
      <c r="G33" s="2782"/>
      <c r="I33" s="2798" t="s">
        <v>2562</v>
      </c>
      <c r="J33" s="2798" t="s">
        <v>2572</v>
      </c>
    </row>
    <row r="34" spans="1:13">
      <c r="A34" s="2780" t="s">
        <v>2535</v>
      </c>
      <c r="B34" s="2781"/>
      <c r="C34" s="2781"/>
      <c r="D34" s="2781"/>
      <c r="E34" s="2781"/>
      <c r="F34" s="2781"/>
      <c r="G34" s="2782"/>
      <c r="I34" s="2798">
        <v>5</v>
      </c>
      <c r="J34" s="2798">
        <v>55.1</v>
      </c>
    </row>
    <row r="35" spans="1:13">
      <c r="A35" s="2780" t="s">
        <v>2536</v>
      </c>
      <c r="B35" s="2781"/>
      <c r="C35" s="2781"/>
      <c r="D35" s="2781"/>
      <c r="E35" s="2781"/>
      <c r="F35" s="2781"/>
      <c r="G35" s="2782"/>
      <c r="I35" s="2798">
        <v>10</v>
      </c>
      <c r="J35" s="2798">
        <v>67</v>
      </c>
      <c r="K35" s="2798">
        <f>J35-J34</f>
        <v>11.899999999999999</v>
      </c>
    </row>
    <row r="36" spans="1:13">
      <c r="A36" s="2780" t="s">
        <v>2537</v>
      </c>
      <c r="B36" s="2781"/>
      <c r="C36" s="2781"/>
      <c r="D36" s="2781"/>
      <c r="E36" s="2781"/>
      <c r="F36" s="2781"/>
      <c r="G36" s="2782"/>
      <c r="I36" s="2798">
        <v>15</v>
      </c>
      <c r="J36" s="2798">
        <v>76.3</v>
      </c>
      <c r="K36" s="2798">
        <f t="shared" ref="K36:K41" si="3">J36-J35</f>
        <v>9.2999999999999972</v>
      </c>
      <c r="L36" s="2798" t="s">
        <v>2565</v>
      </c>
      <c r="M36" s="2798" t="s">
        <v>2566</v>
      </c>
    </row>
    <row r="37" spans="1:13">
      <c r="A37" s="2780" t="s">
        <v>2538</v>
      </c>
      <c r="B37" s="2781"/>
      <c r="C37" s="2781"/>
      <c r="D37" s="2781"/>
      <c r="E37" s="2781"/>
      <c r="F37" s="2781"/>
      <c r="G37" s="2782"/>
      <c r="I37" s="2798">
        <v>20</v>
      </c>
      <c r="J37" s="2798">
        <v>83.6</v>
      </c>
      <c r="K37" s="2798">
        <f t="shared" si="3"/>
        <v>7.2999999999999972</v>
      </c>
      <c r="L37" s="2798" t="s">
        <v>2564</v>
      </c>
      <c r="M37" s="2798">
        <v>10</v>
      </c>
    </row>
    <row r="38" spans="1:13">
      <c r="A38" s="2780" t="s">
        <v>2539</v>
      </c>
      <c r="B38" s="2781"/>
      <c r="C38" s="2781"/>
      <c r="D38" s="2781"/>
      <c r="E38" s="2781"/>
      <c r="F38" s="2781"/>
      <c r="G38" s="2782"/>
      <c r="I38" s="2798">
        <v>25</v>
      </c>
      <c r="J38" s="2798">
        <v>89.3</v>
      </c>
      <c r="K38" s="2798">
        <f t="shared" si="3"/>
        <v>5.7000000000000028</v>
      </c>
      <c r="L38" s="2798" t="s">
        <v>2568</v>
      </c>
      <c r="M38" s="2798">
        <v>8</v>
      </c>
    </row>
    <row r="39" spans="1:13">
      <c r="A39" s="2780"/>
      <c r="B39" s="2781"/>
      <c r="C39" s="2781"/>
      <c r="D39" s="2781"/>
      <c r="E39" s="2781"/>
      <c r="F39" s="2781"/>
      <c r="G39" s="2782"/>
      <c r="I39" s="2798">
        <v>30</v>
      </c>
      <c r="J39" s="2798">
        <v>93.8</v>
      </c>
      <c r="K39" s="2798">
        <f t="shared" si="3"/>
        <v>4.5</v>
      </c>
      <c r="L39" s="2798" t="s">
        <v>2569</v>
      </c>
      <c r="M39" s="2798">
        <v>6</v>
      </c>
    </row>
    <row r="40" spans="1:13">
      <c r="A40" s="2783" t="s">
        <v>2540</v>
      </c>
      <c r="B40" s="2784"/>
      <c r="C40" s="2784"/>
      <c r="D40" s="2784"/>
      <c r="E40" s="2784"/>
      <c r="F40" s="2784"/>
      <c r="G40" s="2785"/>
      <c r="I40" s="2798">
        <v>35</v>
      </c>
      <c r="J40" s="2798">
        <v>97.2</v>
      </c>
      <c r="K40" s="2798">
        <f t="shared" si="3"/>
        <v>3.4000000000000057</v>
      </c>
      <c r="L40" s="2798" t="s">
        <v>2570</v>
      </c>
      <c r="M40" s="2798">
        <v>3</v>
      </c>
    </row>
    <row r="41" spans="1:13">
      <c r="A41" s="2786" t="s">
        <v>2541</v>
      </c>
      <c r="B41" s="2787" t="s">
        <v>2542</v>
      </c>
      <c r="C41" s="2788" t="s">
        <v>2543</v>
      </c>
      <c r="D41" s="2788" t="s">
        <v>2544</v>
      </c>
      <c r="E41" s="2789"/>
      <c r="F41" s="2790"/>
      <c r="G41" s="2791"/>
      <c r="I41" s="2798">
        <v>40</v>
      </c>
      <c r="J41" s="2798">
        <v>100</v>
      </c>
      <c r="K41" s="2798">
        <f t="shared" si="3"/>
        <v>2.7999999999999972</v>
      </c>
    </row>
    <row r="42" spans="1:13">
      <c r="A42" s="2786" t="s">
        <v>2545</v>
      </c>
      <c r="B42" s="2787" t="s">
        <v>2546</v>
      </c>
      <c r="C42" s="2788" t="s">
        <v>2547</v>
      </c>
      <c r="D42" s="2792" t="s">
        <v>2548</v>
      </c>
      <c r="E42" s="2784" t="s">
        <v>2549</v>
      </c>
      <c r="F42" s="2784"/>
      <c r="G42" s="2785"/>
    </row>
    <row r="43" spans="1:13">
      <c r="A43" s="2786" t="s">
        <v>2550</v>
      </c>
      <c r="B43" s="2787" t="s">
        <v>2551</v>
      </c>
      <c r="C43" s="2788" t="s">
        <v>2552</v>
      </c>
      <c r="D43" s="2788" t="s">
        <v>2553</v>
      </c>
      <c r="E43" s="2789" t="s">
        <v>2554</v>
      </c>
      <c r="F43" s="2790"/>
      <c r="G43" s="2791"/>
      <c r="I43" s="2798" t="s">
        <v>2562</v>
      </c>
      <c r="J43" s="2798" t="s">
        <v>2573</v>
      </c>
    </row>
    <row r="44" spans="1:13">
      <c r="A44" s="2786" t="s">
        <v>2555</v>
      </c>
      <c r="B44" s="2787" t="s">
        <v>2556</v>
      </c>
      <c r="C44" s="2788" t="s">
        <v>2557</v>
      </c>
      <c r="D44" s="2792">
        <v>0.5</v>
      </c>
      <c r="E44" s="2789" t="s">
        <v>2558</v>
      </c>
      <c r="F44" s="2790"/>
      <c r="G44" s="2791"/>
      <c r="I44" s="2798">
        <v>30</v>
      </c>
      <c r="J44" s="2798">
        <v>81.7</v>
      </c>
    </row>
    <row r="45" spans="1:13" ht="14.25" thickBot="1">
      <c r="A45" s="2793" t="s">
        <v>2559</v>
      </c>
      <c r="B45" s="2794" t="s">
        <v>2546</v>
      </c>
      <c r="C45" s="2795" t="s">
        <v>2546</v>
      </c>
      <c r="D45" s="2795" t="s">
        <v>2560</v>
      </c>
      <c r="E45" s="2796" t="s">
        <v>2561</v>
      </c>
      <c r="F45" s="2796"/>
      <c r="G45" s="2797"/>
      <c r="I45" s="2798">
        <v>40</v>
      </c>
      <c r="J45" s="2798">
        <v>89.2</v>
      </c>
      <c r="K45" s="2798">
        <f>J45-J44</f>
        <v>7.5</v>
      </c>
    </row>
    <row r="46" spans="1:13">
      <c r="I46" s="2798">
        <v>50</v>
      </c>
      <c r="J46" s="2798">
        <v>94.3</v>
      </c>
      <c r="K46" s="2798">
        <f t="shared" ref="K46:K47" si="4">J46-J45</f>
        <v>5.0999999999999943</v>
      </c>
    </row>
    <row r="47" spans="1:13">
      <c r="I47" s="2798">
        <v>60</v>
      </c>
      <c r="J47" s="2798">
        <v>97.7</v>
      </c>
      <c r="K47" s="279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Normal="100" zoomScaleSheetLayoutView="100" workbookViewId="0">
      <selection activeCell="E4" sqref="E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2167</v>
      </c>
      <c r="B1" s="3212" t="str">
        <f>IF(B10="北京市","北京市",C10)&amp;F10&amp;IF(结果表!G1="在建","出让国有建设用地使用权及在建建筑物",IF(结果表!G1="土地","出让国有建设用地使用权",))&amp;B9&amp;"预评估"</f>
        <v>北京市朝阳区朝阳区门外大街18号房地产抵押价值预评估</v>
      </c>
      <c r="C1" s="3213"/>
      <c r="D1" s="3213"/>
      <c r="E1" s="3213"/>
      <c r="F1" s="3213"/>
      <c r="G1" s="3213"/>
      <c r="H1" s="3213"/>
      <c r="I1" s="3214"/>
      <c r="J1" s="2243"/>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北京市朝阳区朝阳区门外大街18号房地产抵押价值</v>
      </c>
      <c r="T1" s="1618"/>
      <c r="U1" s="1618"/>
      <c r="V1" s="1618"/>
      <c r="W1" s="1618"/>
      <c r="X1" s="1618"/>
      <c r="Y1" s="1618"/>
      <c r="Z1" s="1618"/>
      <c r="AA1" s="1618"/>
      <c r="AB1" s="1618"/>
    </row>
    <row r="2" spans="1:30">
      <c r="A2" s="2182" t="s">
        <v>2168</v>
      </c>
      <c r="B2" s="122"/>
      <c r="D2" s="2446"/>
      <c r="E2" s="2439"/>
      <c r="F2" s="2439"/>
      <c r="G2" s="2440"/>
      <c r="H2" s="2440"/>
      <c r="I2" s="2440"/>
      <c r="J2" s="2243"/>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北京市朝阳区朝阳区门外大街18号房地产</v>
      </c>
      <c r="T2" s="1618"/>
      <c r="U2" s="1618"/>
      <c r="V2" s="1618"/>
      <c r="W2" s="1618"/>
      <c r="X2" s="1618"/>
      <c r="Y2" s="1618"/>
      <c r="Z2" s="1618"/>
      <c r="AA2" s="1618"/>
      <c r="AB2" s="1618"/>
    </row>
    <row r="3" spans="1:30">
      <c r="A3" s="294" t="s">
        <v>2169</v>
      </c>
      <c r="B3" s="2185">
        <v>45051</v>
      </c>
      <c r="C3" s="2186" t="s">
        <v>2170</v>
      </c>
      <c r="D3" s="2185">
        <v>45051</v>
      </c>
      <c r="E3" s="2440"/>
      <c r="F3" s="2440"/>
      <c r="G3" s="2440"/>
      <c r="H3" s="2440"/>
      <c r="I3" s="2440"/>
      <c r="J3" s="2243"/>
      <c r="K3" s="2183"/>
      <c r="L3" s="2184"/>
      <c r="M3" s="2184"/>
      <c r="N3" s="2182"/>
      <c r="O3" s="1466"/>
      <c r="P3" s="2182"/>
      <c r="Q3" s="2182"/>
      <c r="R3" s="2182"/>
      <c r="S3" s="1561"/>
      <c r="T3" s="1618"/>
      <c r="U3" s="1618"/>
      <c r="V3" s="1618"/>
      <c r="W3" s="1618"/>
      <c r="X3" s="1618"/>
      <c r="Y3" s="1618"/>
      <c r="Z3" s="1618"/>
      <c r="AA3" s="1618"/>
      <c r="AB3" s="1618"/>
    </row>
    <row r="4" spans="1:30" ht="13.5" thickBot="1">
      <c r="A4" s="1027" t="s">
        <v>2171</v>
      </c>
      <c r="B4" s="2187" t="s">
        <v>3372</v>
      </c>
      <c r="C4" s="2188">
        <f ca="1">SUMIF(注册房地产估价师,B4,估价师及机构信息!B3:B24)</f>
        <v>1120070131</v>
      </c>
      <c r="D4" s="2187" t="s">
        <v>3373</v>
      </c>
      <c r="E4" s="2188">
        <f ca="1">SUMIF(注册房地产估价师,D4,估价师及机构信息!B3:B24)</f>
        <v>1120100036</v>
      </c>
      <c r="F4" s="2187"/>
      <c r="G4" s="2188">
        <f>SUMIF(注册房地产估价师,F4,估价师及机构信息!B3:B24)</f>
        <v>0</v>
      </c>
      <c r="H4" s="2187"/>
      <c r="I4" s="2188">
        <f>SUMIF(注册房地产估价师,H4,估价师及机构信息!B3:B24)</f>
        <v>0</v>
      </c>
      <c r="J4" s="2243"/>
      <c r="K4" s="2189" t="str">
        <f ca="1">CONCATENATE(B4,"（注册号：",C4,")、",D4,"（注册号：",E4,")")</f>
        <v>郑燚（注册号：1120070131)、崔锴（注册号：1120100036)</v>
      </c>
      <c r="L4" s="2184"/>
      <c r="M4" s="2184"/>
      <c r="N4" s="2182"/>
      <c r="O4" s="1466"/>
      <c r="P4" s="2182"/>
      <c r="Q4" s="2182"/>
      <c r="R4" s="2182"/>
      <c r="S4" s="1561"/>
      <c r="T4" s="1618"/>
      <c r="U4" s="1618"/>
      <c r="V4" s="1618"/>
      <c r="W4" s="1618"/>
      <c r="X4" s="1618"/>
      <c r="Y4" s="1618"/>
      <c r="Z4" s="1618"/>
      <c r="AA4" s="1618"/>
      <c r="AB4" s="1618"/>
    </row>
    <row r="5" spans="1:30" ht="17.25" customHeight="1" thickTop="1">
      <c r="A5" s="2190" t="s">
        <v>2172</v>
      </c>
      <c r="B5" s="3143" t="s">
        <v>3374</v>
      </c>
      <c r="C5" s="2191"/>
      <c r="D5" s="2192"/>
      <c r="E5" s="2440"/>
      <c r="F5" s="2440"/>
      <c r="G5" s="2440"/>
      <c r="H5" s="2440"/>
      <c r="I5" s="2440"/>
      <c r="J5" s="2243"/>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3" t="s">
        <v>2173</v>
      </c>
      <c r="B6" s="2194" t="str">
        <f>B5</f>
        <v>中行商务区支行</v>
      </c>
      <c r="C6" s="2195"/>
      <c r="D6" s="2196"/>
      <c r="E6" s="2439"/>
      <c r="F6" s="2440"/>
      <c r="G6" s="2440"/>
      <c r="H6" s="2440"/>
      <c r="I6" s="2440"/>
      <c r="J6" s="2243"/>
      <c r="K6" s="2399" t="str">
        <f>IF(COUNTIF(B6,"*上海银行*"),"上海银行","")</f>
        <v/>
      </c>
      <c r="L6" s="2397"/>
      <c r="M6" s="2397"/>
      <c r="N6" s="2243"/>
      <c r="O6" s="1670"/>
      <c r="P6" s="2243"/>
      <c r="Q6" s="2243"/>
      <c r="R6" s="2243"/>
    </row>
    <row r="7" spans="1:30">
      <c r="A7" s="2193" t="s">
        <v>2174</v>
      </c>
      <c r="B7" s="2197"/>
      <c r="C7" s="2195"/>
      <c r="D7" s="2196"/>
      <c r="E7" s="2439"/>
      <c r="F7" s="2440"/>
      <c r="G7" s="2440"/>
      <c r="H7" s="2440"/>
      <c r="I7" s="2440"/>
      <c r="J7" s="2243"/>
      <c r="K7" s="2400"/>
      <c r="L7" s="2397"/>
      <c r="M7" s="2397"/>
      <c r="N7" s="2243"/>
      <c r="O7" s="1670"/>
      <c r="P7" s="2243"/>
      <c r="Q7" s="2243"/>
      <c r="R7" s="2243"/>
    </row>
    <row r="8" spans="1:30">
      <c r="A8" s="2198" t="s">
        <v>2175</v>
      </c>
      <c r="B8" s="2199" t="s">
        <v>3375</v>
      </c>
      <c r="C8" s="2200"/>
      <c r="D8" s="3215" t="s">
        <v>2176</v>
      </c>
      <c r="E8" s="2201"/>
      <c r="F8" s="2202"/>
      <c r="G8" s="2440"/>
      <c r="H8" s="2440"/>
      <c r="I8" s="2440"/>
      <c r="J8" s="2243"/>
      <c r="K8" s="2398"/>
      <c r="L8" s="2397"/>
      <c r="M8" s="2397"/>
      <c r="N8" s="2243"/>
      <c r="O8" s="1670"/>
      <c r="P8" s="2243"/>
      <c r="Q8" s="2243"/>
      <c r="R8" s="2243"/>
    </row>
    <row r="9" spans="1:30" ht="13.5" thickBot="1">
      <c r="A9" s="2203" t="s">
        <v>2177</v>
      </c>
      <c r="B9" s="2204" t="s">
        <v>3376</v>
      </c>
      <c r="C9" s="2205"/>
      <c r="D9" s="3216"/>
      <c r="E9" s="2204"/>
      <c r="F9" s="2206"/>
      <c r="G9" s="2441"/>
      <c r="H9" s="2441"/>
      <c r="I9" s="2441"/>
      <c r="J9" s="2243"/>
      <c r="K9" s="2400"/>
      <c r="L9" s="2397"/>
      <c r="M9" s="2397"/>
      <c r="N9" s="2243"/>
      <c r="O9" s="1670"/>
      <c r="P9" s="2243"/>
      <c r="Q9" s="2243"/>
      <c r="R9" s="2243"/>
    </row>
    <row r="10" spans="1:30" ht="13.5" thickTop="1">
      <c r="A10" s="2207" t="s">
        <v>2178</v>
      </c>
      <c r="B10" s="2208" t="s">
        <v>3377</v>
      </c>
      <c r="C10" s="2209"/>
      <c r="D10" s="2192"/>
      <c r="E10" s="2210" t="s">
        <v>2179</v>
      </c>
      <c r="F10" s="2442" t="s">
        <v>3379</v>
      </c>
      <c r="G10" s="2443"/>
      <c r="H10" s="2444"/>
      <c r="I10" s="2445"/>
      <c r="J10" s="2243"/>
      <c r="K10" s="2400"/>
      <c r="L10" s="2397"/>
      <c r="M10" s="2397"/>
      <c r="N10" s="2243"/>
      <c r="O10" s="1670"/>
      <c r="P10" s="2243"/>
      <c r="Q10" s="2243"/>
      <c r="R10" s="2243"/>
    </row>
    <row r="11" spans="1:30" ht="19.5" customHeight="1">
      <c r="A11" s="2211" t="s">
        <v>2180</v>
      </c>
      <c r="B11" s="2212" t="s">
        <v>3378</v>
      </c>
      <c r="C11" s="3144" t="s">
        <v>3380</v>
      </c>
      <c r="D11" s="2213"/>
      <c r="E11" s="2182"/>
      <c r="F11" s="2182"/>
      <c r="G11" s="2182"/>
      <c r="H11" s="2182"/>
      <c r="I11" s="2182"/>
      <c r="J11" s="2800"/>
      <c r="K11" s="2397"/>
      <c r="L11" s="2397"/>
      <c r="M11" s="2397"/>
      <c r="N11" s="2243"/>
      <c r="O11" s="1670"/>
      <c r="P11" s="2243"/>
      <c r="Q11" s="2243"/>
      <c r="R11" s="2243"/>
    </row>
    <row r="12" spans="1:30">
      <c r="A12" s="2214" t="s">
        <v>2181</v>
      </c>
      <c r="B12" s="315" t="s">
        <v>2182</v>
      </c>
      <c r="C12" s="2215" t="s">
        <v>2183</v>
      </c>
      <c r="D12" s="2215" t="s">
        <v>2184</v>
      </c>
      <c r="E12" s="2215" t="s">
        <v>2185</v>
      </c>
      <c r="F12" s="2215" t="s">
        <v>2186</v>
      </c>
      <c r="G12" s="2215" t="s">
        <v>2187</v>
      </c>
      <c r="H12" s="2215" t="s">
        <v>2188</v>
      </c>
      <c r="I12" s="2799" t="s">
        <v>2574</v>
      </c>
      <c r="J12" s="2801"/>
      <c r="K12" s="2397"/>
      <c r="L12" s="2397"/>
      <c r="M12" s="2243"/>
      <c r="N12" s="1670"/>
      <c r="O12" s="2243"/>
      <c r="P12" s="2243"/>
      <c r="Q12" s="2243"/>
      <c r="AD12" s="1618"/>
    </row>
    <row r="13" spans="1:30">
      <c r="A13" s="3120" t="s">
        <v>3332</v>
      </c>
      <c r="B13" s="2216" t="s">
        <v>2189</v>
      </c>
      <c r="C13" s="803"/>
      <c r="D13" s="803">
        <v>48977</v>
      </c>
      <c r="E13" s="803">
        <v>52629</v>
      </c>
      <c r="F13" s="803"/>
      <c r="G13" s="803"/>
      <c r="H13" s="803"/>
      <c r="I13" s="803">
        <v>48091</v>
      </c>
      <c r="J13" s="2801"/>
      <c r="K13" s="2397"/>
      <c r="L13" s="2397"/>
      <c r="M13" s="2243"/>
      <c r="N13" s="1670"/>
      <c r="O13" s="2243"/>
      <c r="P13" s="2243"/>
      <c r="Q13" s="2243"/>
      <c r="AD13" s="1618"/>
    </row>
    <row r="14" spans="1:30">
      <c r="A14" s="1018"/>
      <c r="B14" s="2216" t="s">
        <v>2190</v>
      </c>
      <c r="C14" s="2217"/>
      <c r="D14" s="2217">
        <v>40</v>
      </c>
      <c r="E14" s="2217">
        <v>50</v>
      </c>
      <c r="F14" s="2217"/>
      <c r="G14" s="2217"/>
      <c r="H14" s="2217"/>
      <c r="I14" s="2217"/>
      <c r="J14" s="2802"/>
      <c r="K14" s="2397"/>
      <c r="L14" s="2397"/>
      <c r="M14" s="2243"/>
      <c r="N14" s="1670"/>
      <c r="O14" s="2243"/>
      <c r="P14" s="2243"/>
      <c r="Q14" s="2243"/>
      <c r="AD14" s="1618"/>
    </row>
    <row r="15" spans="1:30">
      <c r="A15" s="312"/>
      <c r="B15" s="2218" t="s">
        <v>2191</v>
      </c>
      <c r="C15" s="2219" t="str">
        <f>IF(A13="出让",IF(C13="","",ROUNDDOWN(MIN((C13-$D$3)/365,C14),2)),C14)</f>
        <v/>
      </c>
      <c r="D15" s="2219">
        <f>IF(A13="出让",IF(D13="","",ROUNDDOWN(MIN((D13-$D$3)/365,D14),2)),D14)</f>
        <v>10.75</v>
      </c>
      <c r="E15" s="2219">
        <f>IF(A13="出让",IF(E13="","",ROUNDDOWN(MIN((E13-$D$3)/365,E14),2)),E14)</f>
        <v>20.76</v>
      </c>
      <c r="F15" s="2219" t="str">
        <f>IF(A13="出让",IF(F13="","",ROUNDDOWN(MIN((F13-$D$3)/365,F14),2)),F14)</f>
        <v/>
      </c>
      <c r="G15" s="2219" t="str">
        <f>IF(A13="出让",IF(G13="","",ROUNDDOWN(MIN((G13-$D$3)/365,G14),2)),G14)</f>
        <v/>
      </c>
      <c r="H15" s="2219" t="str">
        <f>IF(A13="出让",IF(H13="","",ROUNDDOWN(MIN((H13-$D$3)/365,H14),2)),H14)</f>
        <v/>
      </c>
      <c r="I15" s="2219">
        <f>IF(A13="出让",IF(I13="","",ROUNDDOWN(MIN((I13-$D$3)/365,I14),2)),I14)</f>
        <v>8.32</v>
      </c>
      <c r="J15" s="2803"/>
      <c r="K15" s="1670"/>
      <c r="L15" s="1670"/>
      <c r="M15" s="2243"/>
      <c r="N15" s="1670"/>
      <c r="O15" s="2243"/>
      <c r="P15" s="2243"/>
      <c r="Q15" s="2243"/>
      <c r="AD15" s="1618"/>
    </row>
    <row r="16" spans="1:30">
      <c r="A16" s="2210" t="s">
        <v>2192</v>
      </c>
      <c r="B16" s="3222"/>
      <c r="C16" s="3223"/>
      <c r="D16" s="3224"/>
      <c r="E16" s="2220" t="s">
        <v>2193</v>
      </c>
      <c r="F16" s="3225"/>
      <c r="G16" s="3226"/>
      <c r="H16" s="3226"/>
      <c r="I16" s="3227"/>
      <c r="J16" s="2243"/>
      <c r="K16" s="2401"/>
      <c r="L16" s="1670"/>
      <c r="M16" s="1670"/>
      <c r="N16" s="2243"/>
      <c r="O16" s="1670"/>
      <c r="P16" s="2243"/>
      <c r="Q16" s="2243"/>
      <c r="R16" s="2243"/>
    </row>
    <row r="17" spans="1:28">
      <c r="A17" s="305" t="s">
        <v>2194</v>
      </c>
      <c r="B17" s="294" t="s">
        <v>2195</v>
      </c>
      <c r="C17" s="8">
        <f>'数据-汇总表'!E3</f>
        <v>6547.83</v>
      </c>
      <c r="D17" s="1256" t="s">
        <v>2196</v>
      </c>
      <c r="E17" s="3228" t="s">
        <v>2197</v>
      </c>
      <c r="F17" s="3229"/>
      <c r="G17" s="3229"/>
      <c r="H17" s="3229"/>
      <c r="I17" s="3230"/>
      <c r="J17" s="2243"/>
      <c r="K17" s="2402"/>
      <c r="L17" s="1670"/>
      <c r="M17" s="1670"/>
      <c r="N17" s="2243"/>
      <c r="O17" s="1670"/>
      <c r="P17" s="2243"/>
      <c r="Q17" s="2243"/>
      <c r="R17" s="2243"/>
      <c r="S17" s="2243"/>
      <c r="T17" s="2243"/>
      <c r="U17" s="2243"/>
      <c r="V17" s="2243"/>
    </row>
    <row r="18" spans="1:28" ht="24.75" thickBot="1">
      <c r="A18" s="2221" t="s">
        <v>2198</v>
      </c>
      <c r="B18" s="1027" t="s">
        <v>2199</v>
      </c>
      <c r="C18" s="2222">
        <f>'数据-汇总表'!D3</f>
        <v>750.35</v>
      </c>
      <c r="D18" s="1029" t="s">
        <v>2200</v>
      </c>
      <c r="E18" s="3231" t="s">
        <v>2201</v>
      </c>
      <c r="F18" s="3232"/>
      <c r="G18" s="3232"/>
      <c r="H18" s="3232"/>
      <c r="I18" s="3233"/>
      <c r="J18" s="2243"/>
      <c r="K18" s="2402"/>
      <c r="L18" s="1670"/>
      <c r="M18" s="1670"/>
      <c r="N18" s="2243"/>
      <c r="O18" s="1670"/>
      <c r="P18" s="2243"/>
      <c r="Q18" s="2243"/>
      <c r="R18" s="2243"/>
      <c r="S18" s="2243"/>
      <c r="T18" s="2243"/>
      <c r="U18" s="2243"/>
      <c r="V18" s="2243"/>
    </row>
    <row r="19" spans="1:28" ht="37.5" thickTop="1" thickBot="1">
      <c r="A19" s="319" t="s">
        <v>1055</v>
      </c>
      <c r="B19" s="299" t="s">
        <v>2202</v>
      </c>
      <c r="C19" s="1455" t="s">
        <v>3381</v>
      </c>
      <c r="D19" s="1456" t="s">
        <v>2203</v>
      </c>
      <c r="E19" s="1457" t="s">
        <v>43</v>
      </c>
      <c r="F19" s="1458" t="str">
        <f>IF(AND(C19="是",E19="否"),"是否提供他项权证或相关说明","")</f>
        <v/>
      </c>
      <c r="G19" s="1459" t="s">
        <v>43</v>
      </c>
      <c r="H19" s="2440"/>
      <c r="I19" s="2440"/>
      <c r="J19" s="2243"/>
      <c r="K19" s="2400"/>
      <c r="L19" s="2397"/>
      <c r="M19" s="2397"/>
      <c r="N19" s="2243"/>
      <c r="O19" s="1670"/>
      <c r="P19" s="2243"/>
      <c r="Q19" s="2243"/>
      <c r="R19" s="2243"/>
      <c r="S19" s="2243"/>
      <c r="T19" s="2243"/>
      <c r="U19" s="2243"/>
      <c r="V19" s="2243"/>
    </row>
    <row r="20" spans="1:28">
      <c r="A20" s="2415" t="s">
        <v>2204</v>
      </c>
      <c r="B20" s="3218" t="s">
        <v>2205</v>
      </c>
      <c r="C20" s="3219"/>
      <c r="D20" s="3220" t="s">
        <v>2206</v>
      </c>
      <c r="E20" s="3221"/>
      <c r="F20" s="2428" t="s">
        <v>1056</v>
      </c>
      <c r="G20" s="2440"/>
      <c r="H20" s="2440"/>
      <c r="I20" s="2440"/>
      <c r="J20" s="2243"/>
      <c r="K20" s="3217" t="s">
        <v>2207</v>
      </c>
      <c r="L20" s="646"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5"/>
      <c r="B21" s="2416" t="s">
        <v>2208</v>
      </c>
      <c r="C21" s="2294" t="s">
        <v>1057</v>
      </c>
      <c r="D21" s="1460" t="s">
        <v>2209</v>
      </c>
      <c r="E21" s="2417" t="s">
        <v>43</v>
      </c>
      <c r="F21" s="2429"/>
      <c r="G21" s="2440"/>
      <c r="H21" s="2440"/>
      <c r="I21" s="2440"/>
      <c r="J21" s="2243"/>
      <c r="K21" s="3217"/>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4"/>
      <c r="N21" s="2182"/>
      <c r="O21" s="1466"/>
      <c r="P21" s="2182"/>
      <c r="Q21" s="2182"/>
      <c r="R21" s="2182"/>
      <c r="S21" s="2182"/>
      <c r="T21" s="2182"/>
      <c r="U21" s="2182"/>
      <c r="V21" s="2182"/>
      <c r="W21" s="1618"/>
      <c r="X21" s="1618"/>
      <c r="Y21" s="1618"/>
      <c r="Z21" s="1618"/>
      <c r="AA21" s="1618"/>
      <c r="AB21" s="1618"/>
    </row>
    <row r="22" spans="1:28" ht="24.75" thickBot="1">
      <c r="A22" s="2415"/>
      <c r="B22" s="2418" t="s">
        <v>2210</v>
      </c>
      <c r="C22" s="2294" t="s">
        <v>3383</v>
      </c>
      <c r="D22" s="2440"/>
      <c r="E22" s="2440"/>
      <c r="F22" s="2440"/>
      <c r="G22" s="2440"/>
      <c r="H22" s="2440"/>
      <c r="I22" s="2440"/>
      <c r="J22" s="2243"/>
      <c r="K22" s="3217"/>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19" t="s">
        <v>2211</v>
      </c>
      <c r="B23" s="2291" t="s">
        <v>2212</v>
      </c>
      <c r="C23" s="2420"/>
      <c r="D23" s="2421" t="s">
        <v>2212</v>
      </c>
      <c r="E23" s="2422"/>
      <c r="F23" s="2440"/>
      <c r="G23" s="2440"/>
      <c r="H23" s="2440"/>
      <c r="I23" s="2440"/>
      <c r="J23" s="2243"/>
      <c r="K23" s="2399"/>
      <c r="L23" s="121"/>
      <c r="M23" s="2397"/>
      <c r="N23" s="2243"/>
      <c r="O23" s="1670"/>
      <c r="P23" s="2243"/>
      <c r="Q23" s="2243"/>
      <c r="R23" s="2243"/>
      <c r="S23" s="2243"/>
      <c r="T23" s="2243"/>
      <c r="U23" s="2243"/>
      <c r="V23" s="2243"/>
    </row>
    <row r="24" spans="1:28">
      <c r="A24" s="2419"/>
      <c r="B24" s="2291" t="s">
        <v>1058</v>
      </c>
      <c r="C24" s="2269"/>
      <c r="D24" s="2419" t="s">
        <v>1058</v>
      </c>
      <c r="E24" s="2423"/>
      <c r="F24" s="2440"/>
      <c r="G24" s="2440"/>
      <c r="H24" s="2440"/>
      <c r="I24" s="2440"/>
      <c r="J24" s="2243"/>
      <c r="K24" s="2399"/>
      <c r="L24" s="121"/>
      <c r="M24" s="2397"/>
      <c r="N24" s="2243"/>
      <c r="O24" s="1670"/>
      <c r="P24" s="2243"/>
      <c r="Q24" s="2243"/>
      <c r="R24" s="2243"/>
      <c r="S24" s="2243"/>
      <c r="T24" s="2243"/>
      <c r="U24" s="2243"/>
      <c r="V24" s="2243"/>
    </row>
    <row r="25" spans="1:28">
      <c r="A25" s="2419"/>
      <c r="B25" s="2291" t="s">
        <v>1059</v>
      </c>
      <c r="C25" s="2269"/>
      <c r="D25" s="2419" t="s">
        <v>1059</v>
      </c>
      <c r="E25" s="2423"/>
      <c r="F25" s="2440"/>
      <c r="G25" s="2440"/>
      <c r="H25" s="2440"/>
      <c r="I25" s="2440"/>
      <c r="J25" s="2243"/>
      <c r="K25" s="2400"/>
      <c r="L25" s="2397"/>
      <c r="M25" s="2397"/>
      <c r="N25" s="2243"/>
      <c r="O25" s="1670"/>
      <c r="P25" s="2243"/>
      <c r="Q25" s="2243"/>
      <c r="R25" s="2243"/>
      <c r="S25" s="2243"/>
      <c r="T25" s="2243"/>
      <c r="U25" s="2243"/>
      <c r="V25" s="2243"/>
    </row>
    <row r="26" spans="1:28" ht="13.5" thickBot="1">
      <c r="A26" s="2424"/>
      <c r="B26" s="2425" t="s">
        <v>1060</v>
      </c>
      <c r="C26" s="2426"/>
      <c r="D26" s="2424" t="s">
        <v>1060</v>
      </c>
      <c r="E26" s="2427"/>
      <c r="F26" s="2441"/>
      <c r="G26" s="2441"/>
      <c r="H26" s="2441"/>
      <c r="I26" s="2441"/>
      <c r="J26" s="2243"/>
      <c r="K26" s="2400"/>
      <c r="L26" s="2397"/>
      <c r="M26" s="2397"/>
      <c r="N26" s="2243"/>
      <c r="O26" s="1670"/>
      <c r="P26" s="2243"/>
      <c r="Q26" s="2243"/>
      <c r="R26" s="2243"/>
      <c r="S26" s="2243"/>
      <c r="T26" s="2243"/>
      <c r="U26" s="2243"/>
      <c r="V26" s="2243"/>
    </row>
    <row r="27" spans="1:28" ht="13.5" thickTop="1">
      <c r="A27" s="3235" t="s">
        <v>2213</v>
      </c>
      <c r="B27" s="312" t="s">
        <v>2214</v>
      </c>
      <c r="C27" s="2223" t="s">
        <v>3384</v>
      </c>
      <c r="D27" s="2224"/>
      <c r="E27" s="2440"/>
      <c r="F27" s="2440"/>
      <c r="G27" s="2440"/>
      <c r="H27" s="2440"/>
      <c r="I27" s="2440"/>
      <c r="J27" s="2243"/>
      <c r="K27" s="2401"/>
      <c r="L27" s="1670"/>
      <c r="M27" s="1670"/>
      <c r="N27" s="2243"/>
      <c r="O27" s="1670"/>
      <c r="P27" s="2243"/>
      <c r="Q27" s="2243"/>
      <c r="R27" s="2243"/>
      <c r="S27" s="2243"/>
      <c r="T27" s="2243"/>
      <c r="U27" s="2243"/>
      <c r="V27" s="2243"/>
    </row>
    <row r="28" spans="1:28">
      <c r="A28" s="3235"/>
      <c r="B28" s="294" t="s">
        <v>2215</v>
      </c>
      <c r="C28" s="2225"/>
      <c r="D28" s="2226"/>
      <c r="E28" s="2440"/>
      <c r="F28" s="2440"/>
      <c r="G28" s="2440"/>
      <c r="H28" s="2440"/>
      <c r="I28" s="2440"/>
      <c r="J28" s="2243"/>
      <c r="K28" s="2400"/>
      <c r="L28" s="2397"/>
      <c r="M28" s="2397"/>
      <c r="N28" s="2243"/>
      <c r="O28" s="1670"/>
      <c r="P28" s="2243"/>
      <c r="Q28" s="2243"/>
      <c r="R28" s="2243"/>
      <c r="S28" s="2243"/>
      <c r="T28" s="2243"/>
      <c r="U28" s="2243"/>
      <c r="V28" s="2243"/>
    </row>
    <row r="29" spans="1:28">
      <c r="A29" s="3235"/>
      <c r="B29" s="294" t="s">
        <v>2216</v>
      </c>
      <c r="C29" s="2227"/>
      <c r="D29" s="2228"/>
      <c r="E29" s="2440"/>
      <c r="F29" s="2440"/>
      <c r="G29" s="2440"/>
      <c r="H29" s="2440"/>
      <c r="I29" s="2440"/>
      <c r="J29" s="2243"/>
      <c r="K29" s="2400"/>
      <c r="L29" s="2397"/>
      <c r="M29" s="2397"/>
      <c r="N29" s="2243"/>
      <c r="O29" s="1670"/>
      <c r="P29" s="2243"/>
      <c r="Q29" s="2243"/>
      <c r="R29" s="2243"/>
      <c r="S29" s="2243"/>
      <c r="T29" s="2243"/>
      <c r="U29" s="2243"/>
      <c r="V29" s="2243"/>
    </row>
    <row r="30" spans="1:28">
      <c r="A30" s="3236"/>
      <c r="B30" s="294" t="s">
        <v>2217</v>
      </c>
      <c r="C30" s="3237"/>
      <c r="D30" s="3238"/>
      <c r="E30" s="2440"/>
      <c r="F30" s="2440"/>
      <c r="G30" s="2440"/>
      <c r="H30" s="2440"/>
      <c r="I30" s="2440"/>
      <c r="J30" s="2243"/>
      <c r="K30" s="2400"/>
      <c r="L30" s="2397"/>
      <c r="M30" s="2397"/>
      <c r="N30" s="2243"/>
      <c r="O30" s="1670"/>
      <c r="P30" s="2243"/>
      <c r="Q30" s="2243"/>
      <c r="R30" s="2243"/>
      <c r="S30" s="2243"/>
      <c r="T30" s="2243"/>
      <c r="U30" s="2243"/>
      <c r="V30" s="2243"/>
    </row>
    <row r="31" spans="1:28">
      <c r="A31" s="3239" t="s">
        <v>2218</v>
      </c>
      <c r="B31" s="2229"/>
      <c r="C31" s="12" t="str">
        <f>IF(B31="现房","成新及维护状况正常否",IF(B31="在建","工程状态是否正常",IF(B31="土地","是否闲置","-")))</f>
        <v>-</v>
      </c>
      <c r="D31" s="1281"/>
      <c r="E31" s="2230"/>
      <c r="F31" s="2440"/>
      <c r="G31" s="2440"/>
      <c r="H31" s="2440"/>
      <c r="I31" s="2440"/>
      <c r="J31" s="2243"/>
      <c r="K31" s="2399"/>
      <c r="L31" s="2397"/>
      <c r="M31" s="2397"/>
      <c r="N31" s="2243"/>
      <c r="O31" s="1670"/>
      <c r="P31" s="2243"/>
      <c r="Q31" s="2243"/>
      <c r="R31" s="2243"/>
      <c r="S31" s="2243"/>
      <c r="T31" s="2243"/>
      <c r="U31" s="2243"/>
      <c r="V31" s="2243"/>
    </row>
    <row r="32" spans="1:28">
      <c r="A32" s="3240"/>
      <c r="B32" s="2229"/>
      <c r="C32" s="12" t="str">
        <f>IF(B32="现房","成新及维护状况是否正常",IF(B32="在建","工程状态是否正常",IF(B32="土地","是否闲置","-")))</f>
        <v>-</v>
      </c>
      <c r="D32" s="1281"/>
      <c r="E32" s="2230"/>
      <c r="F32" s="2440"/>
      <c r="G32" s="2440"/>
      <c r="H32" s="2440"/>
      <c r="I32" s="2440"/>
      <c r="J32" s="2243"/>
      <c r="K32" s="2400"/>
      <c r="L32" s="2397"/>
      <c r="M32" s="2397"/>
      <c r="N32" s="2243"/>
      <c r="O32" s="1670"/>
      <c r="P32" s="2243"/>
      <c r="Q32" s="2243"/>
      <c r="R32" s="2243"/>
      <c r="S32" s="2243"/>
      <c r="T32" s="2243"/>
      <c r="U32" s="2243"/>
      <c r="V32" s="2243"/>
    </row>
    <row r="33" spans="1:30">
      <c r="A33" s="3240"/>
      <c r="B33" s="2232"/>
      <c r="C33" s="1478" t="str">
        <f>IF(B33="现房","成新及维护状况是否正常",IF(B33="在建","工程状态是否正常",IF(B33="土地","是否闲置","-")))</f>
        <v>-</v>
      </c>
      <c r="D33" s="1274"/>
      <c r="E33" s="2233"/>
      <c r="F33" s="2440"/>
      <c r="G33" s="2440"/>
      <c r="H33" s="2440"/>
      <c r="I33" s="2440"/>
      <c r="J33" s="2243"/>
      <c r="K33" s="2400"/>
      <c r="L33" s="2397"/>
      <c r="M33" s="2397"/>
      <c r="N33" s="2243"/>
      <c r="O33" s="1670"/>
      <c r="P33" s="2243"/>
      <c r="Q33" s="2243"/>
      <c r="R33" s="2243"/>
      <c r="S33" s="2243"/>
      <c r="T33" s="2243"/>
      <c r="U33" s="2243"/>
      <c r="V33" s="2243"/>
    </row>
    <row r="34" spans="1:30">
      <c r="A34" s="294" t="s">
        <v>2219</v>
      </c>
      <c r="B34" s="1870" t="s">
        <v>3385</v>
      </c>
      <c r="C34" s="1870" t="s">
        <v>3386</v>
      </c>
      <c r="D34" s="1870" t="s">
        <v>3387</v>
      </c>
      <c r="E34" s="1870" t="s">
        <v>3388</v>
      </c>
      <c r="F34" s="1870" t="s">
        <v>3389</v>
      </c>
      <c r="G34" s="1870" t="s">
        <v>3390</v>
      </c>
      <c r="H34" s="1870"/>
      <c r="I34" s="2440"/>
      <c r="J34" s="2243"/>
      <c r="K34" s="8">
        <f>COUNTIF(B34:H34,"——")</f>
        <v>0</v>
      </c>
      <c r="L34" s="315" t="s">
        <v>2220</v>
      </c>
      <c r="M34" s="315" t="s">
        <v>2221</v>
      </c>
      <c r="N34" s="315" t="s">
        <v>2222</v>
      </c>
      <c r="O34" s="315" t="s">
        <v>2223</v>
      </c>
      <c r="P34" s="315" t="s">
        <v>2224</v>
      </c>
      <c r="Q34" s="315" t="s">
        <v>2225</v>
      </c>
      <c r="R34" s="315" t="s">
        <v>2226</v>
      </c>
      <c r="S34" s="3234" t="s">
        <v>2227</v>
      </c>
      <c r="T34" s="315" t="str">
        <f>NUMBERSTRING(7-K34,1)&amp;"通"</f>
        <v>七通</v>
      </c>
      <c r="U34" s="2243"/>
      <c r="V34" s="2243"/>
    </row>
    <row r="35" spans="1:30">
      <c r="A35" s="2234"/>
      <c r="B35" s="3234" t="s">
        <v>2228</v>
      </c>
      <c r="C35" s="3234"/>
      <c r="D35" s="3234"/>
      <c r="E35" s="3234"/>
      <c r="F35" s="8">
        <f>C10</f>
        <v>0</v>
      </c>
      <c r="G35" s="2440"/>
      <c r="H35" s="2440"/>
      <c r="I35" s="2440"/>
      <c r="J35" s="2243"/>
      <c r="K35" s="315"/>
      <c r="L35" s="315" t="str">
        <f>B34</f>
        <v>通路</v>
      </c>
      <c r="M35" s="138" t="str">
        <f>B34&amp;"、"&amp;C34</f>
        <v>通路、通电</v>
      </c>
      <c r="N35" s="138" t="str">
        <f>B34&amp;"、"&amp;C34&amp;"、"&amp;D34</f>
        <v>通路、通电、通讯</v>
      </c>
      <c r="O35" s="138" t="str">
        <f>B34&amp;"、"&amp;C34&amp;"、"&amp;D34&amp;"、"&amp;E34</f>
        <v>通路、通电、通讯、通上水</v>
      </c>
      <c r="P35" s="138" t="str">
        <f>B34&amp;"、"&amp;C34&amp;"、"&amp;D34&amp;"、"&amp;E34&amp;"、"&amp;F34</f>
        <v>通路、通电、通讯、通上水、通下水</v>
      </c>
      <c r="Q35" s="138" t="str">
        <f>B34&amp;"、"&amp;C34&amp;"、"&amp;D34&amp;"、"&amp;E34&amp;"、"&amp;F34&amp;"、"&amp;G34</f>
        <v>通路、通电、通讯、通上水、通下水、平整</v>
      </c>
      <c r="R35" s="138" t="str">
        <f>B34&amp;"、"&amp;C34&amp;"、"&amp;D34&amp;"、"&amp;E34&amp;"、"&amp;F34&amp;"、"&amp;G34&amp;"、"&amp;H34</f>
        <v>通路、通电、通讯、通上水、通下水、平整、</v>
      </c>
      <c r="S35" s="3234"/>
      <c r="T35" s="138" t="str">
        <f>IF(T34="一通",L35,IF(T34="二通",M35,IF(T34="三通",N35,IF(T34="四通",O35,IF(T34="五通",P35,IF(T34="六通",Q35,R35))))))</f>
        <v>通路、通电、通讯、通上水、通下水、平整、</v>
      </c>
      <c r="U35" s="2243"/>
      <c r="V35" s="2243"/>
    </row>
    <row r="36" spans="1:30">
      <c r="A36" s="2183"/>
      <c r="B36" s="8" t="s">
        <v>2184</v>
      </c>
      <c r="C36" s="8" t="s">
        <v>2185</v>
      </c>
      <c r="D36" s="8" t="s">
        <v>2183</v>
      </c>
      <c r="E36" s="8" t="s">
        <v>2188</v>
      </c>
      <c r="F36" s="2799" t="s">
        <v>2577</v>
      </c>
      <c r="G36" s="2440"/>
      <c r="H36" s="2440"/>
      <c r="I36" s="2440"/>
      <c r="J36" s="2243"/>
      <c r="K36" s="2400"/>
      <c r="L36" s="2397"/>
      <c r="M36" s="2397"/>
      <c r="N36" s="2243"/>
      <c r="O36" s="1670"/>
      <c r="P36" s="2243"/>
      <c r="Q36" s="2243"/>
      <c r="R36" s="2243"/>
      <c r="S36" s="2243"/>
      <c r="T36" s="2243"/>
      <c r="U36" s="2243"/>
      <c r="V36" s="2243"/>
    </row>
    <row r="37" spans="1:30">
      <c r="A37" s="2413" t="s">
        <v>2229</v>
      </c>
      <c r="B37" s="2235" t="s">
        <v>144</v>
      </c>
      <c r="C37" s="2235" t="s">
        <v>144</v>
      </c>
      <c r="D37" s="2235"/>
      <c r="E37" s="2235"/>
      <c r="F37" s="2235"/>
      <c r="G37" s="2440"/>
      <c r="H37" s="2440"/>
      <c r="I37" s="2440"/>
      <c r="J37" s="2243"/>
      <c r="K37" s="2400"/>
      <c r="L37" s="2397"/>
      <c r="M37" s="2397"/>
      <c r="N37" s="2243"/>
      <c r="O37" s="1670"/>
      <c r="P37" s="2243"/>
      <c r="Q37" s="2243"/>
      <c r="R37" s="2243"/>
      <c r="S37" s="2243"/>
      <c r="T37" s="2243"/>
      <c r="U37" s="2243"/>
      <c r="V37" s="2243"/>
    </row>
    <row r="38" spans="1:30" ht="13.5" thickBot="1">
      <c r="A38" s="2414" t="s">
        <v>2230</v>
      </c>
      <c r="B38" s="2236" t="s">
        <v>145</v>
      </c>
      <c r="C38" s="2236" t="s">
        <v>145</v>
      </c>
      <c r="D38" s="2236"/>
      <c r="E38" s="2236"/>
      <c r="F38" s="2236"/>
      <c r="G38" s="2441"/>
      <c r="H38" s="2441"/>
      <c r="I38" s="2441"/>
      <c r="J38" s="2243"/>
      <c r="K38" s="2400"/>
      <c r="L38" s="2397"/>
      <c r="M38" s="2397"/>
      <c r="N38" s="2243"/>
      <c r="O38" s="1670"/>
      <c r="P38" s="2243"/>
      <c r="Q38" s="2243"/>
      <c r="R38" s="2243"/>
      <c r="S38" s="2243"/>
      <c r="T38" s="2243"/>
      <c r="U38" s="2243"/>
      <c r="V38" s="2243"/>
    </row>
    <row r="39" spans="1:30" s="2239" customFormat="1" ht="14.25" thickTop="1" thickBot="1">
      <c r="A39" s="2237" t="s">
        <v>2231</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2"/>
      <c r="B40" s="2182"/>
      <c r="C40" s="2182"/>
      <c r="D40" s="2182"/>
      <c r="E40" s="2182"/>
      <c r="F40" s="2182"/>
      <c r="G40" s="2182"/>
      <c r="H40" s="2182"/>
      <c r="I40" s="1466"/>
      <c r="J40" s="2243"/>
      <c r="K40" s="2399"/>
      <c r="L40" s="1670"/>
      <c r="M40" s="1670"/>
      <c r="N40" s="2243"/>
      <c r="O40" s="1670"/>
      <c r="P40" s="2243"/>
      <c r="Q40" s="2243"/>
      <c r="R40" s="2243"/>
      <c r="S40" s="2243"/>
      <c r="T40" s="2243"/>
      <c r="U40" s="2243"/>
      <c r="V40" s="2243"/>
    </row>
    <row r="41" spans="1:30">
      <c r="A41" s="2240" t="s">
        <v>2232</v>
      </c>
      <c r="B41" s="1627"/>
      <c r="C41" s="1281"/>
      <c r="D41" s="2182"/>
      <c r="E41" s="2182"/>
      <c r="F41" s="2182"/>
      <c r="G41" s="2182"/>
      <c r="H41" s="2182"/>
      <c r="I41" s="1466"/>
      <c r="J41" s="2243"/>
      <c r="K41" s="2400"/>
      <c r="L41" s="2397"/>
      <c r="M41" s="2397"/>
      <c r="N41" s="2243"/>
      <c r="O41" s="1670"/>
      <c r="P41" s="2243"/>
      <c r="Q41" s="2243"/>
      <c r="R41" s="2243"/>
      <c r="S41" s="2243"/>
      <c r="T41" s="2243"/>
      <c r="U41" s="2243"/>
      <c r="V41" s="2243"/>
    </row>
    <row r="42" spans="1:30" ht="25.5">
      <c r="A42" s="315" t="s">
        <v>2233</v>
      </c>
      <c r="B42" s="8" t="s">
        <v>2234</v>
      </c>
      <c r="C42" s="8" t="s">
        <v>2235</v>
      </c>
      <c r="D42" s="8" t="s">
        <v>2236</v>
      </c>
      <c r="E42" s="8" t="s">
        <v>2237</v>
      </c>
      <c r="F42" s="8" t="s">
        <v>2238</v>
      </c>
      <c r="G42" s="8" t="s">
        <v>2239</v>
      </c>
      <c r="H42" s="8" t="s">
        <v>2240</v>
      </c>
      <c r="I42" s="8" t="s">
        <v>2241</v>
      </c>
      <c r="J42" s="2409" t="s">
        <v>2242</v>
      </c>
      <c r="K42" s="2410" t="s">
        <v>2243</v>
      </c>
      <c r="L42" s="2410" t="s">
        <v>2244</v>
      </c>
      <c r="M42" s="2410" t="s">
        <v>2245</v>
      </c>
      <c r="N42" s="2403" t="s">
        <v>2246</v>
      </c>
      <c r="O42" s="2403" t="s">
        <v>2247</v>
      </c>
      <c r="P42" s="2403" t="s">
        <v>2248</v>
      </c>
      <c r="Q42" s="2404" t="s">
        <v>2249</v>
      </c>
      <c r="R42" s="2404" t="s">
        <v>2250</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1061</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1062</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1063</v>
      </c>
      <c r="B2" s="8" t="s">
        <v>1064</v>
      </c>
      <c r="C2" s="8" t="s">
        <v>1065</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1066</v>
      </c>
      <c r="AZ2" s="987" t="s">
        <v>1067</v>
      </c>
      <c r="BA2" s="8" t="s">
        <v>1068</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f>ROUND(I13/B13*B14,2)</f>
        <v>750.35</v>
      </c>
      <c r="B3" s="11">
        <f>IF(C3="否",G5-AT5,G5)</f>
        <v>6547.83</v>
      </c>
      <c r="C3" s="1469" t="s">
        <v>1069</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1070</v>
      </c>
      <c r="B5" s="1259"/>
      <c r="C5" s="1259"/>
      <c r="D5" s="1260"/>
      <c r="E5" s="13" t="s">
        <v>0</v>
      </c>
      <c r="F5" s="13">
        <f>SUM(F13:F587)</f>
        <v>0</v>
      </c>
      <c r="G5" s="13">
        <f>SUM(G13:G587)</f>
        <v>6547.83</v>
      </c>
      <c r="H5" s="13">
        <f t="shared" ref="H5:AT5" si="0">SUM(H13:H656)</f>
        <v>6547.83</v>
      </c>
      <c r="I5" s="13">
        <f t="shared" si="0"/>
        <v>6547.83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1070</v>
      </c>
      <c r="AW5" s="1259"/>
      <c r="AX5" s="1259"/>
      <c r="AY5" s="14" t="s">
        <v>2</v>
      </c>
      <c r="AZ5" s="15">
        <f t="shared" ref="AZ5:BT5" si="1">SUM(AZ13:AZ656)</f>
        <v>6547.83</v>
      </c>
      <c r="BA5" s="15">
        <f t="shared" si="1"/>
        <v>6547.83</v>
      </c>
      <c r="BB5" s="15">
        <f t="shared" si="1"/>
        <v>6547.83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1071</v>
      </c>
      <c r="B6" s="1474"/>
      <c r="C6" s="1474"/>
      <c r="D6" s="1475"/>
      <c r="E6" s="13">
        <f>H6+AC6+AT6</f>
        <v>750.35</v>
      </c>
      <c r="F6" s="13" t="s">
        <v>0</v>
      </c>
      <c r="G6" s="13" t="s">
        <v>1</v>
      </c>
      <c r="H6" s="17">
        <f>SUMIF(I$12:AB$12,"总值",I6:AB6)</f>
        <v>750.35</v>
      </c>
      <c r="I6" s="13">
        <f t="shared" ref="I6:AB6" si="2">ROUND($A$3*I5/$B$3,2)</f>
        <v>750.35</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1071</v>
      </c>
      <c r="AW6" s="1474"/>
      <c r="AX6" s="1474"/>
      <c r="AY6" s="18">
        <f>IF(AY3&gt;0,AY3,ROUND($A$3*AZ5/$B$3,2))</f>
        <v>750.35</v>
      </c>
      <c r="AZ6" s="13" t="s">
        <v>2</v>
      </c>
      <c r="BA6" s="13">
        <f>ROUND($AY$6*BA5/$AZ$5,2)</f>
        <v>750.35</v>
      </c>
      <c r="BB6" s="13">
        <f>ROUND($AY$6*BB5/$AZ$5,2)</f>
        <v>750.35</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1072</v>
      </c>
      <c r="B7" s="1461" t="s">
        <v>1073</v>
      </c>
      <c r="C7" s="1461" t="s">
        <v>1074</v>
      </c>
      <c r="D7" s="1461" t="s">
        <v>1075</v>
      </c>
      <c r="E7" s="1461" t="s">
        <v>1076</v>
      </c>
      <c r="F7" s="1461" t="s">
        <v>1077</v>
      </c>
      <c r="G7" s="1478" t="s">
        <v>1078</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1079</v>
      </c>
      <c r="AV7" s="20" t="s">
        <v>1080</v>
      </c>
      <c r="AW7" s="1466" t="s">
        <v>1081</v>
      </c>
      <c r="AX7" s="20" t="s">
        <v>1074</v>
      </c>
      <c r="AY7" s="1259" t="s">
        <v>1082</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1083</v>
      </c>
      <c r="H8" s="1484" t="s">
        <v>1084</v>
      </c>
      <c r="I8" s="1485"/>
      <c r="J8" s="1269"/>
      <c r="K8" s="1269"/>
      <c r="L8" s="1269"/>
      <c r="M8" s="1269"/>
      <c r="N8" s="1269"/>
      <c r="O8" s="1269"/>
      <c r="P8" s="1269"/>
      <c r="Q8" s="1269"/>
      <c r="R8" s="1269"/>
      <c r="S8" s="1269"/>
      <c r="T8" s="1269"/>
      <c r="U8" s="1269"/>
      <c r="V8" s="1486"/>
      <c r="W8" s="1269"/>
      <c r="X8" s="1269"/>
      <c r="Y8" s="1269"/>
      <c r="Z8" s="1269"/>
      <c r="AA8" s="1486"/>
      <c r="AB8" s="1487"/>
      <c r="AC8" s="761" t="s">
        <v>1085</v>
      </c>
      <c r="AD8" s="1488"/>
      <c r="AE8" s="1480"/>
      <c r="AF8" s="1269"/>
      <c r="AG8" s="1269"/>
      <c r="AH8" s="1269"/>
      <c r="AI8" s="1269"/>
      <c r="AJ8" s="1269"/>
      <c r="AK8" s="1269"/>
      <c r="AL8" s="1269"/>
      <c r="AM8" s="1269"/>
      <c r="AN8" s="1269"/>
      <c r="AO8" s="1269"/>
      <c r="AP8" s="1269"/>
      <c r="AQ8" s="1269"/>
      <c r="AR8" s="1269"/>
      <c r="AS8" s="1269"/>
      <c r="AT8" s="1007" t="s">
        <v>1086</v>
      </c>
      <c r="AU8" s="1482" t="s">
        <v>1087</v>
      </c>
      <c r="AV8" s="1007"/>
      <c r="AW8" s="1467"/>
      <c r="AX8" s="1007"/>
      <c r="AY8" s="1466" t="s">
        <v>1088</v>
      </c>
      <c r="AZ8" s="1268" t="s">
        <v>1089</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1090</v>
      </c>
      <c r="I9" s="1491" t="s">
        <v>3393</v>
      </c>
      <c r="J9" s="761"/>
      <c r="K9" s="1491"/>
      <c r="L9" s="761"/>
      <c r="M9" s="1491"/>
      <c r="N9" s="761"/>
      <c r="O9" s="1491"/>
      <c r="P9" s="761"/>
      <c r="Q9" s="1491"/>
      <c r="R9" s="761"/>
      <c r="S9" s="1491"/>
      <c r="T9" s="761"/>
      <c r="U9" s="1491"/>
      <c r="V9" s="761"/>
      <c r="W9" s="1491"/>
      <c r="X9" s="1492"/>
      <c r="Y9" s="1491"/>
      <c r="Z9" s="761"/>
      <c r="AA9" s="1491"/>
      <c r="AB9" s="761"/>
      <c r="AC9" s="1483" t="s">
        <v>1090</v>
      </c>
      <c r="AD9" s="12" t="s">
        <v>1091</v>
      </c>
      <c r="AE9" s="1013"/>
      <c r="AF9" s="12" t="s">
        <v>1092</v>
      </c>
      <c r="AG9" s="1013"/>
      <c r="AH9" s="12" t="s">
        <v>1091</v>
      </c>
      <c r="AI9" s="1013"/>
      <c r="AJ9" s="12" t="s">
        <v>1092</v>
      </c>
      <c r="AK9" s="1013"/>
      <c r="AL9" s="12" t="s">
        <v>1091</v>
      </c>
      <c r="AM9" s="1013"/>
      <c r="AN9" s="12" t="s">
        <v>1092</v>
      </c>
      <c r="AO9" s="1013"/>
      <c r="AP9" s="12" t="s">
        <v>1091</v>
      </c>
      <c r="AQ9" s="1013"/>
      <c r="AR9" s="12" t="s">
        <v>1092</v>
      </c>
      <c r="AS9" s="1493"/>
      <c r="AT9" s="1482"/>
      <c r="AU9" s="1482" t="s">
        <v>1093</v>
      </c>
      <c r="AV9" s="1007"/>
      <c r="AW9" s="1467"/>
      <c r="AX9" s="1007"/>
      <c r="AY9" s="25"/>
      <c r="AZ9" s="25" t="s">
        <v>1083</v>
      </c>
      <c r="BA9" s="1494" t="s">
        <v>1094</v>
      </c>
      <c r="BB9" s="1495"/>
      <c r="BC9" s="1025"/>
      <c r="BD9" s="1025"/>
      <c r="BE9" s="1025"/>
      <c r="BF9" s="1025"/>
      <c r="BG9" s="1025"/>
      <c r="BH9" s="1025"/>
      <c r="BI9" s="1025"/>
      <c r="BJ9" s="1025"/>
      <c r="BK9" s="1496"/>
      <c r="BL9" s="12" t="s">
        <v>1095</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1096</v>
      </c>
      <c r="AE10" s="1498"/>
      <c r="AF10" s="12" t="s">
        <v>1096</v>
      </c>
      <c r="AG10" s="1498"/>
      <c r="AH10" s="12" t="s">
        <v>1097</v>
      </c>
      <c r="AI10" s="1498"/>
      <c r="AJ10" s="12" t="s">
        <v>1097</v>
      </c>
      <c r="AK10" s="1498"/>
      <c r="AL10" s="12" t="s">
        <v>1098</v>
      </c>
      <c r="AM10" s="1013"/>
      <c r="AN10" s="12" t="s">
        <v>1098</v>
      </c>
      <c r="AO10" s="1013"/>
      <c r="AP10" s="12" t="s">
        <v>1099</v>
      </c>
      <c r="AQ10" s="1013"/>
      <c r="AR10" s="12" t="s">
        <v>1099</v>
      </c>
      <c r="AS10" s="1013"/>
      <c r="AT10" s="1482"/>
      <c r="AU10" s="1482"/>
      <c r="AV10" s="1007"/>
      <c r="AW10" s="1467"/>
      <c r="AX10" s="1007"/>
      <c r="AY10" s="25"/>
      <c r="AZ10" s="25"/>
      <c r="BA10" s="1499" t="s">
        <v>1090</v>
      </c>
      <c r="BB10" s="1500" t="str">
        <f>I9</f>
        <v>地上</v>
      </c>
      <c r="BC10" s="26">
        <f>K9</f>
        <v>0</v>
      </c>
      <c r="BD10" s="26">
        <f>M9</f>
        <v>0</v>
      </c>
      <c r="BE10" s="26">
        <f>O9</f>
        <v>0</v>
      </c>
      <c r="BF10" s="26">
        <f>Q9</f>
        <v>0</v>
      </c>
      <c r="BG10" s="26">
        <f>S9</f>
        <v>0</v>
      </c>
      <c r="BH10" s="26">
        <f>U9</f>
        <v>0</v>
      </c>
      <c r="BI10" s="26">
        <f>W9</f>
        <v>0</v>
      </c>
      <c r="BJ10" s="26">
        <f>Y9</f>
        <v>0</v>
      </c>
      <c r="BK10" s="26">
        <f>AA9</f>
        <v>0</v>
      </c>
      <c r="BL10" s="22" t="s">
        <v>1090</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t="s">
        <v>3394</v>
      </c>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1100</v>
      </c>
      <c r="AE11" s="1270"/>
      <c r="AF11" s="1504" t="s">
        <v>1100</v>
      </c>
      <c r="AG11" s="1270"/>
      <c r="AH11" s="1504" t="s">
        <v>1101</v>
      </c>
      <c r="AI11" s="1505"/>
      <c r="AJ11" s="1504" t="s">
        <v>1101</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258" t="s">
        <v>1103</v>
      </c>
      <c r="W12" s="8" t="s">
        <v>1102</v>
      </c>
      <c r="X12" s="8" t="s">
        <v>1103</v>
      </c>
      <c r="Y12" s="8" t="s">
        <v>1102</v>
      </c>
      <c r="Z12" s="8" t="s">
        <v>1103</v>
      </c>
      <c r="AA12" s="8" t="s">
        <v>1102</v>
      </c>
      <c r="AB12" s="8" t="s">
        <v>1103</v>
      </c>
      <c r="AC12" s="1509"/>
      <c r="AD12" s="1260"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507" t="s">
        <v>1103</v>
      </c>
      <c r="AT12" s="1510"/>
      <c r="AU12" s="1507"/>
      <c r="AV12" s="28"/>
      <c r="AW12" s="1466"/>
      <c r="AX12" s="28"/>
      <c r="AY12" s="1511"/>
      <c r="AZ12" s="25"/>
      <c r="BA12" s="1499"/>
      <c r="BB12" s="21" t="str">
        <f>I11</f>
        <v>底商</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c r="A13" s="31" t="s">
        <v>3391</v>
      </c>
      <c r="B13" s="31">
        <v>93222.79</v>
      </c>
      <c r="C13" s="628"/>
      <c r="D13" s="1513" t="s">
        <v>3382</v>
      </c>
      <c r="E13" s="13">
        <f>IF($C$3="是",ROUND($A$3*G13/$B$3,2),ROUND($A$3*(G13-AT13)/$B$3,2))</f>
        <v>750.35</v>
      </c>
      <c r="F13" s="29"/>
      <c r="G13" s="30">
        <f>H13+AC13+AT13</f>
        <v>6547.83</v>
      </c>
      <c r="H13" s="17">
        <f>SUMIF(I$12:AB$12,"总值",I13:AB13)</f>
        <v>6547.83</v>
      </c>
      <c r="I13" s="1514">
        <v>6547.83</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t="str">
        <f t="shared" ref="AV13:AX17" si="6">A13</f>
        <v>总建筑面积</v>
      </c>
      <c r="AW13" s="8">
        <f t="shared" si="6"/>
        <v>93222.79</v>
      </c>
      <c r="AX13" s="8">
        <f t="shared" si="6"/>
        <v>0</v>
      </c>
      <c r="AY13" s="1260">
        <f>ROUND($AY$6*AZ13/$AZ$5,2)</f>
        <v>750.35</v>
      </c>
      <c r="AZ13" s="13">
        <f>BA13+BL13</f>
        <v>6547.83</v>
      </c>
      <c r="BA13" s="13">
        <f>SUM(BB13:BK13)</f>
        <v>6547.83</v>
      </c>
      <c r="BB13" s="13">
        <f>IF($D13="是",I13-J13,0)</f>
        <v>6547.83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c r="A14" s="31" t="s">
        <v>3392</v>
      </c>
      <c r="B14" s="31">
        <v>10682.89</v>
      </c>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t="str">
        <f t="shared" si="6"/>
        <v>总土地面积</v>
      </c>
      <c r="AW14" s="8">
        <f t="shared" si="6"/>
        <v>10682.89</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3"/>
  <sheetViews>
    <sheetView topLeftCell="F5" workbookViewId="0">
      <selection activeCell="F30" sqref="F30"/>
    </sheetView>
  </sheetViews>
  <sheetFormatPr defaultRowHeight="13.5"/>
  <cols>
    <col min="4" max="4" width="14.75" customWidth="1"/>
    <col min="5" max="5" width="11.5" customWidth="1"/>
    <col min="6" max="6" width="14.375" customWidth="1"/>
  </cols>
  <sheetData>
    <row r="1" spans="1:22" ht="18.75">
      <c r="A1" s="3148" t="s">
        <v>3421</v>
      </c>
      <c r="B1" s="3148"/>
      <c r="C1" s="3148"/>
      <c r="D1" s="3148"/>
      <c r="E1" s="3148"/>
      <c r="F1" s="3148"/>
      <c r="G1" s="3148"/>
      <c r="H1" s="3148"/>
      <c r="I1" s="3148"/>
      <c r="J1" s="3148"/>
      <c r="K1" s="3148"/>
      <c r="L1" s="3148"/>
      <c r="M1" s="3148"/>
      <c r="N1" s="3148"/>
      <c r="O1" s="3148"/>
      <c r="P1" s="3148"/>
      <c r="Q1" s="3148"/>
      <c r="R1" s="3148"/>
      <c r="S1" s="3148"/>
      <c r="T1" s="3148"/>
      <c r="U1" s="3148"/>
      <c r="V1" s="3148"/>
    </row>
    <row r="2" spans="1:22">
      <c r="A2" s="3267" t="s">
        <v>3422</v>
      </c>
      <c r="B2" s="3269" t="s">
        <v>3423</v>
      </c>
      <c r="C2" s="3267" t="s">
        <v>3424</v>
      </c>
      <c r="D2" s="3271" t="s">
        <v>3425</v>
      </c>
      <c r="E2" s="3271" t="s">
        <v>3426</v>
      </c>
      <c r="F2" s="3273" t="s">
        <v>3427</v>
      </c>
      <c r="G2" s="3273"/>
      <c r="H2" s="3274"/>
      <c r="I2" s="3149"/>
      <c r="J2" s="3149"/>
      <c r="K2" s="3149"/>
      <c r="L2" s="3149"/>
      <c r="M2" s="3149"/>
      <c r="N2" s="3149"/>
      <c r="O2" s="3149"/>
      <c r="P2" s="3265"/>
      <c r="Q2" s="3265"/>
      <c r="R2" s="3265"/>
      <c r="S2" s="3265"/>
      <c r="T2" s="3265"/>
      <c r="U2" s="3150" t="s">
        <v>3428</v>
      </c>
      <c r="V2" s="3150" t="s">
        <v>3429</v>
      </c>
    </row>
    <row r="3" spans="1:22">
      <c r="A3" s="3268"/>
      <c r="B3" s="3270"/>
      <c r="C3" s="3268"/>
      <c r="D3" s="3272"/>
      <c r="E3" s="3272"/>
      <c r="F3" s="3151" t="s">
        <v>3430</v>
      </c>
      <c r="G3" s="3151" t="s">
        <v>3431</v>
      </c>
      <c r="H3" s="3151" t="s">
        <v>3432</v>
      </c>
      <c r="I3" s="3152" t="s">
        <v>3433</v>
      </c>
      <c r="J3" s="3152" t="s">
        <v>3434</v>
      </c>
      <c r="K3" s="3152" t="s">
        <v>3435</v>
      </c>
      <c r="L3" s="3152" t="s">
        <v>3436</v>
      </c>
      <c r="M3" s="3152" t="s">
        <v>3437</v>
      </c>
      <c r="N3" s="3152" t="s">
        <v>3438</v>
      </c>
      <c r="O3" s="3152" t="s">
        <v>3439</v>
      </c>
      <c r="P3" s="3152" t="s">
        <v>3440</v>
      </c>
      <c r="Q3" s="3152" t="s">
        <v>3441</v>
      </c>
      <c r="R3" s="3152" t="s">
        <v>3442</v>
      </c>
      <c r="S3" s="3152" t="s">
        <v>3443</v>
      </c>
      <c r="T3" s="3152" t="s">
        <v>3444</v>
      </c>
      <c r="U3" s="3152"/>
      <c r="V3" s="3152"/>
    </row>
    <row r="4" spans="1:22">
      <c r="A4" s="3256">
        <v>1</v>
      </c>
      <c r="B4" s="3257">
        <v>409</v>
      </c>
      <c r="C4" s="3260" t="s">
        <v>3445</v>
      </c>
      <c r="D4" s="3266">
        <v>675</v>
      </c>
      <c r="E4" s="3266">
        <v>675</v>
      </c>
      <c r="F4" s="3153">
        <v>72720</v>
      </c>
      <c r="G4" s="3153">
        <v>48480</v>
      </c>
      <c r="H4" s="3154" t="s">
        <v>3446</v>
      </c>
      <c r="I4" s="3248">
        <v>175500</v>
      </c>
      <c r="J4" s="3248">
        <v>175500</v>
      </c>
      <c r="K4" s="3248">
        <v>175500</v>
      </c>
      <c r="L4" s="3248">
        <v>175500</v>
      </c>
      <c r="M4" s="3248">
        <v>175500</v>
      </c>
      <c r="N4" s="3248">
        <v>175500</v>
      </c>
      <c r="O4" s="3248">
        <v>175500</v>
      </c>
      <c r="P4" s="3248">
        <v>175500</v>
      </c>
      <c r="Q4" s="3248">
        <v>175500</v>
      </c>
      <c r="R4" s="3248">
        <v>175500</v>
      </c>
      <c r="S4" s="3248">
        <v>175500</v>
      </c>
      <c r="T4" s="3248">
        <v>175500</v>
      </c>
      <c r="U4" s="3248">
        <v>2106000</v>
      </c>
      <c r="V4" s="3249"/>
    </row>
    <row r="5" spans="1:22">
      <c r="A5" s="3256"/>
      <c r="B5" s="3258"/>
      <c r="C5" s="3261"/>
      <c r="D5" s="3266"/>
      <c r="E5" s="3266"/>
      <c r="F5" s="3153">
        <v>97200</v>
      </c>
      <c r="G5" s="3153">
        <v>64800</v>
      </c>
      <c r="H5" s="3154" t="s">
        <v>3447</v>
      </c>
      <c r="I5" s="3248"/>
      <c r="J5" s="3248"/>
      <c r="K5" s="3248"/>
      <c r="L5" s="3248"/>
      <c r="M5" s="3248"/>
      <c r="N5" s="3248"/>
      <c r="O5" s="3248"/>
      <c r="P5" s="3248"/>
      <c r="Q5" s="3248"/>
      <c r="R5" s="3248"/>
      <c r="S5" s="3248"/>
      <c r="T5" s="3248"/>
      <c r="U5" s="3248"/>
      <c r="V5" s="3250"/>
    </row>
    <row r="6" spans="1:22">
      <c r="A6" s="3256"/>
      <c r="B6" s="3258"/>
      <c r="C6" s="3258"/>
      <c r="D6" s="3266"/>
      <c r="E6" s="3266"/>
      <c r="F6" s="3153">
        <v>110700</v>
      </c>
      <c r="G6" s="3153">
        <v>64800</v>
      </c>
      <c r="H6" s="3154" t="s">
        <v>3448</v>
      </c>
      <c r="I6" s="3248"/>
      <c r="J6" s="3248"/>
      <c r="K6" s="3248"/>
      <c r="L6" s="3248"/>
      <c r="M6" s="3248"/>
      <c r="N6" s="3248"/>
      <c r="O6" s="3248"/>
      <c r="P6" s="3248"/>
      <c r="Q6" s="3248"/>
      <c r="R6" s="3248"/>
      <c r="S6" s="3248"/>
      <c r="T6" s="3248"/>
      <c r="U6" s="3248"/>
      <c r="V6" s="3250"/>
    </row>
    <row r="7" spans="1:22">
      <c r="A7" s="3256">
        <v>2</v>
      </c>
      <c r="B7" s="3257" t="s">
        <v>3449</v>
      </c>
      <c r="C7" s="3260" t="s">
        <v>3450</v>
      </c>
      <c r="D7" s="3262">
        <v>1823</v>
      </c>
      <c r="E7" s="3262">
        <v>1823</v>
      </c>
      <c r="F7" s="3153">
        <v>229698</v>
      </c>
      <c r="G7" s="3153">
        <v>153132</v>
      </c>
      <c r="H7" s="3154" t="s">
        <v>3451</v>
      </c>
      <c r="I7" s="3248">
        <v>382830</v>
      </c>
      <c r="J7" s="3248">
        <v>382830</v>
      </c>
      <c r="K7" s="3248">
        <v>382830</v>
      </c>
      <c r="L7" s="3248">
        <v>382830</v>
      </c>
      <c r="M7" s="3248">
        <v>382830</v>
      </c>
      <c r="N7" s="3248">
        <v>382830</v>
      </c>
      <c r="O7" s="3248">
        <v>382830</v>
      </c>
      <c r="P7" s="3248">
        <v>382830</v>
      </c>
      <c r="Q7" s="3248">
        <v>382830</v>
      </c>
      <c r="R7" s="3248">
        <v>382830</v>
      </c>
      <c r="S7" s="3248">
        <v>382830</v>
      </c>
      <c r="T7" s="3248">
        <v>382830</v>
      </c>
      <c r="U7" s="3248">
        <v>4593960</v>
      </c>
      <c r="V7" s="3249"/>
    </row>
    <row r="8" spans="1:22">
      <c r="A8" s="3256"/>
      <c r="B8" s="3258"/>
      <c r="C8" s="3261"/>
      <c r="D8" s="3263"/>
      <c r="E8" s="3263"/>
      <c r="F8" s="3153">
        <v>248839.5</v>
      </c>
      <c r="G8" s="3153">
        <v>153132</v>
      </c>
      <c r="H8" s="3154" t="s">
        <v>3452</v>
      </c>
      <c r="I8" s="3248"/>
      <c r="J8" s="3248"/>
      <c r="K8" s="3248"/>
      <c r="L8" s="3248"/>
      <c r="M8" s="3248"/>
      <c r="N8" s="3248"/>
      <c r="O8" s="3248"/>
      <c r="P8" s="3248"/>
      <c r="Q8" s="3248"/>
      <c r="R8" s="3248"/>
      <c r="S8" s="3248"/>
      <c r="T8" s="3248"/>
      <c r="U8" s="3248"/>
      <c r="V8" s="3250"/>
    </row>
    <row r="9" spans="1:22">
      <c r="A9" s="3256"/>
      <c r="B9" s="3258"/>
      <c r="C9" s="3258"/>
      <c r="D9" s="3263"/>
      <c r="E9" s="3263"/>
      <c r="F9" s="3153">
        <v>268892.5</v>
      </c>
      <c r="G9" s="3153">
        <v>153132</v>
      </c>
      <c r="H9" s="3154" t="s">
        <v>3453</v>
      </c>
      <c r="I9" s="3248"/>
      <c r="J9" s="3248"/>
      <c r="K9" s="3248"/>
      <c r="L9" s="3248"/>
      <c r="M9" s="3248"/>
      <c r="N9" s="3248"/>
      <c r="O9" s="3248"/>
      <c r="P9" s="3248"/>
      <c r="Q9" s="3248"/>
      <c r="R9" s="3248"/>
      <c r="S9" s="3248"/>
      <c r="T9" s="3248"/>
      <c r="U9" s="3248"/>
      <c r="V9" s="3250"/>
    </row>
    <row r="10" spans="1:22">
      <c r="A10" s="3256"/>
      <c r="B10" s="3259"/>
      <c r="C10" s="3259"/>
      <c r="D10" s="3264"/>
      <c r="E10" s="3264"/>
      <c r="F10" s="3153">
        <v>289857</v>
      </c>
      <c r="G10" s="3153">
        <v>153132</v>
      </c>
      <c r="H10" s="3154" t="s">
        <v>3454</v>
      </c>
      <c r="I10" s="3248"/>
      <c r="J10" s="3248"/>
      <c r="K10" s="3248"/>
      <c r="L10" s="3248"/>
      <c r="M10" s="3248"/>
      <c r="N10" s="3248"/>
      <c r="O10" s="3248"/>
      <c r="P10" s="3248"/>
      <c r="Q10" s="3248"/>
      <c r="R10" s="3248"/>
      <c r="S10" s="3248"/>
      <c r="T10" s="3248"/>
      <c r="U10" s="3248"/>
      <c r="V10" s="3251"/>
    </row>
    <row r="11" spans="1:22">
      <c r="A11" s="3256">
        <v>3</v>
      </c>
      <c r="B11" s="3257">
        <v>408</v>
      </c>
      <c r="C11" s="3260" t="s">
        <v>3450</v>
      </c>
      <c r="D11" s="3262">
        <v>45</v>
      </c>
      <c r="E11" s="3262">
        <v>45</v>
      </c>
      <c r="F11" s="3153">
        <v>5670</v>
      </c>
      <c r="G11" s="3153">
        <v>3780</v>
      </c>
      <c r="H11" s="3154" t="s">
        <v>3451</v>
      </c>
      <c r="I11" s="3248">
        <v>9450</v>
      </c>
      <c r="J11" s="3248">
        <v>9450</v>
      </c>
      <c r="K11" s="3248">
        <v>9450</v>
      </c>
      <c r="L11" s="3248">
        <v>9450</v>
      </c>
      <c r="M11" s="3248">
        <v>9450</v>
      </c>
      <c r="N11" s="3248">
        <v>9450</v>
      </c>
      <c r="O11" s="3248">
        <v>9450</v>
      </c>
      <c r="P11" s="3248">
        <v>9450</v>
      </c>
      <c r="Q11" s="3248">
        <v>9450</v>
      </c>
      <c r="R11" s="3248">
        <v>9450</v>
      </c>
      <c r="S11" s="3248">
        <v>9450</v>
      </c>
      <c r="T11" s="3248">
        <v>9450</v>
      </c>
      <c r="U11" s="3248">
        <v>113400</v>
      </c>
      <c r="V11" s="3249"/>
    </row>
    <row r="12" spans="1:22">
      <c r="A12" s="3256"/>
      <c r="B12" s="3258"/>
      <c r="C12" s="3261"/>
      <c r="D12" s="3263"/>
      <c r="E12" s="3263"/>
      <c r="F12" s="3153">
        <v>6142.5</v>
      </c>
      <c r="G12" s="3153">
        <v>3780</v>
      </c>
      <c r="H12" s="3154" t="s">
        <v>3452</v>
      </c>
      <c r="I12" s="3248"/>
      <c r="J12" s="3248"/>
      <c r="K12" s="3248"/>
      <c r="L12" s="3248"/>
      <c r="M12" s="3248"/>
      <c r="N12" s="3248"/>
      <c r="O12" s="3248"/>
      <c r="P12" s="3248"/>
      <c r="Q12" s="3248"/>
      <c r="R12" s="3248"/>
      <c r="S12" s="3248"/>
      <c r="T12" s="3248"/>
      <c r="U12" s="3248"/>
      <c r="V12" s="3250"/>
    </row>
    <row r="13" spans="1:22">
      <c r="A13" s="3256"/>
      <c r="B13" s="3258"/>
      <c r="C13" s="3258"/>
      <c r="D13" s="3263"/>
      <c r="E13" s="3263"/>
      <c r="F13" s="3153">
        <v>6637.5</v>
      </c>
      <c r="G13" s="3153">
        <v>3780</v>
      </c>
      <c r="H13" s="3154" t="s">
        <v>3453</v>
      </c>
      <c r="I13" s="3248"/>
      <c r="J13" s="3248"/>
      <c r="K13" s="3248"/>
      <c r="L13" s="3248"/>
      <c r="M13" s="3248"/>
      <c r="N13" s="3248"/>
      <c r="O13" s="3248"/>
      <c r="P13" s="3248"/>
      <c r="Q13" s="3248"/>
      <c r="R13" s="3248"/>
      <c r="S13" s="3248"/>
      <c r="T13" s="3248"/>
      <c r="U13" s="3248"/>
      <c r="V13" s="3250"/>
    </row>
    <row r="14" spans="1:22">
      <c r="A14" s="3256"/>
      <c r="B14" s="3259"/>
      <c r="C14" s="3259"/>
      <c r="D14" s="3264"/>
      <c r="E14" s="3264"/>
      <c r="F14" s="3153">
        <v>7155</v>
      </c>
      <c r="G14" s="3153">
        <v>3780</v>
      </c>
      <c r="H14" s="3154" t="s">
        <v>3454</v>
      </c>
      <c r="I14" s="3248"/>
      <c r="J14" s="3248"/>
      <c r="K14" s="3248"/>
      <c r="L14" s="3248"/>
      <c r="M14" s="3248"/>
      <c r="N14" s="3248"/>
      <c r="O14" s="3248"/>
      <c r="P14" s="3248"/>
      <c r="Q14" s="3248"/>
      <c r="R14" s="3248"/>
      <c r="S14" s="3248"/>
      <c r="T14" s="3248"/>
      <c r="U14" s="3248"/>
      <c r="V14" s="3251"/>
    </row>
    <row r="15" spans="1:22">
      <c r="A15" s="3252">
        <v>4</v>
      </c>
      <c r="B15" s="3253" t="s">
        <v>3455</v>
      </c>
      <c r="C15" s="3254"/>
      <c r="D15" s="3255">
        <v>1610.88</v>
      </c>
      <c r="E15" s="3255">
        <v>1610.88</v>
      </c>
      <c r="F15" s="3155"/>
      <c r="G15" s="3155"/>
      <c r="H15" s="3156"/>
      <c r="I15" s="3244"/>
      <c r="J15" s="3244"/>
      <c r="K15" s="3244"/>
      <c r="L15" s="3244"/>
      <c r="M15" s="3244"/>
      <c r="N15" s="3244"/>
      <c r="O15" s="3244"/>
      <c r="P15" s="3244"/>
      <c r="Q15" s="3244"/>
      <c r="R15" s="3244"/>
      <c r="S15" s="3244"/>
      <c r="T15" s="3244"/>
      <c r="U15" s="3247">
        <v>0</v>
      </c>
      <c r="V15" s="3241"/>
    </row>
    <row r="16" spans="1:22">
      <c r="A16" s="3252"/>
      <c r="B16" s="3253"/>
      <c r="C16" s="3254"/>
      <c r="D16" s="3255"/>
      <c r="E16" s="3255"/>
      <c r="F16" s="3155"/>
      <c r="G16" s="3155"/>
      <c r="H16" s="3156"/>
      <c r="I16" s="3245"/>
      <c r="J16" s="3245"/>
      <c r="K16" s="3245"/>
      <c r="L16" s="3245"/>
      <c r="M16" s="3245"/>
      <c r="N16" s="3245"/>
      <c r="O16" s="3245"/>
      <c r="P16" s="3245"/>
      <c r="Q16" s="3245"/>
      <c r="R16" s="3245"/>
      <c r="S16" s="3245"/>
      <c r="T16" s="3245"/>
      <c r="U16" s="3247"/>
      <c r="V16" s="3242"/>
    </row>
    <row r="17" spans="1:22">
      <c r="A17" s="3252"/>
      <c r="B17" s="3253"/>
      <c r="C17" s="3254"/>
      <c r="D17" s="3255"/>
      <c r="E17" s="3255"/>
      <c r="F17" s="3155"/>
      <c r="G17" s="3155"/>
      <c r="H17" s="3156"/>
      <c r="I17" s="3245"/>
      <c r="J17" s="3245"/>
      <c r="K17" s="3245"/>
      <c r="L17" s="3245"/>
      <c r="M17" s="3245"/>
      <c r="N17" s="3245"/>
      <c r="O17" s="3245"/>
      <c r="P17" s="3245"/>
      <c r="Q17" s="3245"/>
      <c r="R17" s="3245"/>
      <c r="S17" s="3245"/>
      <c r="T17" s="3245"/>
      <c r="U17" s="3247"/>
      <c r="V17" s="3242"/>
    </row>
    <row r="18" spans="1:22">
      <c r="A18" s="3252"/>
      <c r="B18" s="3253"/>
      <c r="C18" s="3254"/>
      <c r="D18" s="3255"/>
      <c r="E18" s="3255"/>
      <c r="F18" s="3155"/>
      <c r="G18" s="3155"/>
      <c r="H18" s="3156"/>
      <c r="I18" s="3245"/>
      <c r="J18" s="3245"/>
      <c r="K18" s="3245"/>
      <c r="L18" s="3245"/>
      <c r="M18" s="3245"/>
      <c r="N18" s="3245"/>
      <c r="O18" s="3245"/>
      <c r="P18" s="3245"/>
      <c r="Q18" s="3245"/>
      <c r="R18" s="3245"/>
      <c r="S18" s="3245"/>
      <c r="T18" s="3245"/>
      <c r="U18" s="3247"/>
      <c r="V18" s="3242"/>
    </row>
    <row r="19" spans="1:22">
      <c r="A19" s="3252"/>
      <c r="B19" s="3253"/>
      <c r="C19" s="3254"/>
      <c r="D19" s="3255"/>
      <c r="E19" s="3255"/>
      <c r="F19" s="3155"/>
      <c r="G19" s="3155"/>
      <c r="H19" s="3156"/>
      <c r="I19" s="3246"/>
      <c r="J19" s="3246"/>
      <c r="K19" s="3246"/>
      <c r="L19" s="3246"/>
      <c r="M19" s="3246"/>
      <c r="N19" s="3246"/>
      <c r="O19" s="3246"/>
      <c r="P19" s="3246"/>
      <c r="Q19" s="3246"/>
      <c r="R19" s="3246"/>
      <c r="S19" s="3246"/>
      <c r="T19" s="3246"/>
      <c r="U19" s="3247"/>
      <c r="V19" s="3243"/>
    </row>
    <row r="20" spans="1:22">
      <c r="A20" s="3157"/>
      <c r="B20" s="3158" t="s">
        <v>3456</v>
      </c>
      <c r="C20" s="3159"/>
      <c r="D20" s="3160">
        <v>4153.88</v>
      </c>
      <c r="E20" s="3160">
        <v>4153.88</v>
      </c>
      <c r="F20" s="3161">
        <v>346068</v>
      </c>
      <c r="G20" s="3161">
        <v>221712</v>
      </c>
      <c r="H20" s="3157"/>
      <c r="I20" s="3162">
        <v>567780</v>
      </c>
      <c r="J20" s="3162">
        <v>567780</v>
      </c>
      <c r="K20" s="3162">
        <v>567780</v>
      </c>
      <c r="L20" s="3162">
        <v>567780</v>
      </c>
      <c r="M20" s="3162">
        <v>567780</v>
      </c>
      <c r="N20" s="3162">
        <v>567780</v>
      </c>
      <c r="O20" s="3162">
        <v>567780</v>
      </c>
      <c r="P20" s="3162">
        <v>567780</v>
      </c>
      <c r="Q20" s="3162">
        <v>567780</v>
      </c>
      <c r="R20" s="3162">
        <v>567780</v>
      </c>
      <c r="S20" s="3162">
        <v>567780</v>
      </c>
      <c r="T20" s="3162">
        <v>567780</v>
      </c>
      <c r="U20" s="3162">
        <v>6813360</v>
      </c>
      <c r="V20" s="3162">
        <v>0</v>
      </c>
    </row>
    <row r="21" spans="1:22">
      <c r="D21" s="1405" t="s">
        <v>3461</v>
      </c>
      <c r="E21" s="1405" t="s">
        <v>3462</v>
      </c>
      <c r="F21" s="3165" t="s">
        <v>3463</v>
      </c>
      <c r="G21" s="1405" t="s">
        <v>3464</v>
      </c>
      <c r="H21" s="1405" t="s">
        <v>3465</v>
      </c>
    </row>
    <row r="22" spans="1:22">
      <c r="D22" s="3163">
        <f>F6+F7+F11</f>
        <v>346068</v>
      </c>
      <c r="E22" s="3164">
        <f>D4+D7+D11</f>
        <v>2543</v>
      </c>
      <c r="F22" s="3164">
        <f>ROUND(E22/E20*'数据-基础表'!I13,2)</f>
        <v>4008.57</v>
      </c>
      <c r="G22" s="3164">
        <f>D22/F22/30</f>
        <v>2.8777344539324496</v>
      </c>
      <c r="H22">
        <v>6.2</v>
      </c>
    </row>
    <row r="23" spans="1:22">
      <c r="F23" s="3164">
        <f>'数据-基础表'!I5-Sheet1!F22</f>
        <v>2539.2599999999998</v>
      </c>
      <c r="G23" s="3164"/>
      <c r="H23">
        <v>6.2</v>
      </c>
      <c r="L23">
        <v>14</v>
      </c>
    </row>
    <row r="24" spans="1:22">
      <c r="L24">
        <f>L23*0.5</f>
        <v>7</v>
      </c>
    </row>
    <row r="28" spans="1:22">
      <c r="F28">
        <v>2023</v>
      </c>
      <c r="G28">
        <v>2024</v>
      </c>
      <c r="H28">
        <v>2025</v>
      </c>
      <c r="I28">
        <v>2026</v>
      </c>
      <c r="J28">
        <v>2027</v>
      </c>
      <c r="K28">
        <v>2028</v>
      </c>
      <c r="L28">
        <v>2029</v>
      </c>
      <c r="M28">
        <v>2030</v>
      </c>
      <c r="N28">
        <v>2031</v>
      </c>
    </row>
    <row r="29" spans="1:22">
      <c r="E29" s="3163">
        <f>D4</f>
        <v>675</v>
      </c>
      <c r="F29">
        <f>ROUND(F6/D4/30,2)</f>
        <v>5.47</v>
      </c>
      <c r="G29">
        <f>F29</f>
        <v>5.47</v>
      </c>
      <c r="H29">
        <f>G29</f>
        <v>5.47</v>
      </c>
      <c r="I29">
        <f>ROUND(H29*1.05,2)</f>
        <v>5.74</v>
      </c>
      <c r="J29">
        <f>I29</f>
        <v>5.74</v>
      </c>
      <c r="K29">
        <f>J29</f>
        <v>5.74</v>
      </c>
      <c r="L29">
        <f>ROUND(K29*1.05,2)</f>
        <v>6.03</v>
      </c>
      <c r="M29">
        <f>L29</f>
        <v>6.03</v>
      </c>
      <c r="N29">
        <f>M29</f>
        <v>6.03</v>
      </c>
      <c r="O29">
        <f>ROUND(AVERAGE(F29:N29),2)</f>
        <v>5.75</v>
      </c>
    </row>
    <row r="30" spans="1:22">
      <c r="E30" s="3164">
        <f>D7</f>
        <v>1823</v>
      </c>
      <c r="F30">
        <f>ROUND(F7/D7/30,2)</f>
        <v>4.2</v>
      </c>
      <c r="G30">
        <f>F30</f>
        <v>4.2</v>
      </c>
      <c r="H30">
        <f>ROUND(F8/D7/30,2)</f>
        <v>4.55</v>
      </c>
      <c r="I30">
        <f>H30</f>
        <v>4.55</v>
      </c>
      <c r="J30">
        <f>I30</f>
        <v>4.55</v>
      </c>
      <c r="K30">
        <f>ROUND(F9/D7/30,2)</f>
        <v>4.92</v>
      </c>
      <c r="L30">
        <f>K30</f>
        <v>4.92</v>
      </c>
      <c r="M30">
        <f>L30</f>
        <v>4.92</v>
      </c>
      <c r="N30">
        <f>ROUND(F10/D7/30,2)</f>
        <v>5.3</v>
      </c>
      <c r="O30">
        <f t="shared" ref="O30:O31" si="0">ROUND(AVERAGE(F30:N30),2)</f>
        <v>4.68</v>
      </c>
    </row>
    <row r="31" spans="1:22">
      <c r="E31" s="3164">
        <f>D11</f>
        <v>45</v>
      </c>
      <c r="F31">
        <f>ROUND(F11/$D$11/30,2)</f>
        <v>4.2</v>
      </c>
      <c r="G31">
        <f>F31</f>
        <v>4.2</v>
      </c>
      <c r="H31">
        <f>ROUND(F12/$D$11/30,2)</f>
        <v>4.55</v>
      </c>
      <c r="I31">
        <f>H31</f>
        <v>4.55</v>
      </c>
      <c r="J31">
        <f>I31</f>
        <v>4.55</v>
      </c>
      <c r="K31">
        <f>ROUND(F13/$D$11/30,2)</f>
        <v>4.92</v>
      </c>
      <c r="L31">
        <f>K31</f>
        <v>4.92</v>
      </c>
      <c r="M31">
        <f>L31</f>
        <v>4.92</v>
      </c>
      <c r="N31">
        <f>ROUND(F14/$D$11/30,2)</f>
        <v>5.3</v>
      </c>
      <c r="O31">
        <f t="shared" si="0"/>
        <v>4.68</v>
      </c>
    </row>
    <row r="32" spans="1:22">
      <c r="O32" s="3164">
        <f>(E29*O29+E30*O30+E31*O31)/E22</f>
        <v>4.9640149429807314</v>
      </c>
    </row>
    <row r="33" spans="15:15">
      <c r="O33" s="3164">
        <f>O32*E22/F22</f>
        <v>3.1491254986192083</v>
      </c>
    </row>
  </sheetData>
  <mergeCells count="83">
    <mergeCell ref="P2:T2"/>
    <mergeCell ref="A4:A6"/>
    <mergeCell ref="B4:B6"/>
    <mergeCell ref="C4:C6"/>
    <mergeCell ref="D4:D6"/>
    <mergeCell ref="E4:E6"/>
    <mergeCell ref="I4:I6"/>
    <mergeCell ref="J4:J6"/>
    <mergeCell ref="K4:K6"/>
    <mergeCell ref="L4:L6"/>
    <mergeCell ref="A2:A3"/>
    <mergeCell ref="B2:B3"/>
    <mergeCell ref="C2:C3"/>
    <mergeCell ref="D2:D3"/>
    <mergeCell ref="E2:E3"/>
    <mergeCell ref="F2:H2"/>
    <mergeCell ref="I7:I10"/>
    <mergeCell ref="M4:M6"/>
    <mergeCell ref="N4:N6"/>
    <mergeCell ref="O4:O6"/>
    <mergeCell ref="P4:P6"/>
    <mergeCell ref="O7:O10"/>
    <mergeCell ref="J7:J10"/>
    <mergeCell ref="K7:K10"/>
    <mergeCell ref="L7:L10"/>
    <mergeCell ref="M7:M10"/>
    <mergeCell ref="N7:N10"/>
    <mergeCell ref="A7:A10"/>
    <mergeCell ref="B7:B10"/>
    <mergeCell ref="C7:C10"/>
    <mergeCell ref="D7:D10"/>
    <mergeCell ref="E7:E10"/>
    <mergeCell ref="S4:S6"/>
    <mergeCell ref="T4:T6"/>
    <mergeCell ref="U4:U6"/>
    <mergeCell ref="V4:V6"/>
    <mergeCell ref="Q4:Q6"/>
    <mergeCell ref="R4:R6"/>
    <mergeCell ref="V7:V10"/>
    <mergeCell ref="A11:A14"/>
    <mergeCell ref="B11:B14"/>
    <mergeCell ref="C11:C14"/>
    <mergeCell ref="D11:D14"/>
    <mergeCell ref="E11:E14"/>
    <mergeCell ref="I11:I14"/>
    <mergeCell ref="J11:J14"/>
    <mergeCell ref="K11:K14"/>
    <mergeCell ref="L11:L14"/>
    <mergeCell ref="P7:P10"/>
    <mergeCell ref="Q7:Q10"/>
    <mergeCell ref="R7:R10"/>
    <mergeCell ref="S7:S10"/>
    <mergeCell ref="T7:T10"/>
    <mergeCell ref="U7:U10"/>
    <mergeCell ref="I15:I19"/>
    <mergeCell ref="M11:M14"/>
    <mergeCell ref="N11:N14"/>
    <mergeCell ref="O11:O14"/>
    <mergeCell ref="P11:P14"/>
    <mergeCell ref="O15:O19"/>
    <mergeCell ref="J15:J19"/>
    <mergeCell ref="K15:K19"/>
    <mergeCell ref="L15:L19"/>
    <mergeCell ref="M15:M19"/>
    <mergeCell ref="N15:N19"/>
    <mergeCell ref="A15:A19"/>
    <mergeCell ref="B15:B19"/>
    <mergeCell ref="C15:C19"/>
    <mergeCell ref="D15:D19"/>
    <mergeCell ref="E15:E19"/>
    <mergeCell ref="S11:S14"/>
    <mergeCell ref="T11:T14"/>
    <mergeCell ref="U11:U14"/>
    <mergeCell ref="V11:V14"/>
    <mergeCell ref="Q11:Q14"/>
    <mergeCell ref="R11:R14"/>
    <mergeCell ref="V15:V19"/>
    <mergeCell ref="P15:P19"/>
    <mergeCell ref="Q15:Q19"/>
    <mergeCell ref="R15:R19"/>
    <mergeCell ref="S15:S19"/>
    <mergeCell ref="T15:T19"/>
    <mergeCell ref="U15:U19"/>
  </mergeCells>
  <phoneticPr fontId="134" type="noConversion"/>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19" sqref="F19"/>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1129</v>
      </c>
      <c r="B1" s="1071"/>
      <c r="C1" s="1071"/>
      <c r="D1" s="1071"/>
      <c r="E1" s="1071"/>
      <c r="F1" s="1071"/>
      <c r="G1" s="1071"/>
      <c r="H1" s="1071"/>
      <c r="I1" s="1071"/>
      <c r="J1" s="1071"/>
      <c r="K1" s="1071"/>
      <c r="L1" s="1071"/>
      <c r="M1" s="1071"/>
      <c r="N1" s="1071"/>
      <c r="O1" s="1071"/>
      <c r="P1" s="1071"/>
    </row>
    <row r="2" spans="1:16" ht="15">
      <c r="A2" s="3284" t="s">
        <v>1130</v>
      </c>
      <c r="B2" s="3284"/>
      <c r="C2" s="3284"/>
      <c r="D2" s="748" t="s">
        <v>1106</v>
      </c>
      <c r="E2" s="1523" t="s">
        <v>1107</v>
      </c>
      <c r="F2" s="2437"/>
      <c r="G2" s="2430"/>
      <c r="H2" s="2431"/>
      <c r="I2" s="2146" t="s">
        <v>1131</v>
      </c>
      <c r="J2" s="2437"/>
      <c r="K2" s="2437"/>
      <c r="L2" s="2437"/>
      <c r="M2" s="2437"/>
      <c r="N2" s="2438"/>
      <c r="O2" s="2437"/>
      <c r="P2" s="2437"/>
    </row>
    <row r="3" spans="1:16" ht="15.75" thickBot="1">
      <c r="A3" s="3285" t="s">
        <v>1104</v>
      </c>
      <c r="B3" s="3285"/>
      <c r="C3" s="3285"/>
      <c r="D3" s="41">
        <f>'数据-基础表'!AY6</f>
        <v>750.35</v>
      </c>
      <c r="E3" s="41">
        <f>'数据-基础表'!AZ5</f>
        <v>6547.83</v>
      </c>
      <c r="F3" s="2437"/>
      <c r="G3" s="42"/>
      <c r="H3" s="43" t="s">
        <v>1105</v>
      </c>
      <c r="I3" s="802">
        <f>ROUND('数据-基础表'!B3/'数据-基础表'!A3,2)</f>
        <v>8.73</v>
      </c>
      <c r="J3" s="2437"/>
      <c r="K3" s="2437"/>
      <c r="L3" s="2437"/>
      <c r="M3" s="2437"/>
      <c r="N3" s="2438"/>
      <c r="O3" s="2437"/>
      <c r="P3" s="2437"/>
    </row>
    <row r="4" spans="1:16" ht="15">
      <c r="A4" s="3286"/>
      <c r="B4" s="3287"/>
      <c r="C4" s="3288"/>
      <c r="D4" s="1524" t="s">
        <v>1106</v>
      </c>
      <c r="E4" s="1525" t="s">
        <v>1107</v>
      </c>
      <c r="F4" s="2437"/>
      <c r="G4" s="2432" t="s">
        <v>1132</v>
      </c>
      <c r="H4" s="43" t="s">
        <v>1112</v>
      </c>
      <c r="I4" s="802">
        <f>ROUND(SUMIF('数据-基础表'!I9:AS9,"地上",'数据-基础表'!I5:AS5)/'数据-基础表'!A3,2)</f>
        <v>8.73</v>
      </c>
      <c r="J4" s="2437"/>
      <c r="K4" s="2437"/>
      <c r="L4" s="2437"/>
      <c r="M4" s="2437"/>
      <c r="N4" s="2438"/>
      <c r="O4" s="2437"/>
      <c r="P4" s="2437"/>
    </row>
    <row r="5" spans="1:16">
      <c r="A5" s="42" t="s">
        <v>1108</v>
      </c>
      <c r="B5" s="3289" t="s">
        <v>1109</v>
      </c>
      <c r="C5" s="3289"/>
      <c r="D5" s="43">
        <f>ROUND($D$3*E5/$E$3,2)</f>
        <v>0</v>
      </c>
      <c r="E5" s="44">
        <f>SUMIF('数据-基础表'!$11:$11,"住宅",'数据-基础表'!$5:$5)</f>
        <v>0</v>
      </c>
      <c r="F5" s="2437"/>
      <c r="G5" s="42"/>
      <c r="H5" s="43" t="s">
        <v>1105</v>
      </c>
      <c r="I5" s="802">
        <f>ROUND(E31/D31,2)</f>
        <v>8.73</v>
      </c>
      <c r="J5" s="2437"/>
      <c r="K5" s="2437"/>
      <c r="L5" s="2437"/>
      <c r="M5" s="2437"/>
      <c r="N5" s="2437"/>
      <c r="O5" s="2437"/>
      <c r="P5" s="2437"/>
    </row>
    <row r="6" spans="1:16" ht="15" thickBot="1">
      <c r="A6" s="1527"/>
      <c r="B6" s="3289" t="s">
        <v>1110</v>
      </c>
      <c r="C6" s="3289"/>
      <c r="D6" s="43">
        <f>ROUND($D$3*E6/$E$3,2)</f>
        <v>750.35</v>
      </c>
      <c r="E6" s="44">
        <f>E3-E5</f>
        <v>6547.83</v>
      </c>
      <c r="F6" s="2437"/>
      <c r="G6" s="1529" t="s">
        <v>1111</v>
      </c>
      <c r="H6" s="45" t="s">
        <v>1112</v>
      </c>
      <c r="I6" s="2433">
        <f>ROUND(F31/D31,2)</f>
        <v>8.73</v>
      </c>
      <c r="J6" s="2437"/>
      <c r="K6" s="2437"/>
      <c r="L6" s="2437"/>
      <c r="M6" s="2437"/>
      <c r="N6" s="2437"/>
      <c r="O6" s="2437"/>
      <c r="P6" s="2437"/>
    </row>
    <row r="7" spans="1:16" ht="15.75" thickBot="1">
      <c r="A7" s="3281"/>
      <c r="B7" s="3282"/>
      <c r="C7" s="3283"/>
      <c r="D7" s="1524" t="s">
        <v>1106</v>
      </c>
      <c r="E7" s="1528" t="s">
        <v>1113</v>
      </c>
      <c r="F7" s="2437"/>
      <c r="G7" s="2434" t="s">
        <v>1114</v>
      </c>
      <c r="H7" s="95"/>
      <c r="I7" s="2435"/>
      <c r="J7" s="2437"/>
      <c r="K7" s="2437"/>
      <c r="L7" s="2437"/>
      <c r="M7" s="2437"/>
      <c r="N7" s="2437"/>
      <c r="O7" s="2437"/>
      <c r="P7" s="2437"/>
    </row>
    <row r="8" spans="1:16">
      <c r="A8" s="42" t="s">
        <v>1115</v>
      </c>
      <c r="B8" s="45" t="s">
        <v>1116</v>
      </c>
      <c r="C8" s="43" t="s">
        <v>1117</v>
      </c>
      <c r="D8" s="43">
        <f t="shared" ref="D8:D15" si="0">ROUND($D$3*E8/$E$3,2)</f>
        <v>750.35</v>
      </c>
      <c r="E8" s="46">
        <f>SUMIF('数据-基础表'!BB10:BK10,"地上",'数据-基础表'!BB5:BK5)</f>
        <v>6547.83</v>
      </c>
      <c r="F8" s="2437"/>
      <c r="G8" s="2437"/>
      <c r="H8" s="2437"/>
      <c r="I8" s="2437"/>
      <c r="J8" s="2437"/>
      <c r="K8" s="2437"/>
      <c r="L8" s="2437"/>
      <c r="M8" s="2437"/>
      <c r="N8" s="2437"/>
      <c r="O8" s="2437"/>
      <c r="P8" s="2437"/>
    </row>
    <row r="9" spans="1:16">
      <c r="A9" s="1529"/>
      <c r="B9" s="1530"/>
      <c r="C9" s="43" t="s">
        <v>1118</v>
      </c>
      <c r="D9" s="43">
        <f t="shared" si="0"/>
        <v>0</v>
      </c>
      <c r="E9" s="47">
        <v>0</v>
      </c>
      <c r="F9" s="2437"/>
      <c r="G9" s="2437"/>
      <c r="H9" s="2437"/>
      <c r="I9" s="2437"/>
      <c r="J9" s="2437"/>
      <c r="K9" s="2437"/>
      <c r="L9" s="2437"/>
      <c r="M9" s="2437"/>
      <c r="N9" s="2437"/>
      <c r="O9" s="2437"/>
      <c r="P9" s="2437"/>
    </row>
    <row r="10" spans="1:16">
      <c r="A10" s="1529"/>
      <c r="B10" s="1530"/>
      <c r="C10" s="43" t="s">
        <v>1127</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9"/>
      <c r="B11" s="1530"/>
      <c r="C11" s="43" t="s">
        <v>1119</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9"/>
      <c r="B12" s="1530"/>
      <c r="C12" s="43" t="s">
        <v>1120</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9"/>
      <c r="B13" s="1530"/>
      <c r="C13" s="43" t="s">
        <v>1121</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9"/>
      <c r="B14" s="1530"/>
      <c r="C14" s="43" t="s">
        <v>1133</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1128</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7"/>
      <c r="B16" s="1530"/>
      <c r="C16" s="45" t="s">
        <v>1122</v>
      </c>
      <c r="D16" s="45">
        <f>SUM(D8:D15)</f>
        <v>750.35</v>
      </c>
      <c r="E16" s="48">
        <f>SUM(E8:E15)</f>
        <v>6547.83</v>
      </c>
      <c r="F16" s="2437"/>
      <c r="G16" s="2437"/>
      <c r="H16" s="1531" t="s">
        <v>1134</v>
      </c>
      <c r="I16" s="1532"/>
      <c r="J16" s="1071"/>
      <c r="K16" s="3278" t="s">
        <v>1134</v>
      </c>
      <c r="L16" s="3279"/>
      <c r="M16" s="3279"/>
      <c r="N16" s="3279"/>
      <c r="O16" s="3279"/>
      <c r="P16" s="3280"/>
    </row>
    <row r="17" spans="1:19" ht="15">
      <c r="A17" s="1533" t="s">
        <v>1135</v>
      </c>
      <c r="B17" s="1534" t="s">
        <v>1136</v>
      </c>
      <c r="C17" s="1535" t="s">
        <v>1137</v>
      </c>
      <c r="D17" s="1536" t="s">
        <v>1125</v>
      </c>
      <c r="E17" s="1537" t="s">
        <v>1126</v>
      </c>
      <c r="F17" s="1538"/>
      <c r="G17" s="1539"/>
      <c r="H17" s="1540" t="s">
        <v>1138</v>
      </c>
      <c r="I17" s="1541" t="s">
        <v>1123</v>
      </c>
      <c r="J17" s="1071"/>
      <c r="K17" s="3275" t="s">
        <v>1139</v>
      </c>
      <c r="L17" s="3276"/>
      <c r="M17" s="3277"/>
      <c r="N17" s="3275" t="s">
        <v>1140</v>
      </c>
      <c r="O17" s="3276"/>
      <c r="P17" s="3277"/>
      <c r="R17" s="769" t="s">
        <v>1141</v>
      </c>
      <c r="S17" s="54"/>
    </row>
    <row r="18" spans="1:19" ht="15">
      <c r="A18" s="1529"/>
      <c r="B18" s="1526"/>
      <c r="C18" s="1542"/>
      <c r="D18" s="1543"/>
      <c r="E18" s="1544" t="s">
        <v>1142</v>
      </c>
      <c r="F18" s="1545" t="s">
        <v>1143</v>
      </c>
      <c r="G18" s="1546" t="s">
        <v>1144</v>
      </c>
      <c r="H18" s="980" t="s">
        <v>1145</v>
      </c>
      <c r="I18" s="1547" t="s">
        <v>1146</v>
      </c>
      <c r="J18" s="1071"/>
      <c r="K18" s="980" t="s">
        <v>1147</v>
      </c>
      <c r="L18" s="1548" t="s">
        <v>1148</v>
      </c>
      <c r="M18" s="802" t="s">
        <v>1149</v>
      </c>
      <c r="N18" s="980" t="s">
        <v>1147</v>
      </c>
      <c r="O18" s="1548" t="s">
        <v>1148</v>
      </c>
      <c r="P18" s="802" t="s">
        <v>1149</v>
      </c>
      <c r="R18" s="43" t="s">
        <v>1150</v>
      </c>
      <c r="S18" s="43" t="s">
        <v>1151</v>
      </c>
    </row>
    <row r="19" spans="1:19">
      <c r="A19" s="1549"/>
      <c r="B19" s="45" t="s">
        <v>1124</v>
      </c>
      <c r="C19" s="3114" t="s">
        <v>3458</v>
      </c>
      <c r="D19" s="43">
        <f>ROUND($D$3*E19/$E$3,2)</f>
        <v>459.36</v>
      </c>
      <c r="E19" s="51">
        <f t="shared" ref="E19:E26" si="1">SUM(F19:G19)</f>
        <v>4008.57</v>
      </c>
      <c r="F19" s="3166">
        <f>Sheet1!F22</f>
        <v>4008.57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459.36</v>
      </c>
      <c r="S19" s="51">
        <f t="shared" si="5"/>
        <v>4008.57</v>
      </c>
    </row>
    <row r="20" spans="1:19">
      <c r="A20" s="1549"/>
      <c r="B20" s="45" t="s">
        <v>1152</v>
      </c>
      <c r="C20" s="3114" t="s">
        <v>3460</v>
      </c>
      <c r="D20" s="43">
        <f t="shared" ref="D20:D26" si="6">ROUND($D$3*E20/$E$3,2)</f>
        <v>290.99</v>
      </c>
      <c r="E20" s="51">
        <f t="shared" si="1"/>
        <v>2539.2599999999998</v>
      </c>
      <c r="F20" s="3166">
        <f>Sheet1!F23</f>
        <v>2539.2599999999998</v>
      </c>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290.99</v>
      </c>
      <c r="S20" s="51">
        <f t="shared" si="5"/>
        <v>2539.2599999999998</v>
      </c>
    </row>
    <row r="21" spans="1:19">
      <c r="A21" s="1549"/>
      <c r="B21" s="45" t="s">
        <v>1152</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1152</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1152</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1152</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1152</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1152</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1153</v>
      </c>
      <c r="D27" s="1072">
        <f>SUM(D19:D26)</f>
        <v>750.35</v>
      </c>
      <c r="E27" s="1073">
        <f>IF(SUM(E19:E26)='数据-基础表'!BA5,SUM(E19:E26),IF(F27="地上面积有误","面积有误","地下面积有误"))</f>
        <v>6547.83</v>
      </c>
      <c r="F27" s="1072">
        <f>IF(SUM(F19:F26)=E8,SUM(F19:F26),"地上面积有误")</f>
        <v>6547.83</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750.35</v>
      </c>
      <c r="S27" s="43">
        <f>IF(SUM(S19:S26)=$E$3,SUM(S19:S26),SUM(S19:S26)&amp;"误差"&amp;ROUND(SUM(S19:S26)-E3,2))</f>
        <v>6547.83</v>
      </c>
    </row>
    <row r="28" spans="1:19">
      <c r="A28" s="1549"/>
      <c r="B28" s="45" t="s">
        <v>1154</v>
      </c>
      <c r="C28" s="54" t="s">
        <v>1155</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9"/>
      <c r="B29" s="45" t="s">
        <v>1154</v>
      </c>
      <c r="C29" s="1555" t="s">
        <v>1156</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9"/>
      <c r="B30" s="45"/>
      <c r="C30" s="1556" t="s">
        <v>1153</v>
      </c>
      <c r="D30" s="1072">
        <f>SUM(D28:D29)</f>
        <v>0</v>
      </c>
      <c r="E30" s="1072">
        <f>SUM(E28:E29)</f>
        <v>0</v>
      </c>
      <c r="F30" s="1072">
        <f>SUM(F28:F29)</f>
        <v>0</v>
      </c>
      <c r="G30" s="1074">
        <f>SUM(G28:G29)</f>
        <v>0</v>
      </c>
      <c r="H30" s="2437"/>
      <c r="I30" s="2437"/>
      <c r="J30" s="2437"/>
      <c r="K30" s="2437"/>
      <c r="L30" s="2437"/>
      <c r="M30" s="2437"/>
      <c r="N30" s="2437"/>
      <c r="O30" s="2437"/>
      <c r="P30" s="2437"/>
    </row>
    <row r="31" spans="1:19" ht="15.75" thickBot="1">
      <c r="A31" s="1557"/>
      <c r="B31" s="96"/>
      <c r="C31" s="785" t="s">
        <v>1157</v>
      </c>
      <c r="D31" s="643">
        <f>D27+D30</f>
        <v>750.35</v>
      </c>
      <c r="E31" s="643">
        <f>E27+E30</f>
        <v>6547.83</v>
      </c>
      <c r="F31" s="644">
        <f>F27+F30</f>
        <v>6547.83</v>
      </c>
      <c r="G31" s="645">
        <f>G27+G30</f>
        <v>0</v>
      </c>
      <c r="H31" s="2437"/>
      <c r="I31" s="2437"/>
      <c r="J31" s="2437"/>
      <c r="K31" s="2437"/>
      <c r="L31" s="2437"/>
      <c r="M31" s="2437"/>
      <c r="N31" s="2437"/>
      <c r="O31" s="2437"/>
      <c r="P31" s="2437"/>
    </row>
    <row r="32" spans="1:19">
      <c r="A32" s="1526"/>
      <c r="B32" s="1526" t="s">
        <v>1158</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Z6" activePane="bottomRight" state="frozen"/>
      <selection activeCell="C50" sqref="C50"/>
      <selection pane="topRight" activeCell="C50" sqref="C50"/>
      <selection pane="bottomLeft" activeCell="C50" sqref="C50"/>
      <selection pane="bottomRight" activeCell="L32" sqref="L32"/>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1159</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75" thickBot="1">
      <c r="A2" s="1562" t="s">
        <v>1160</v>
      </c>
      <c r="B2" s="984">
        <f>项目基本情况!D3</f>
        <v>45051</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1161</v>
      </c>
      <c r="B4" s="1564"/>
      <c r="C4" s="1565"/>
      <c r="D4" s="1566"/>
      <c r="E4" s="1565" t="s">
        <v>1162</v>
      </c>
      <c r="F4" s="1565"/>
      <c r="G4" s="1565"/>
      <c r="H4" s="1565"/>
      <c r="I4" s="1565"/>
      <c r="J4" s="1567"/>
      <c r="K4" s="1568"/>
      <c r="L4" s="1569"/>
      <c r="M4" s="1565"/>
      <c r="N4" s="1565" t="s">
        <v>1163</v>
      </c>
      <c r="O4" s="1565"/>
      <c r="P4" s="1565"/>
      <c r="Q4" s="1565"/>
      <c r="R4" s="1565"/>
      <c r="S4" s="1567"/>
      <c r="T4" s="2436" t="str">
        <f>'数据-汇总表'!I17</f>
        <v>按面积比例</v>
      </c>
      <c r="U4" s="1564" t="s">
        <v>1164</v>
      </c>
      <c r="V4" s="1565"/>
      <c r="W4" s="1565"/>
      <c r="X4" s="1565"/>
      <c r="Y4" s="1567"/>
      <c r="Z4" s="1535" t="s">
        <v>1165</v>
      </c>
      <c r="AA4" s="1535"/>
      <c r="AB4" s="1535"/>
      <c r="AC4" s="1535"/>
      <c r="AD4" s="1535"/>
      <c r="AE4" s="1533" t="s">
        <v>1166</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1167</v>
      </c>
      <c r="B5" s="1572" t="s">
        <v>1168</v>
      </c>
      <c r="C5" s="1573" t="s">
        <v>1169</v>
      </c>
      <c r="D5" s="1574" t="s">
        <v>1170</v>
      </c>
      <c r="E5" s="504" t="s">
        <v>1171</v>
      </c>
      <c r="F5" s="1575" t="s">
        <v>1172</v>
      </c>
      <c r="G5" s="504" t="s">
        <v>1173</v>
      </c>
      <c r="H5" s="504" t="s">
        <v>1174</v>
      </c>
      <c r="I5" s="504" t="s">
        <v>1175</v>
      </c>
      <c r="J5" s="1247" t="s">
        <v>1176</v>
      </c>
      <c r="K5" s="1576" t="s">
        <v>1177</v>
      </c>
      <c r="L5" s="1577" t="s">
        <v>1178</v>
      </c>
      <c r="M5" s="1578" t="s">
        <v>1179</v>
      </c>
      <c r="N5" s="1579" t="s">
        <v>3395</v>
      </c>
      <c r="O5" s="1577" t="s">
        <v>1180</v>
      </c>
      <c r="P5" s="1580" t="s">
        <v>1181</v>
      </c>
      <c r="Q5" s="58" t="s">
        <v>1182</v>
      </c>
      <c r="R5" s="1581" t="s">
        <v>1183</v>
      </c>
      <c r="S5" s="1582" t="s">
        <v>1184</v>
      </c>
      <c r="T5" s="1583" t="s">
        <v>1185</v>
      </c>
      <c r="U5" s="985" t="s">
        <v>1186</v>
      </c>
      <c r="V5" s="504" t="s">
        <v>1187</v>
      </c>
      <c r="W5" s="504" t="s">
        <v>1188</v>
      </c>
      <c r="X5" s="60"/>
      <c r="Y5" s="59" t="s">
        <v>1189</v>
      </c>
      <c r="Z5" s="1101" t="s">
        <v>1186</v>
      </c>
      <c r="AA5" s="504" t="s">
        <v>1187</v>
      </c>
      <c r="AB5" s="504" t="s">
        <v>1188</v>
      </c>
      <c r="AC5" s="60"/>
      <c r="AD5" s="60" t="s">
        <v>1189</v>
      </c>
      <c r="AE5" s="985" t="s">
        <v>1190</v>
      </c>
      <c r="AF5" s="504" t="s">
        <v>1191</v>
      </c>
      <c r="AG5" s="59" t="s">
        <v>1192</v>
      </c>
      <c r="AH5" s="985" t="s">
        <v>1193</v>
      </c>
      <c r="AI5" s="1101" t="s">
        <v>1194</v>
      </c>
      <c r="AJ5" s="1101" t="s">
        <v>1195</v>
      </c>
      <c r="AK5" s="504" t="s">
        <v>1196</v>
      </c>
      <c r="AL5" s="504" t="s">
        <v>1197</v>
      </c>
      <c r="AM5" s="59" t="s">
        <v>1198</v>
      </c>
      <c r="AN5" s="1584" t="s">
        <v>1199</v>
      </c>
      <c r="AO5" s="1454" t="s">
        <v>1200</v>
      </c>
      <c r="AP5" s="968" t="s">
        <v>1201</v>
      </c>
      <c r="AQ5" s="1585" t="s">
        <v>1202</v>
      </c>
      <c r="AR5" s="1585" t="s">
        <v>1203</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已出租</v>
      </c>
      <c r="B6" s="1587" t="str">
        <f>IF(A6=0,"","经营性")</f>
        <v>经营性</v>
      </c>
      <c r="C6" s="1588" t="s">
        <v>673</v>
      </c>
      <c r="D6" s="805">
        <f>SUMIF(项目基本情况!C$12:I$12,C6,项目基本情况!C$14:I$14)</f>
        <v>40</v>
      </c>
      <c r="E6" s="804">
        <f>IF(B6="","",SUMIF(项目基本情况!C$12:I$12,C6,项目基本情况!C$13:I$13))</f>
        <v>48977</v>
      </c>
      <c r="F6" s="61">
        <f>SUMIF(项目基本情况!C$12:I$12,C6,项目基本情况!C$15:I$15)</f>
        <v>10.75</v>
      </c>
      <c r="G6" s="62">
        <f>IF(ISERROR(ROUND(POWER(1+H6,D6-F6)*(POWER(1+H6,F6)-1)/(POWER(1+H6,D6)-1),3)),0,ROUND(POWER(1+H6,D6-F6)*(POWER(1+H6,F6)-1)/(POWER(1+H6,D6)-1),3))</f>
        <v>0.47599999999999998</v>
      </c>
      <c r="H6" s="691">
        <v>0.05</v>
      </c>
      <c r="I6" s="691">
        <v>5.5E-2</v>
      </c>
      <c r="J6" s="63">
        <v>7.0000000000000007E-2</v>
      </c>
      <c r="K6" s="970">
        <f>SUMIF('数据-汇总表'!C$19:C$33,A6,'数据-汇总表'!E$19:E$33)</f>
        <v>4008.57</v>
      </c>
      <c r="L6" s="692">
        <v>5700</v>
      </c>
      <c r="M6" s="64">
        <f t="shared" ref="M6:M14" si="0">ROUND(K6*L6/10000,0)</f>
        <v>2285</v>
      </c>
      <c r="N6" s="690">
        <f>N20</f>
        <v>0.85</v>
      </c>
      <c r="O6" s="64" t="str">
        <f>IF($N$5="成新度","——",ROUND(M6*N6,0))</f>
        <v>——</v>
      </c>
      <c r="P6" s="65" t="str">
        <f>IF($N$5="成新度","——",M6-O6)</f>
        <v>——</v>
      </c>
      <c r="Q6" s="693">
        <v>0.2</v>
      </c>
      <c r="R6" s="66">
        <f ca="1">SUMIF('数据-汇总表'!C$19:C$33,A6,'数据-汇总表'!R$19:R$27)</f>
        <v>459.36</v>
      </c>
      <c r="S6" s="49">
        <f>IF('数据-汇总表'!$I$17="按面积比例",SUMIF('数据-汇总表'!C$19:C$33,A6,'数据-汇总表'!K$19:K$33),SUMIF('数据-汇总表'!C$19:C$33,A6,'数据-汇总表'!N$19:N$33))</f>
        <v>0</v>
      </c>
      <c r="T6" s="1092">
        <f>ROUND($L$14*S6/10000,0)</f>
        <v>0</v>
      </c>
      <c r="U6" s="3167">
        <f>ROUND(Sheet1!O33,2)</f>
        <v>3.15</v>
      </c>
      <c r="V6" s="3168">
        <v>0</v>
      </c>
      <c r="W6" s="67">
        <v>0</v>
      </c>
      <c r="X6" s="979"/>
      <c r="Y6" s="68">
        <f>N6</f>
        <v>0.85</v>
      </c>
      <c r="Z6" s="69">
        <f>ROUND(U7*(1+3%)^'数据-取费表'!AF6,2)</f>
        <v>7.67</v>
      </c>
      <c r="AA6" s="63">
        <v>0.03</v>
      </c>
      <c r="AB6" s="63">
        <f>W7</f>
        <v>0.1</v>
      </c>
      <c r="AC6" s="979"/>
      <c r="AD6" s="70">
        <v>0.75</v>
      </c>
      <c r="AE6" s="980">
        <f ca="1">IF(AN6="",0,SUMIF(INDIRECT("'"&amp;AN6&amp;"'"&amp;"!E:E"),$AE$5,INDIRECT("'"&amp;AN6&amp;"'"&amp;"!F:F")))</f>
        <v>10.75</v>
      </c>
      <c r="AF6" s="74">
        <v>8.32</v>
      </c>
      <c r="AG6" s="130">
        <f ca="1">IF(AF6="",0,AE6-AF6)</f>
        <v>2.4299999999999997</v>
      </c>
      <c r="AH6" s="71"/>
      <c r="AI6" s="73">
        <v>365</v>
      </c>
      <c r="AJ6" s="74"/>
      <c r="AK6" s="75">
        <v>5.0000000000000001E-3</v>
      </c>
      <c r="AL6" s="76">
        <v>1E-3</v>
      </c>
      <c r="AM6" s="3169">
        <v>0.01</v>
      </c>
      <c r="AN6" s="1589" t="s">
        <v>3399</v>
      </c>
      <c r="AO6" s="50">
        <f ca="1">SUMIF(INDIRECT("'"&amp;AN6&amp;"'"&amp;"!A:A"),"总价",INDIRECT("'"&amp;AN6&amp;"'"&amp;"!B:B"))</f>
        <v>4170</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t="str">
        <f>'数据-汇总表'!C20</f>
        <v>未出租</v>
      </c>
      <c r="B7" s="1587" t="str">
        <f t="shared" ref="B7:B13" si="1">IF(A7=0,"","经营性")</f>
        <v>经营性</v>
      </c>
      <c r="C7" s="1588" t="s">
        <v>673</v>
      </c>
      <c r="D7" s="805">
        <f>SUMIF(项目基本情况!C$12:I$12,C7,项目基本情况!C$14:I$14)</f>
        <v>40</v>
      </c>
      <c r="E7" s="804">
        <f>IF(B7="","",SUMIF(项目基本情况!C$12:I$12,C7,项目基本情况!C$13:I$13))</f>
        <v>48977</v>
      </c>
      <c r="F7" s="61">
        <f>SUMIF(项目基本情况!C$12:I$12,C7,项目基本情况!C$15:I$15)</f>
        <v>10.75</v>
      </c>
      <c r="G7" s="62">
        <f t="shared" ref="G7:G11" si="2">IF(ISERROR(ROUND(POWER(1+H7,D7-F7)*(POWER(1+H7,F7)-1)/(POWER(1+H7,D7)-1),3)),0,ROUND(POWER(1+H7,D7-F7)*(POWER(1+H7,F7)-1)/(POWER(1+H7,D7)-1),3))</f>
        <v>0.47599999999999998</v>
      </c>
      <c r="H7" s="691">
        <v>0.05</v>
      </c>
      <c r="I7" s="691">
        <v>5.5E-2</v>
      </c>
      <c r="J7" s="63">
        <v>7.0000000000000007E-2</v>
      </c>
      <c r="K7" s="970">
        <f>SUMIF('数据-汇总表'!C$19:C$33,A7,'数据-汇总表'!E$19:E$33)</f>
        <v>2539.2599999999998</v>
      </c>
      <c r="L7" s="692">
        <f>L6</f>
        <v>5700</v>
      </c>
      <c r="M7" s="64">
        <f t="shared" si="0"/>
        <v>1447</v>
      </c>
      <c r="N7" s="690">
        <f>N6</f>
        <v>0.85</v>
      </c>
      <c r="O7" s="64" t="str">
        <f t="shared" ref="O7:O14" si="3">IF($N$5="成新度","——",ROUND(M7*N7,0))</f>
        <v>——</v>
      </c>
      <c r="P7" s="65" t="str">
        <f t="shared" ref="P7:P14" si="4">IF($N$5="成新度","——",M7-O7)</f>
        <v>——</v>
      </c>
      <c r="Q7" s="693">
        <v>0.2</v>
      </c>
      <c r="R7" s="66">
        <f ca="1">SUMIF('数据-汇总表'!C$19:C$33,A7,'数据-汇总表'!R$19:R$27)</f>
        <v>290.99</v>
      </c>
      <c r="S7" s="49">
        <f>IF('数据-汇总表'!$I$17="按面积比例",SUMIF('数据-汇总表'!C$19:C$33,A7,'数据-汇总表'!K$19:K$33),SUMIF('数据-汇总表'!C$19:C$33,A7,'数据-汇总表'!N$19:N$33))</f>
        <v>0</v>
      </c>
      <c r="T7" s="1092">
        <f t="shared" ref="T7:T13" si="5">ROUND($L$14*S7/10000,0)</f>
        <v>0</v>
      </c>
      <c r="U7" s="3125">
        <v>6</v>
      </c>
      <c r="V7" s="67">
        <v>0.03</v>
      </c>
      <c r="W7" s="67">
        <v>0.1</v>
      </c>
      <c r="X7" s="979"/>
      <c r="Y7" s="68">
        <f>N7</f>
        <v>0.85</v>
      </c>
      <c r="Z7" s="69"/>
      <c r="AA7" s="63"/>
      <c r="AB7" s="63"/>
      <c r="AC7" s="979"/>
      <c r="AD7" s="70"/>
      <c r="AE7" s="980">
        <f t="shared" ref="AE7:AE13" ca="1" si="6">IF(AN7="",0,SUMIF(INDIRECT("'"&amp;AN7&amp;"'"&amp;"!E:E"),$AE$5,INDIRECT("'"&amp;AN7&amp;"'"&amp;"!F:F")))</f>
        <v>10.75</v>
      </c>
      <c r="AF7" s="74"/>
      <c r="AG7" s="130">
        <f t="shared" ref="AG7:AG13" si="7">IF(AF7="",0,AE7-AF7)</f>
        <v>0</v>
      </c>
      <c r="AH7" s="71"/>
      <c r="AI7" s="73">
        <v>365</v>
      </c>
      <c r="AJ7" s="74"/>
      <c r="AK7" s="75">
        <f>AK6</f>
        <v>5.0000000000000001E-3</v>
      </c>
      <c r="AL7" s="76">
        <v>1E-3</v>
      </c>
      <c r="AM7" s="77">
        <f>AM6</f>
        <v>0.01</v>
      </c>
      <c r="AN7" s="1589" t="s">
        <v>3466</v>
      </c>
      <c r="AO7" s="50">
        <f t="shared" ref="AO7:AO13" ca="1" si="8">SUMIF(INDIRECT("'"&amp;AN7&amp;"'"&amp;"!A:A"),"总价",INDIRECT("'"&amp;AN7&amp;"'"&amp;"!B:B"))</f>
        <v>4033</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1204</v>
      </c>
      <c r="B14" s="1587" t="s">
        <v>1205</v>
      </c>
      <c r="C14" s="1592" t="s">
        <v>1204</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1206</v>
      </c>
      <c r="B15" s="1587" t="s">
        <v>1205</v>
      </c>
      <c r="C15" s="1592" t="s">
        <v>1207</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1208</v>
      </c>
      <c r="B16" s="82"/>
      <c r="C16" s="783"/>
      <c r="D16" s="1594"/>
      <c r="E16" s="82"/>
      <c r="F16" s="82"/>
      <c r="G16" s="83">
        <f>ROUND(SUMPRODUCT(G6:G13,K6:K13)/SUMPRODUCT((G6:G13&gt;0)*(K6:K13)),3)</f>
        <v>0.47599999999999998</v>
      </c>
      <c r="H16" s="84">
        <f>ROUND(SUMPRODUCT(H6:H13,K6:K13)/SUMPRODUCT((H6:H13&gt;0)*(K6:K13)),3)</f>
        <v>0.05</v>
      </c>
      <c r="I16" s="85"/>
      <c r="J16" s="85"/>
      <c r="K16" s="86">
        <f>SUM(K6:K15)</f>
        <v>6547.83</v>
      </c>
      <c r="L16" s="87">
        <f>ROUND(M16*10000/SUM(K6:K14),0)</f>
        <v>5700</v>
      </c>
      <c r="M16" s="87">
        <f>SUM(M6:M14)</f>
        <v>3732</v>
      </c>
      <c r="N16" s="88">
        <f>ROUND(SUMPRODUCT(M6:M14,N6:N14)/M16,3)</f>
        <v>0.85</v>
      </c>
      <c r="O16" s="87">
        <f>SUM(O6:O14)</f>
        <v>0</v>
      </c>
      <c r="P16" s="87">
        <f>SUM(P6:P14)</f>
        <v>0</v>
      </c>
      <c r="Q16" s="89">
        <f>ROUND(SUMPRODUCT(Q6:Q13,K6:K13)/SUMPRODUCT((Q6:Q13&gt;0)*(K6:K13)),2)</f>
        <v>0.2</v>
      </c>
      <c r="R16" s="974">
        <f ca="1">SUM(R6:R13)</f>
        <v>750.35</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1209</v>
      </c>
      <c r="B18" s="2459"/>
      <c r="C18" s="2437"/>
      <c r="D18" s="2450"/>
      <c r="E18" s="2437"/>
      <c r="F18" s="2437"/>
      <c r="G18" s="2437"/>
      <c r="H18" s="2437"/>
      <c r="I18" s="2437"/>
      <c r="J18" s="2437"/>
      <c r="K18" s="2448"/>
      <c r="L18" s="2448"/>
      <c r="M18" s="2447"/>
      <c r="N18" s="2447"/>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6" t="s">
        <v>1210</v>
      </c>
      <c r="B19" s="97"/>
      <c r="C19" s="2559" t="s">
        <v>2300</v>
      </c>
      <c r="D19" s="2450"/>
      <c r="E19" s="2437"/>
      <c r="F19" s="2437"/>
      <c r="G19" s="2437"/>
      <c r="H19" s="2437"/>
      <c r="I19" s="2437"/>
      <c r="J19" s="2437"/>
      <c r="K19" s="2448"/>
      <c r="L19" s="2448"/>
      <c r="M19" s="3145" t="s">
        <v>3396</v>
      </c>
      <c r="N19" s="3146">
        <f>ROUND(1-(2023-1996)/60,2)</f>
        <v>0.55000000000000004</v>
      </c>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25">
      <c r="A20" s="1597" t="s">
        <v>1211</v>
      </c>
      <c r="B20" s="98">
        <v>3</v>
      </c>
      <c r="C20" s="2560" t="s">
        <v>2298</v>
      </c>
      <c r="D20" s="2450"/>
      <c r="E20" s="2437"/>
      <c r="F20" s="2437"/>
      <c r="G20" s="2437"/>
      <c r="H20" s="2437"/>
      <c r="I20" s="2437"/>
      <c r="J20" s="2437"/>
      <c r="K20" s="2448"/>
      <c r="L20" s="2448"/>
      <c r="M20" s="3145" t="s">
        <v>3397</v>
      </c>
      <c r="N20" s="3146">
        <v>0.85</v>
      </c>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25">
      <c r="A21" s="1598" t="s">
        <v>1212</v>
      </c>
      <c r="B21" s="98">
        <v>3</v>
      </c>
      <c r="C21" s="2437"/>
      <c r="D21" s="2450"/>
      <c r="E21" s="2437"/>
      <c r="F21" s="2437"/>
      <c r="G21" s="2437"/>
      <c r="H21" s="2437"/>
      <c r="I21" s="2437"/>
      <c r="J21" s="2437"/>
      <c r="K21" s="2448"/>
      <c r="L21" s="2448"/>
      <c r="M21" s="3145" t="s">
        <v>3398</v>
      </c>
      <c r="N21" s="3146">
        <f>ROUND((N19+N20)/2,2)</f>
        <v>0.7</v>
      </c>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7" t="s">
        <v>1213</v>
      </c>
      <c r="B22" s="99">
        <f>B19+B20</f>
        <v>3</v>
      </c>
      <c r="C22" s="2437"/>
      <c r="D22" s="2450"/>
      <c r="E22" s="2437"/>
      <c r="F22" s="2437"/>
      <c r="G22" s="2437"/>
      <c r="H22" s="2437"/>
      <c r="I22" s="2437"/>
      <c r="J22" s="2437"/>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25">
      <c r="A23" s="1598" t="s">
        <v>1214</v>
      </c>
      <c r="B23" s="99">
        <f>B19+B21</f>
        <v>3</v>
      </c>
      <c r="C23" s="2437"/>
      <c r="D23" s="2450"/>
      <c r="E23" s="2437"/>
      <c r="F23" s="2437"/>
      <c r="G23" s="2437"/>
      <c r="H23" s="2437"/>
      <c r="I23" s="2437"/>
      <c r="J23" s="2437"/>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1215</v>
      </c>
      <c r="B24" s="100">
        <f>B20-B21</f>
        <v>0</v>
      </c>
      <c r="C24" s="2437"/>
      <c r="D24" s="2450"/>
      <c r="E24" s="2437"/>
      <c r="F24" s="2437"/>
      <c r="G24" s="2437"/>
      <c r="H24" s="2437"/>
      <c r="I24" s="2437"/>
      <c r="J24" s="2437"/>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9"/>
      <c r="B25" s="1542"/>
      <c r="C25" s="2437"/>
      <c r="D25" s="2450"/>
      <c r="E25" s="2437"/>
      <c r="F25" s="2437"/>
      <c r="G25" s="2437"/>
      <c r="H25" s="2437"/>
      <c r="I25" s="2437"/>
      <c r="J25" s="2437"/>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1216</v>
      </c>
      <c r="B26" s="1600" t="s">
        <v>1217</v>
      </c>
      <c r="C26" s="2451" t="s">
        <v>1218</v>
      </c>
      <c r="D26" s="2450"/>
      <c r="E26" s="2437"/>
      <c r="F26" s="2437"/>
      <c r="G26" s="2437"/>
      <c r="H26" s="2437"/>
      <c r="I26" s="2437"/>
      <c r="J26" s="2437"/>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601" t="s">
        <v>1219</v>
      </c>
      <c r="B27" s="101">
        <v>160</v>
      </c>
      <c r="C27" s="2561" t="s">
        <v>2302</v>
      </c>
      <c r="D27" s="2453"/>
      <c r="E27" s="2438"/>
      <c r="F27" s="2438"/>
      <c r="G27" s="2437"/>
      <c r="H27" s="2437"/>
      <c r="I27" s="2437"/>
      <c r="J27" s="2437"/>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2" t="s">
        <v>1220</v>
      </c>
      <c r="B28" s="103">
        <v>200</v>
      </c>
      <c r="C28" s="2454"/>
      <c r="D28" s="2453"/>
      <c r="E28" s="2438"/>
      <c r="F28" s="2438"/>
      <c r="G28" s="2437"/>
      <c r="H28" s="2437"/>
      <c r="I28" s="2437"/>
      <c r="J28" s="2437"/>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3" t="s">
        <v>1221</v>
      </c>
      <c r="B29" s="105">
        <f>ROUND(200*K16/10000,0)</f>
        <v>131</v>
      </c>
      <c r="C29" s="2562" t="s">
        <v>2289</v>
      </c>
      <c r="D29" s="2453"/>
      <c r="E29" s="2438"/>
      <c r="F29" s="2438"/>
      <c r="G29" s="2437"/>
      <c r="H29" s="2437"/>
      <c r="I29" s="2437"/>
      <c r="J29" s="2437"/>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4" t="s">
        <v>1222</v>
      </c>
      <c r="B30" s="638">
        <v>200</v>
      </c>
      <c r="C30" s="2454"/>
      <c r="D30" s="2453"/>
      <c r="E30" s="2438"/>
      <c r="F30" s="2438"/>
      <c r="G30" s="2437"/>
      <c r="H30" s="2437"/>
      <c r="I30" s="2437"/>
      <c r="J30" s="2437"/>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2" t="s">
        <v>1223</v>
      </c>
      <c r="B31" s="104">
        <f>B30-B32</f>
        <v>200</v>
      </c>
      <c r="C31" s="2452"/>
      <c r="D31" s="2453"/>
      <c r="E31" s="2438"/>
      <c r="F31" s="2438"/>
      <c r="G31" s="2437"/>
      <c r="H31" s="2437"/>
      <c r="I31" s="2437"/>
      <c r="J31" s="2437"/>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5" t="s">
        <v>1224</v>
      </c>
      <c r="B32" s="639"/>
      <c r="C32" s="2454"/>
      <c r="D32" s="2450"/>
      <c r="E32" s="2437"/>
      <c r="F32" s="2437"/>
      <c r="G32" s="2437"/>
      <c r="H32" s="2437"/>
      <c r="I32" s="2437"/>
      <c r="J32" s="2437"/>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601" t="s">
        <v>1225</v>
      </c>
      <c r="B33" s="640">
        <v>0.04</v>
      </c>
      <c r="C33" s="2563" t="s">
        <v>2290</v>
      </c>
      <c r="D33" s="2450"/>
      <c r="E33" s="2437"/>
      <c r="F33" s="2437"/>
      <c r="G33" s="2437"/>
      <c r="H33" s="2437"/>
      <c r="I33" s="2437"/>
      <c r="J33" s="2437"/>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2" t="s">
        <v>1226</v>
      </c>
      <c r="B34" s="106">
        <v>0</v>
      </c>
      <c r="C34" s="2563" t="s">
        <v>2291</v>
      </c>
      <c r="D34" s="2458" t="s">
        <v>2299</v>
      </c>
      <c r="E34" s="2456"/>
      <c r="F34" s="2437"/>
      <c r="G34" s="2437"/>
      <c r="H34" s="2437"/>
      <c r="I34" s="2437"/>
      <c r="J34" s="2437"/>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2" t="s">
        <v>1227</v>
      </c>
      <c r="B35" s="103">
        <v>200</v>
      </c>
      <c r="C35" s="2563" t="s">
        <v>2292</v>
      </c>
      <c r="D35" s="2453"/>
      <c r="E35" s="2438"/>
      <c r="F35" s="2438"/>
      <c r="G35" s="2437"/>
      <c r="H35" s="2437"/>
      <c r="I35" s="2437"/>
      <c r="J35" s="2437"/>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1228</v>
      </c>
      <c r="B36" s="107">
        <v>1.4999999999999999E-2</v>
      </c>
      <c r="C36" s="2563" t="s">
        <v>2293</v>
      </c>
      <c r="D36" s="2450"/>
      <c r="E36" s="2437"/>
      <c r="F36" s="2437"/>
      <c r="G36" s="2437"/>
      <c r="H36" s="2437"/>
      <c r="I36" s="2437"/>
      <c r="J36" s="2437"/>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4" t="s">
        <v>1229</v>
      </c>
      <c r="B37" s="108">
        <v>0.03</v>
      </c>
      <c r="C37" s="2563" t="s">
        <v>2294</v>
      </c>
      <c r="D37" s="2450"/>
      <c r="E37" s="2437"/>
      <c r="F37" s="2437"/>
      <c r="G37" s="2437"/>
      <c r="H37" s="2437"/>
      <c r="I37" s="2437"/>
      <c r="J37" s="2437"/>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2" t="s">
        <v>1230</v>
      </c>
      <c r="B38" s="108">
        <v>0.03</v>
      </c>
      <c r="C38" s="2563" t="s">
        <v>2294</v>
      </c>
      <c r="D38" s="2450"/>
      <c r="E38" s="2437"/>
      <c r="F38" s="2437"/>
      <c r="G38" s="2437"/>
      <c r="H38" s="2437"/>
      <c r="I38" s="2437"/>
      <c r="J38" s="2437"/>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5" t="s">
        <v>1231</v>
      </c>
      <c r="B39" s="309">
        <f ca="1">存贷款利率!I1</f>
        <v>1.4999999999999999E-2</v>
      </c>
      <c r="C39" s="2455"/>
      <c r="D39" s="2450"/>
      <c r="E39" s="2437"/>
      <c r="F39" s="2437"/>
      <c r="G39" s="2437"/>
      <c r="H39" s="2437"/>
      <c r="I39" s="2437"/>
      <c r="J39" s="2437"/>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29.25" thickBot="1">
      <c r="A40" s="2572" t="s">
        <v>3418</v>
      </c>
      <c r="B40" s="1015">
        <f ca="1">IF(A40="利息：取LPR",存贷款利率!G1,存贷款利率!G1+C40)</f>
        <v>4.1499999999999995E-2</v>
      </c>
      <c r="C40" s="2571">
        <v>5.0000000000000001E-3</v>
      </c>
      <c r="D40" s="2447"/>
      <c r="E40" s="2450"/>
      <c r="F40" s="2437"/>
      <c r="G40" s="2437"/>
      <c r="H40" s="2437"/>
      <c r="I40" s="2437"/>
      <c r="J40" s="2437"/>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601" t="s">
        <v>1232</v>
      </c>
      <c r="B41" s="109">
        <f>B42+B43</f>
        <v>5.6000000000000001E-2</v>
      </c>
      <c r="C41" s="2452"/>
      <c r="D41" s="2447"/>
      <c r="E41" s="2450"/>
      <c r="F41" s="2437"/>
      <c r="G41" s="2437"/>
      <c r="H41" s="2437"/>
      <c r="I41" s="2437"/>
      <c r="J41" s="2437"/>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6" t="s">
        <v>1233</v>
      </c>
      <c r="B42" s="110">
        <v>0.05</v>
      </c>
      <c r="C42" s="2457">
        <f>IF(B2&lt;DATE(2016,5,1),0,B42)</f>
        <v>0.05</v>
      </c>
      <c r="D42" s="2450"/>
      <c r="E42" s="2437"/>
      <c r="F42" s="2437"/>
      <c r="G42" s="2437"/>
      <c r="H42" s="2437"/>
      <c r="I42" s="2437"/>
      <c r="J42" s="2437"/>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6" t="s">
        <v>1234</v>
      </c>
      <c r="B43" s="111">
        <f>B42*(B44+B45+B46)+B47</f>
        <v>6.000000000000001E-3</v>
      </c>
      <c r="C43" s="2452"/>
      <c r="D43" s="2450"/>
      <c r="E43" s="2437"/>
      <c r="F43" s="2437"/>
      <c r="G43" s="2437"/>
      <c r="H43" s="2437"/>
      <c r="I43" s="2437"/>
      <c r="J43" s="2437"/>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7" t="s">
        <v>1235</v>
      </c>
      <c r="B44" s="112">
        <v>7.0000000000000007E-2</v>
      </c>
      <c r="C44" s="2563" t="s">
        <v>2303</v>
      </c>
      <c r="D44" s="2450"/>
      <c r="E44" s="2437"/>
      <c r="F44" s="2437"/>
      <c r="G44" s="2437"/>
      <c r="H44" s="2437"/>
      <c r="I44" s="2437"/>
      <c r="J44" s="2437"/>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7" t="s">
        <v>1236</v>
      </c>
      <c r="B45" s="110">
        <v>0.03</v>
      </c>
      <c r="C45" s="2562" t="s">
        <v>2295</v>
      </c>
      <c r="D45" s="2450"/>
      <c r="E45" s="2437"/>
      <c r="F45" s="2437"/>
      <c r="G45" s="2437"/>
      <c r="H45" s="2437"/>
      <c r="I45" s="2437"/>
      <c r="J45" s="2437"/>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7" t="s">
        <v>1237</v>
      </c>
      <c r="B46" s="110">
        <v>0.02</v>
      </c>
      <c r="C46" s="2562" t="s">
        <v>2296</v>
      </c>
      <c r="D46" s="2450"/>
      <c r="E46" s="2437"/>
      <c r="F46" s="2437"/>
      <c r="G46" s="2437"/>
      <c r="H46" s="2437"/>
      <c r="I46" s="2437"/>
      <c r="J46" s="2437"/>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1238</v>
      </c>
      <c r="B47" s="113">
        <v>0</v>
      </c>
      <c r="C47" s="2565" t="s">
        <v>2304</v>
      </c>
      <c r="D47" s="2450"/>
      <c r="E47" s="2437"/>
      <c r="F47" s="2437"/>
      <c r="G47" s="2437"/>
      <c r="H47" s="2437"/>
      <c r="I47" s="2437"/>
      <c r="J47" s="2437"/>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9" t="s">
        <v>1239</v>
      </c>
      <c r="B48" s="114">
        <v>0.03</v>
      </c>
      <c r="C48" s="2562" t="s">
        <v>2295</v>
      </c>
      <c r="D48" s="2450"/>
      <c r="E48" s="2437"/>
      <c r="F48" s="2437"/>
      <c r="G48" s="2437"/>
      <c r="H48" s="2437"/>
      <c r="I48" s="2437"/>
      <c r="J48" s="2437"/>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1240</v>
      </c>
      <c r="B49" s="110">
        <v>5.0000000000000001E-4</v>
      </c>
      <c r="C49" s="2562" t="s">
        <v>2297</v>
      </c>
      <c r="D49" s="2450"/>
      <c r="E49" s="2437"/>
      <c r="F49" s="2437"/>
      <c r="G49" s="2437"/>
      <c r="H49" s="2437"/>
      <c r="I49" s="2437"/>
      <c r="J49" s="2437"/>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10" t="s">
        <v>1241</v>
      </c>
      <c r="B50" s="115">
        <v>1.2E-2</v>
      </c>
      <c r="C50" s="2438"/>
      <c r="D50" s="2450"/>
      <c r="E50" s="2437"/>
      <c r="F50" s="2437"/>
      <c r="G50" s="2437"/>
      <c r="H50" s="2437"/>
      <c r="I50" s="2437"/>
      <c r="J50" s="2437"/>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1242</v>
      </c>
      <c r="B51" s="116">
        <v>0.12</v>
      </c>
      <c r="C51" s="2438"/>
      <c r="D51" s="2450"/>
      <c r="E51" s="2437"/>
      <c r="F51" s="2437"/>
      <c r="G51" s="2437"/>
      <c r="H51" s="2437"/>
      <c r="I51" s="2437"/>
      <c r="J51" s="2437"/>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10" t="s">
        <v>1243</v>
      </c>
      <c r="B52" s="117">
        <f>SUMIF(A54:A63,B53,B54:B63)</f>
        <v>30</v>
      </c>
      <c r="C52" s="2438"/>
      <c r="D52" s="2450"/>
      <c r="E52" s="2437"/>
      <c r="F52" s="2437"/>
      <c r="G52" s="2437"/>
      <c r="H52" s="2437"/>
      <c r="I52" s="2437"/>
      <c r="J52" s="2437"/>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2" t="s">
        <v>1244</v>
      </c>
      <c r="B53" s="1611" t="s">
        <v>144</v>
      </c>
      <c r="C53" s="2438" t="s">
        <v>1245</v>
      </c>
      <c r="D53" s="2564" t="s">
        <v>2301</v>
      </c>
      <c r="E53" s="2437"/>
      <c r="F53" s="2437"/>
      <c r="G53" s="2437"/>
      <c r="H53" s="2437"/>
      <c r="I53" s="2437"/>
      <c r="J53" s="2437"/>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2" t="s">
        <v>1246</v>
      </c>
      <c r="B54" s="72">
        <v>30</v>
      </c>
      <c r="C54" s="2438">
        <v>30</v>
      </c>
      <c r="D54" s="2450"/>
      <c r="E54" s="2437"/>
      <c r="F54" s="2437"/>
      <c r="G54" s="2437"/>
      <c r="H54" s="2437"/>
      <c r="I54" s="2437"/>
      <c r="J54" s="2437"/>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2" t="s">
        <v>1247</v>
      </c>
      <c r="B55" s="72">
        <v>24</v>
      </c>
      <c r="C55" s="2438">
        <v>24</v>
      </c>
      <c r="D55" s="2450"/>
      <c r="E55" s="2437"/>
      <c r="F55" s="2437"/>
      <c r="G55" s="2437"/>
      <c r="H55" s="2437"/>
      <c r="I55" s="2437"/>
      <c r="J55" s="2437"/>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2" t="s">
        <v>1248</v>
      </c>
      <c r="B56" s="72">
        <v>18</v>
      </c>
      <c r="C56" s="2438">
        <v>18</v>
      </c>
      <c r="D56" s="2450"/>
      <c r="E56" s="2437"/>
      <c r="F56" s="2437"/>
      <c r="G56" s="2437"/>
      <c r="H56" s="2437"/>
      <c r="I56" s="2437"/>
      <c r="J56" s="2437"/>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2" t="s">
        <v>1249</v>
      </c>
      <c r="B57" s="72">
        <v>12</v>
      </c>
      <c r="C57" s="2438">
        <v>12</v>
      </c>
      <c r="D57" s="2450"/>
      <c r="E57" s="2437"/>
      <c r="F57" s="2437"/>
      <c r="G57" s="2437"/>
      <c r="H57" s="2437"/>
      <c r="I57" s="2437"/>
      <c r="J57" s="2437"/>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2" t="s">
        <v>1250</v>
      </c>
      <c r="B58" s="72">
        <v>3</v>
      </c>
      <c r="C58" s="2438">
        <v>3</v>
      </c>
      <c r="D58" s="2450"/>
      <c r="E58" s="2437"/>
      <c r="F58" s="2437"/>
      <c r="G58" s="2437"/>
      <c r="H58" s="2437"/>
      <c r="I58" s="2437"/>
      <c r="J58" s="2437"/>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2" t="s">
        <v>1251</v>
      </c>
      <c r="B59" s="72">
        <v>1.5</v>
      </c>
      <c r="C59" s="2438">
        <v>1.5</v>
      </c>
      <c r="D59" s="2450"/>
      <c r="E59" s="2437"/>
      <c r="F59" s="2437"/>
      <c r="G59" s="2437"/>
      <c r="H59" s="2437"/>
      <c r="I59" s="2437"/>
      <c r="J59" s="2437"/>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2" t="s">
        <v>1252</v>
      </c>
      <c r="B60" s="72"/>
      <c r="C60" s="2437"/>
      <c r="D60" s="2450"/>
      <c r="E60" s="2437"/>
      <c r="F60" s="2437"/>
      <c r="G60" s="2437"/>
      <c r="H60" s="2437"/>
      <c r="I60" s="2437"/>
      <c r="J60" s="2437"/>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2" t="s">
        <v>1253</v>
      </c>
      <c r="B61" s="72"/>
      <c r="C61" s="2437"/>
      <c r="D61" s="2450"/>
      <c r="E61" s="2437"/>
      <c r="F61" s="2437"/>
      <c r="G61" s="2437"/>
      <c r="H61" s="2437"/>
      <c r="I61" s="2437"/>
      <c r="J61" s="2437"/>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2" t="s">
        <v>1254</v>
      </c>
      <c r="B62" s="72"/>
      <c r="C62" s="2437"/>
      <c r="D62" s="2450"/>
      <c r="E62" s="2437"/>
      <c r="F62" s="2437"/>
      <c r="G62" s="2437"/>
      <c r="H62" s="2437"/>
      <c r="I62" s="2437"/>
      <c r="J62" s="2437"/>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1255</v>
      </c>
      <c r="B63" s="118"/>
      <c r="C63" s="2437"/>
      <c r="D63" s="2450"/>
      <c r="E63" s="2437"/>
      <c r="F63" s="2437"/>
      <c r="G63" s="2437"/>
      <c r="H63" s="2437"/>
      <c r="I63" s="2437"/>
      <c r="J63" s="2437"/>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0"/>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0"/>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0"/>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0"/>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0"/>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4" sqref="C4"/>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51" customWidth="1"/>
    <col min="19" max="29" width="9" style="751"/>
    <col min="30" max="16384" width="9" style="1522"/>
  </cols>
  <sheetData>
    <row r="1" spans="1:29" s="2257" customFormat="1" ht="18.75" thickBot="1">
      <c r="A1" s="3290" t="s">
        <v>2281</v>
      </c>
      <c r="B1" s="3291"/>
      <c r="C1" s="3291"/>
      <c r="D1" s="3291"/>
      <c r="E1" s="3291"/>
      <c r="F1" s="3291"/>
      <c r="G1" s="3291"/>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5" thickBot="1">
      <c r="A2" s="2258"/>
      <c r="B2" s="2259"/>
      <c r="C2" s="2260" t="s">
        <v>2277</v>
      </c>
      <c r="D2" s="1595"/>
      <c r="E2" s="2258"/>
      <c r="F2" s="2261"/>
      <c r="G2" s="2260" t="s">
        <v>2278</v>
      </c>
      <c r="H2" s="751"/>
      <c r="I2" s="751"/>
      <c r="J2" s="751"/>
      <c r="K2" s="751"/>
      <c r="L2" s="751"/>
      <c r="M2" s="751"/>
      <c r="N2" s="751"/>
      <c r="O2" s="751"/>
      <c r="P2" s="751"/>
      <c r="Q2" s="751"/>
    </row>
    <row r="3" spans="1:29" ht="25.5">
      <c r="A3" s="2245" t="s">
        <v>2279</v>
      </c>
      <c r="B3" s="2262" t="s">
        <v>2251</v>
      </c>
      <c r="C3" s="2263"/>
      <c r="D3" s="2264"/>
      <c r="E3" s="2246" t="s">
        <v>2279</v>
      </c>
      <c r="F3" s="2265" t="s">
        <v>2252</v>
      </c>
      <c r="G3" s="2266" t="s">
        <v>2280</v>
      </c>
      <c r="H3" s="751"/>
      <c r="I3" s="751"/>
      <c r="J3" s="751"/>
      <c r="K3" s="751"/>
      <c r="L3" s="751"/>
      <c r="M3" s="751"/>
      <c r="N3" s="751"/>
      <c r="O3" s="751"/>
      <c r="P3" s="751"/>
      <c r="Q3" s="751"/>
    </row>
    <row r="4" spans="1:29" ht="48">
      <c r="A4" s="2246"/>
      <c r="B4" s="315" t="s">
        <v>2253</v>
      </c>
      <c r="C4" s="3147" t="s">
        <v>3472</v>
      </c>
      <c r="D4" s="2264"/>
      <c r="E4" s="2268"/>
      <c r="F4" s="1281" t="s">
        <v>2254</v>
      </c>
      <c r="G4" s="2269" t="s">
        <v>2255</v>
      </c>
      <c r="H4" s="751"/>
      <c r="I4" s="751"/>
      <c r="J4" s="751"/>
      <c r="K4" s="751"/>
      <c r="L4" s="751"/>
      <c r="M4" s="751"/>
      <c r="N4" s="751"/>
      <c r="O4" s="751"/>
      <c r="P4" s="751"/>
      <c r="Q4" s="751"/>
    </row>
    <row r="5" spans="1:29" ht="24">
      <c r="A5" s="2246"/>
      <c r="B5" s="315" t="s">
        <v>2256</v>
      </c>
      <c r="C5" s="2267"/>
      <c r="D5" s="2264"/>
      <c r="E5" s="2268"/>
      <c r="F5" s="315" t="s">
        <v>2257</v>
      </c>
      <c r="G5" s="2269" t="s">
        <v>2258</v>
      </c>
      <c r="H5" s="751"/>
      <c r="I5" s="751"/>
      <c r="J5" s="751"/>
      <c r="K5" s="751"/>
      <c r="L5" s="751"/>
      <c r="M5" s="751"/>
      <c r="N5" s="751"/>
      <c r="O5" s="751"/>
      <c r="P5" s="751"/>
      <c r="Q5" s="751"/>
    </row>
    <row r="6" spans="1:29" ht="51">
      <c r="A6" s="2246"/>
      <c r="B6" s="315" t="s">
        <v>2259</v>
      </c>
      <c r="C6" s="2269" t="s">
        <v>3400</v>
      </c>
      <c r="D6" s="2264"/>
      <c r="E6" s="2268"/>
      <c r="F6" s="315" t="s">
        <v>2260</v>
      </c>
      <c r="G6" s="2269" t="s">
        <v>2261</v>
      </c>
      <c r="H6" s="751"/>
      <c r="I6" s="751"/>
      <c r="J6" s="751"/>
      <c r="K6" s="751"/>
      <c r="L6" s="751"/>
      <c r="M6" s="751"/>
      <c r="N6" s="751"/>
      <c r="O6" s="751"/>
      <c r="P6" s="751"/>
      <c r="Q6" s="751"/>
    </row>
    <row r="7" spans="1:29" ht="39" thickBot="1">
      <c r="A7" s="2246"/>
      <c r="B7" s="315" t="s">
        <v>2257</v>
      </c>
      <c r="C7" s="2269" t="s">
        <v>3401</v>
      </c>
      <c r="D7" s="2243"/>
      <c r="E7" s="2270"/>
      <c r="F7" s="2271" t="s">
        <v>2262</v>
      </c>
      <c r="G7" s="2272" t="s">
        <v>2263</v>
      </c>
      <c r="H7" s="751"/>
      <c r="I7" s="751"/>
      <c r="J7" s="751"/>
      <c r="K7" s="751"/>
      <c r="L7" s="751"/>
      <c r="M7" s="751"/>
      <c r="N7" s="751"/>
      <c r="O7" s="751"/>
      <c r="P7" s="751"/>
      <c r="Q7" s="751"/>
    </row>
    <row r="8" spans="1:29" ht="25.5">
      <c r="A8" s="2246"/>
      <c r="B8" s="315" t="s">
        <v>2260</v>
      </c>
      <c r="C8" s="2269" t="s">
        <v>3402</v>
      </c>
      <c r="D8" s="2243"/>
      <c r="E8" s="2243"/>
      <c r="F8" s="121"/>
      <c r="G8" s="121"/>
      <c r="H8" s="751"/>
      <c r="I8" s="751"/>
      <c r="J8" s="751"/>
      <c r="K8" s="751"/>
      <c r="L8" s="751"/>
      <c r="M8" s="751"/>
      <c r="N8" s="751"/>
      <c r="O8" s="751"/>
      <c r="P8" s="751"/>
      <c r="Q8" s="751"/>
    </row>
    <row r="9" spans="1:29" ht="51">
      <c r="A9" s="2246"/>
      <c r="B9" s="315" t="s">
        <v>2264</v>
      </c>
      <c r="C9" s="2267" t="s">
        <v>3403</v>
      </c>
      <c r="D9" s="2264"/>
      <c r="E9" s="2243"/>
      <c r="F9" s="121"/>
      <c r="G9" s="121"/>
      <c r="H9" s="751"/>
      <c r="I9" s="751"/>
      <c r="J9" s="751"/>
      <c r="K9" s="751"/>
      <c r="L9" s="751"/>
      <c r="M9" s="751"/>
      <c r="N9" s="751"/>
      <c r="O9" s="751"/>
      <c r="P9" s="751"/>
      <c r="Q9" s="751"/>
    </row>
    <row r="10" spans="1:29" ht="15" thickBot="1">
      <c r="A10" s="2247"/>
      <c r="B10" s="2273" t="s">
        <v>2265</v>
      </c>
      <c r="C10" s="2274" t="s">
        <v>3404</v>
      </c>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8">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75" thickBot="1">
      <c r="A13" s="2282" t="s">
        <v>2282</v>
      </c>
      <c r="B13" s="2278"/>
      <c r="C13" s="2278"/>
      <c r="D13" s="2277"/>
      <c r="E13" s="2278"/>
      <c r="F13" s="2278"/>
      <c r="G13" s="2278"/>
    </row>
    <row r="14" spans="1:29" ht="15" thickBot="1">
      <c r="A14" s="2283"/>
      <c r="B14" s="2283"/>
      <c r="C14" s="2284" t="s">
        <v>2266</v>
      </c>
      <c r="D14" s="2264"/>
      <c r="E14" s="2285"/>
      <c r="F14" s="2285"/>
      <c r="G14" s="2260" t="s">
        <v>2267</v>
      </c>
    </row>
    <row r="15" spans="1:29" ht="25.5">
      <c r="A15" s="2248" t="s">
        <v>2268</v>
      </c>
      <c r="B15" s="2286" t="s">
        <v>2251</v>
      </c>
      <c r="C15" s="2287">
        <f>C3</f>
        <v>0</v>
      </c>
      <c r="D15" s="2264"/>
      <c r="E15" s="2249" t="s">
        <v>2269</v>
      </c>
      <c r="F15" s="2286" t="s">
        <v>2270</v>
      </c>
      <c r="G15" s="2288" t="str">
        <f>G3</f>
        <v>估价对象位于XX开发区，园区建设成熟度XX，产业集聚程度XX</v>
      </c>
    </row>
    <row r="16" spans="1:29" ht="51">
      <c r="A16" s="2250"/>
      <c r="B16" s="2289" t="s">
        <v>2253</v>
      </c>
      <c r="C16" s="2290" t="str">
        <f>C4</f>
        <v>估价对象位于朝阳门商圈，周边商业氛围成熟，有悠唐购物中心、银河SOHO等购物中心，人流量大，商业繁华度好</v>
      </c>
      <c r="D16" s="2264"/>
      <c r="E16" s="2251"/>
      <c r="F16" s="2291" t="s">
        <v>2254</v>
      </c>
      <c r="G16" s="2292" t="str">
        <f>G4</f>
        <v>估价对象周边道路状况、公共交通通达情况、停车便捷程度，综合评价交通便捷度较好</v>
      </c>
    </row>
    <row r="17" spans="1:17">
      <c r="A17" s="2250"/>
      <c r="B17" s="2289" t="s">
        <v>2256</v>
      </c>
      <c r="C17" s="2290">
        <f>C5</f>
        <v>0</v>
      </c>
      <c r="D17" s="2243"/>
      <c r="E17" s="2251"/>
      <c r="F17" s="2291" t="s">
        <v>2271</v>
      </c>
      <c r="G17" s="2293"/>
    </row>
    <row r="18" spans="1:17" ht="51">
      <c r="A18" s="2250"/>
      <c r="B18" s="2291" t="s">
        <v>2259</v>
      </c>
      <c r="C18" s="2292" t="str">
        <f>C6</f>
        <v>周边有75、110、420路及地铁2号、6号线，周边道路密集，停车便捷程度，综合评价交通便捷度好</v>
      </c>
      <c r="D18" s="2243"/>
      <c r="E18" s="2251"/>
      <c r="F18" s="2291" t="s">
        <v>2262</v>
      </c>
      <c r="G18" s="2292" t="str">
        <f>G7</f>
        <v>该园区内是否有污染型企业，绿化情况，卫生条件，整体环境状况判断</v>
      </c>
    </row>
    <row r="19" spans="1:17" ht="25.5">
      <c r="A19" s="2250"/>
      <c r="B19" s="2291" t="s">
        <v>2272</v>
      </c>
      <c r="C19" s="2293"/>
      <c r="D19" s="2264"/>
      <c r="E19" s="2251"/>
      <c r="F19" s="315" t="s">
        <v>2257</v>
      </c>
      <c r="G19" s="2292" t="str">
        <f>G5</f>
        <v>估价对象所在区域公共配套设施齐备情况</v>
      </c>
    </row>
    <row r="20" spans="1:17" ht="51">
      <c r="A20" s="2250"/>
      <c r="B20" s="2291" t="s">
        <v>2273</v>
      </c>
      <c r="C20" s="2290" t="str">
        <f>C9</f>
        <v>区域内有东城职业大学、日坛公园、富国海底世界等自然及人文环境，综合评价自然及人文环境状况较好。</v>
      </c>
      <c r="D20" s="2243"/>
      <c r="E20" s="2251"/>
      <c r="F20" s="315" t="s">
        <v>2260</v>
      </c>
      <c r="G20" s="2292" t="str">
        <f>G6</f>
        <v>估价对象所在区域基础设施水平</v>
      </c>
    </row>
    <row r="21" spans="1:17" ht="38.25">
      <c r="A21" s="2250"/>
      <c r="B21" s="315" t="s">
        <v>2257</v>
      </c>
      <c r="C21" s="2292" t="str">
        <f>C7</f>
        <v>估价对象所在区域银行、购物场所、学校等公共配套设施齐备，综合评价公共配套设施水平好。</v>
      </c>
      <c r="D21" s="2264"/>
      <c r="E21" s="2251"/>
      <c r="F21" s="2291" t="s">
        <v>2274</v>
      </c>
      <c r="G21" s="2294"/>
    </row>
    <row r="22" spans="1:17" ht="13.5" customHeight="1">
      <c r="A22" s="2250"/>
      <c r="B22" s="315" t="s">
        <v>2260</v>
      </c>
      <c r="C22" s="2292" t="str">
        <f>C8</f>
        <v>估价对象所在区域基础设施水平“七通一平</v>
      </c>
      <c r="D22" s="2264"/>
      <c r="E22" s="2251"/>
      <c r="F22" s="2291" t="s">
        <v>2265</v>
      </c>
      <c r="G22" s="2293"/>
    </row>
    <row r="23" spans="1:17" s="751" customFormat="1" ht="15" thickBot="1">
      <c r="A23" s="2250"/>
      <c r="B23" s="2291" t="s">
        <v>2274</v>
      </c>
      <c r="C23" s="2294"/>
      <c r="D23" s="1614"/>
      <c r="E23" s="2252"/>
      <c r="F23" s="2295" t="s">
        <v>2275</v>
      </c>
      <c r="G23" s="2296"/>
      <c r="H23" s="2275"/>
      <c r="I23" s="2275"/>
      <c r="J23" s="2275"/>
      <c r="K23" s="2275"/>
      <c r="L23" s="2275"/>
      <c r="M23" s="2275"/>
      <c r="N23" s="2275"/>
      <c r="O23" s="2275"/>
      <c r="P23" s="2275"/>
      <c r="Q23" s="2275"/>
    </row>
    <row r="24" spans="1:17" s="751" customFormat="1" ht="15" thickBot="1">
      <c r="A24" s="2253"/>
      <c r="B24" s="2295" t="s">
        <v>2276</v>
      </c>
      <c r="C24" s="2297" t="str">
        <f>C10</f>
        <v>城市主干道——朝阳门外大街</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299" customWidth="1"/>
    <col min="2" max="9" width="15.75" style="2299" customWidth="1"/>
    <col min="10" max="16384" width="9" style="2299"/>
  </cols>
  <sheetData>
    <row r="1" spans="1:11" ht="16.5">
      <c r="A1" s="2298" t="s">
        <v>665</v>
      </c>
      <c r="B1" s="2298">
        <f>SUM(B14:B23)</f>
        <v>6547.83</v>
      </c>
      <c r="C1" s="2460"/>
      <c r="D1" s="2460"/>
      <c r="E1" s="2460"/>
      <c r="F1" s="2460"/>
      <c r="G1" s="2461"/>
      <c r="H1" s="2461"/>
      <c r="I1" s="2461"/>
      <c r="J1" s="2461"/>
      <c r="K1" s="2461"/>
    </row>
    <row r="2" spans="1:11" ht="16.5">
      <c r="A2" s="2298" t="s">
        <v>653</v>
      </c>
      <c r="B2" s="2298">
        <f>SUM(C14:C23)</f>
        <v>750.35</v>
      </c>
      <c r="C2" s="2460"/>
      <c r="D2" s="2460"/>
      <c r="E2" s="2460"/>
      <c r="F2" s="2460"/>
      <c r="G2" s="2461"/>
      <c r="H2" s="2461"/>
      <c r="I2" s="2461"/>
      <c r="J2" s="2461"/>
      <c r="K2" s="2461"/>
    </row>
    <row r="3" spans="1:11" ht="16.5">
      <c r="A3" s="2298" t="s">
        <v>662</v>
      </c>
      <c r="B3" s="2300">
        <f>项目基本情况!D3</f>
        <v>45051</v>
      </c>
      <c r="C3" s="2460"/>
      <c r="D3" s="2460"/>
      <c r="E3" s="2460"/>
      <c r="F3" s="2460"/>
      <c r="G3" s="2461"/>
      <c r="H3" s="2461"/>
      <c r="I3" s="2461"/>
      <c r="J3" s="2461"/>
      <c r="K3" s="2461"/>
    </row>
    <row r="4" spans="1:11" ht="33">
      <c r="A4" s="2298" t="s">
        <v>661</v>
      </c>
      <c r="B4" s="2298" t="s">
        <v>660</v>
      </c>
      <c r="C4" s="2298" t="s">
        <v>659</v>
      </c>
      <c r="D4" s="2298" t="s">
        <v>658</v>
      </c>
      <c r="E4" s="2460"/>
      <c r="F4" s="2461"/>
      <c r="G4" s="2461"/>
      <c r="H4" s="2461"/>
      <c r="I4" s="2461"/>
      <c r="J4" s="2461"/>
      <c r="K4" s="2461"/>
    </row>
    <row r="5" spans="1:11" ht="16.5">
      <c r="A5" s="2298" t="s">
        <v>657</v>
      </c>
      <c r="B5" s="2298">
        <f ca="1">SUM(D14:D23)</f>
        <v>18019</v>
      </c>
      <c r="C5" s="2298">
        <f ca="1">IF(B5=D14,结果表!H102,ROUND(B5*10000/$B$1,0))</f>
        <v>27519</v>
      </c>
      <c r="D5" s="2298">
        <f ca="1">ROUND(B5*10000/$B$2,0)</f>
        <v>240141</v>
      </c>
      <c r="E5" s="2460"/>
      <c r="F5" s="2461"/>
      <c r="G5" s="2461"/>
      <c r="H5" s="2461"/>
      <c r="I5" s="2461"/>
      <c r="J5" s="2461"/>
      <c r="K5" s="2461"/>
    </row>
    <row r="6" spans="1:11" ht="16.5">
      <c r="A6" s="2298" t="s">
        <v>656</v>
      </c>
      <c r="B6" s="2298">
        <f ca="1">SUM(G14:G23)</f>
        <v>18019</v>
      </c>
      <c r="C6" s="2298">
        <f ca="1">IF(B6=G14,结果表!H108,ROUND(B6*10000/$B$1,0))</f>
        <v>27519</v>
      </c>
      <c r="D6" s="2298">
        <f ca="1">ROUND(B6*10000/$B$2,0)</f>
        <v>240141</v>
      </c>
      <c r="E6" s="2460"/>
      <c r="F6" s="2461"/>
      <c r="G6" s="2461"/>
      <c r="H6" s="2461"/>
      <c r="I6" s="2461"/>
      <c r="J6" s="2461"/>
      <c r="K6" s="2461"/>
    </row>
    <row r="7" spans="1:11" ht="16.5">
      <c r="A7" s="2298" t="s">
        <v>664</v>
      </c>
      <c r="B7" s="2298">
        <f>SUM(H14:H23)</f>
        <v>0</v>
      </c>
      <c r="C7" s="2298" t="str">
        <f>IF(B7=H14,结果表!H110,ROUND(B7*10000/$B$1,0))</f>
        <v>——</v>
      </c>
      <c r="D7" s="2298">
        <f>ROUND(B7*10000/$B$2,0)</f>
        <v>0</v>
      </c>
      <c r="E7" s="2460"/>
      <c r="F7" s="2461"/>
      <c r="G7" s="2461"/>
      <c r="H7" s="2461"/>
      <c r="I7" s="2461"/>
      <c r="J7" s="2461"/>
      <c r="K7" s="2461"/>
    </row>
    <row r="8" spans="1:11" ht="16.5">
      <c r="A8" s="2298" t="s">
        <v>587</v>
      </c>
      <c r="B8" s="2298">
        <f>SUM(I14:I23)</f>
        <v>0</v>
      </c>
      <c r="C8" s="2298" t="str">
        <f>IF(B8=I14,结果表!H112,ROUND(B8*10000/$B$1,0))</f>
        <v>——</v>
      </c>
      <c r="D8" s="2298">
        <f>ROUND(B8*10000/$B$2,0)</f>
        <v>0</v>
      </c>
      <c r="E8" s="2460"/>
      <c r="F8" s="2461"/>
      <c r="G8" s="2461"/>
      <c r="H8" s="2461"/>
      <c r="I8" s="2461"/>
      <c r="J8" s="2461"/>
      <c r="K8" s="2461"/>
    </row>
    <row r="9" spans="1:11" ht="16.5">
      <c r="A9" s="2298" t="s">
        <v>655</v>
      </c>
      <c r="B9" s="1244"/>
      <c r="C9" s="2460"/>
      <c r="D9" s="2460"/>
      <c r="E9" s="2460"/>
      <c r="F9" s="2461"/>
      <c r="G9" s="2461"/>
      <c r="H9" s="2461"/>
      <c r="I9" s="2461"/>
      <c r="J9" s="2461"/>
      <c r="K9" s="2461"/>
    </row>
    <row r="10" spans="1:11" ht="16.5">
      <c r="A10" s="2298" t="s">
        <v>654</v>
      </c>
      <c r="B10" s="2298">
        <f>IF(E10="",0,ROUND(B1*(E10*365/G10)/10000,0))</f>
        <v>0</v>
      </c>
      <c r="C10" s="2298" t="s">
        <v>3355</v>
      </c>
      <c r="D10" s="2298" t="s">
        <v>3356</v>
      </c>
      <c r="E10" s="3135"/>
      <c r="F10" s="3139" t="s">
        <v>3357</v>
      </c>
      <c r="G10" s="3136"/>
      <c r="H10" s="2461"/>
      <c r="I10" s="2461"/>
      <c r="J10" s="2461"/>
      <c r="K10" s="2461"/>
    </row>
    <row r="11" spans="1:11" ht="16.5">
      <c r="A11" s="2298" t="s">
        <v>670</v>
      </c>
      <c r="B11" s="1244"/>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1" t="s">
        <v>669</v>
      </c>
      <c r="B13" s="2302" t="s">
        <v>666</v>
      </c>
      <c r="C13" s="2302" t="s">
        <v>668</v>
      </c>
      <c r="D13" s="2302" t="s">
        <v>667</v>
      </c>
      <c r="E13" s="2298" t="s">
        <v>659</v>
      </c>
      <c r="F13" s="2298" t="s">
        <v>658</v>
      </c>
      <c r="G13" s="2302" t="s">
        <v>652</v>
      </c>
      <c r="H13" s="2302" t="s">
        <v>663</v>
      </c>
      <c r="I13" s="2302" t="s">
        <v>651</v>
      </c>
      <c r="J13" s="2461"/>
      <c r="K13" s="2461"/>
    </row>
    <row r="14" spans="1:11" ht="16.5">
      <c r="A14" s="2303" t="s">
        <v>650</v>
      </c>
      <c r="B14" s="2304">
        <f>结果表!B118</f>
        <v>6547.83</v>
      </c>
      <c r="C14" s="2304">
        <f>结果表!C118</f>
        <v>750.35</v>
      </c>
      <c r="D14" s="2304">
        <f ca="1">结果表!H118</f>
        <v>18019</v>
      </c>
      <c r="E14" s="2304">
        <f ca="1">ROUND(D14*10000/B14,0)</f>
        <v>27519</v>
      </c>
      <c r="F14" s="2304">
        <f ca="1">ROUND(D14*10000/C14,0)</f>
        <v>240141</v>
      </c>
      <c r="G14" s="2304">
        <f ca="1">D14</f>
        <v>18019</v>
      </c>
      <c r="H14" s="2304"/>
      <c r="I14" s="2304"/>
      <c r="J14" s="2461"/>
      <c r="K14" s="2461"/>
    </row>
    <row r="15" spans="1:11" ht="16.5">
      <c r="A15" s="2303" t="s">
        <v>649</v>
      </c>
      <c r="B15" s="2305"/>
      <c r="C15" s="2305"/>
      <c r="D15" s="2305"/>
      <c r="E15" s="2304" t="e">
        <f t="shared" ref="E15:E23" si="0">ROUND(D15*10000/B15,0)</f>
        <v>#DIV/0!</v>
      </c>
      <c r="F15" s="2304" t="e">
        <f t="shared" ref="F15:F23" si="1">ROUND(D15*10000/C15,0)</f>
        <v>#DIV/0!</v>
      </c>
      <c r="G15" s="1244"/>
      <c r="H15" s="1244"/>
      <c r="I15" s="2305"/>
      <c r="J15" s="2461"/>
      <c r="K15" s="2461"/>
    </row>
    <row r="16" spans="1:11" ht="16.5">
      <c r="A16" s="2303" t="s">
        <v>648</v>
      </c>
      <c r="B16" s="2305"/>
      <c r="C16" s="2305"/>
      <c r="D16" s="2305"/>
      <c r="E16" s="2304" t="e">
        <f t="shared" si="0"/>
        <v>#DIV/0!</v>
      </c>
      <c r="F16" s="2304" t="e">
        <f t="shared" si="1"/>
        <v>#DIV/0!</v>
      </c>
      <c r="G16" s="1244"/>
      <c r="H16" s="1244"/>
      <c r="I16" s="2305"/>
      <c r="J16" s="2461"/>
      <c r="K16" s="2461"/>
    </row>
    <row r="17" spans="1:11" ht="16.5">
      <c r="A17" s="2303" t="s">
        <v>647</v>
      </c>
      <c r="B17" s="2305"/>
      <c r="C17" s="2305"/>
      <c r="D17" s="2305"/>
      <c r="E17" s="2304" t="e">
        <f t="shared" si="0"/>
        <v>#DIV/0!</v>
      </c>
      <c r="F17" s="2304" t="e">
        <f t="shared" si="1"/>
        <v>#DIV/0!</v>
      </c>
      <c r="G17" s="1244"/>
      <c r="H17" s="1244"/>
      <c r="I17" s="2305"/>
      <c r="J17" s="2461"/>
      <c r="K17" s="2461"/>
    </row>
    <row r="18" spans="1:11" ht="16.5">
      <c r="A18" s="2303" t="s">
        <v>646</v>
      </c>
      <c r="B18" s="2305"/>
      <c r="C18" s="2305"/>
      <c r="D18" s="2305"/>
      <c r="E18" s="2304" t="e">
        <f t="shared" si="0"/>
        <v>#DIV/0!</v>
      </c>
      <c r="F18" s="2304" t="e">
        <f t="shared" si="1"/>
        <v>#DIV/0!</v>
      </c>
      <c r="G18" s="2305"/>
      <c r="H18" s="2305"/>
      <c r="I18" s="2305"/>
      <c r="J18" s="2461"/>
      <c r="K18" s="2461"/>
    </row>
    <row r="19" spans="1:11" ht="16.5">
      <c r="A19" s="2303" t="s">
        <v>645</v>
      </c>
      <c r="B19" s="2305"/>
      <c r="C19" s="2305"/>
      <c r="D19" s="2305"/>
      <c r="E19" s="2304" t="e">
        <f t="shared" si="0"/>
        <v>#DIV/0!</v>
      </c>
      <c r="F19" s="2304" t="e">
        <f t="shared" si="1"/>
        <v>#DIV/0!</v>
      </c>
      <c r="G19" s="2305"/>
      <c r="H19" s="2305"/>
      <c r="I19" s="2305"/>
      <c r="J19" s="2461"/>
      <c r="K19" s="2461"/>
    </row>
    <row r="20" spans="1:11" ht="16.5">
      <c r="A20" s="2303" t="s">
        <v>644</v>
      </c>
      <c r="B20" s="2305"/>
      <c r="C20" s="2305"/>
      <c r="D20" s="2305"/>
      <c r="E20" s="2304" t="e">
        <f t="shared" si="0"/>
        <v>#DIV/0!</v>
      </c>
      <c r="F20" s="2304" t="e">
        <f t="shared" si="1"/>
        <v>#DIV/0!</v>
      </c>
      <c r="G20" s="2305"/>
      <c r="H20" s="2305"/>
      <c r="I20" s="2305"/>
      <c r="J20" s="2461"/>
      <c r="K20" s="2461"/>
    </row>
    <row r="21" spans="1:11" ht="16.5">
      <c r="A21" s="2303" t="s">
        <v>643</v>
      </c>
      <c r="B21" s="2305"/>
      <c r="C21" s="2305"/>
      <c r="D21" s="2305"/>
      <c r="E21" s="2304" t="e">
        <f t="shared" si="0"/>
        <v>#DIV/0!</v>
      </c>
      <c r="F21" s="2304" t="e">
        <f t="shared" si="1"/>
        <v>#DIV/0!</v>
      </c>
      <c r="G21" s="2305"/>
      <c r="H21" s="2305"/>
      <c r="I21" s="2305"/>
      <c r="J21" s="2461"/>
      <c r="K21" s="2461"/>
    </row>
    <row r="22" spans="1:11" ht="16.5">
      <c r="A22" s="2303" t="s">
        <v>642</v>
      </c>
      <c r="B22" s="2305"/>
      <c r="C22" s="2305"/>
      <c r="D22" s="2305"/>
      <c r="E22" s="2304" t="e">
        <f t="shared" si="0"/>
        <v>#DIV/0!</v>
      </c>
      <c r="F22" s="2304" t="e">
        <f t="shared" si="1"/>
        <v>#DIV/0!</v>
      </c>
      <c r="G22" s="2305"/>
      <c r="H22" s="2305"/>
      <c r="I22" s="2305"/>
      <c r="J22" s="2461"/>
      <c r="K22" s="2461"/>
    </row>
    <row r="23" spans="1:11" ht="16.5">
      <c r="A23" s="2303" t="s">
        <v>641</v>
      </c>
      <c r="B23" s="2305"/>
      <c r="C23" s="2305"/>
      <c r="D23" s="2305"/>
      <c r="E23" s="1244" t="e">
        <f t="shared" si="0"/>
        <v>#DIV/0!</v>
      </c>
      <c r="F23" s="1244" t="e">
        <f t="shared" si="1"/>
        <v>#DIV/0!</v>
      </c>
      <c r="G23" s="2305"/>
      <c r="H23" s="2305"/>
      <c r="I23" s="2305"/>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106" zoomScaleNormal="100" zoomScaleSheetLayoutView="100" zoomScalePageLayoutView="80" workbookViewId="0">
      <selection activeCell="D119" sqref="D119:I119"/>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1261</v>
      </c>
      <c r="B1" s="646"/>
      <c r="C1" s="1620"/>
      <c r="D1" s="646"/>
      <c r="E1" s="646"/>
      <c r="F1" s="1621" t="s">
        <v>1262</v>
      </c>
      <c r="G1" s="1453" t="s">
        <v>3414</v>
      </c>
      <c r="H1" s="1621" t="str">
        <f>IF(G1="现房","——","估价对象范围")</f>
        <v>——</v>
      </c>
      <c r="I1" s="1622" t="s">
        <v>3471</v>
      </c>
    </row>
    <row r="2" spans="1:12" ht="21.75" customHeight="1" thickBot="1">
      <c r="A2" s="3359" t="str">
        <f>项目基本情况!S2</f>
        <v>北京市朝阳区朝阳区门外大街18号房地产</v>
      </c>
      <c r="B2" s="3360"/>
      <c r="C2" s="3360"/>
      <c r="D2" s="3360"/>
      <c r="E2" s="3360"/>
      <c r="F2" s="3360"/>
      <c r="G2" s="3360"/>
      <c r="H2" s="3360"/>
      <c r="I2" s="3361"/>
    </row>
    <row r="3" spans="1:12" ht="12.75">
      <c r="A3" s="3363" t="s">
        <v>1263</v>
      </c>
      <c r="B3" s="3364"/>
      <c r="C3" s="3364"/>
      <c r="D3" s="3364"/>
      <c r="E3" s="3364"/>
      <c r="F3" s="3364"/>
      <c r="G3" s="3364"/>
      <c r="H3" s="3364"/>
      <c r="I3" s="3364"/>
    </row>
    <row r="4" spans="1:12" ht="14.25">
      <c r="A4" s="1624" t="s">
        <v>1264</v>
      </c>
      <c r="B4" s="1625" t="s">
        <v>1265</v>
      </c>
      <c r="C4" s="1626" t="s">
        <v>3415</v>
      </c>
      <c r="D4" s="1626" t="s">
        <v>3468</v>
      </c>
      <c r="E4" s="3368" t="s">
        <v>1266</v>
      </c>
      <c r="F4" s="3369"/>
      <c r="G4" s="3369"/>
      <c r="H4" s="3369"/>
      <c r="I4" s="3370"/>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307" t="s">
        <v>1267</v>
      </c>
      <c r="B5" s="3362">
        <v>25</v>
      </c>
      <c r="C5" s="3365"/>
      <c r="D5" s="3353"/>
      <c r="E5" s="123" t="s">
        <v>1268</v>
      </c>
      <c r="F5" s="1627"/>
      <c r="G5" s="1627"/>
      <c r="H5" s="1627"/>
      <c r="I5" s="1281"/>
    </row>
    <row r="6" spans="1:12" ht="12.75">
      <c r="A6" s="3307"/>
      <c r="B6" s="3362"/>
      <c r="C6" s="3367"/>
      <c r="D6" s="3353"/>
      <c r="E6" s="123" t="s">
        <v>1269</v>
      </c>
      <c r="F6" s="1627"/>
      <c r="G6" s="1627"/>
      <c r="H6" s="1627"/>
      <c r="I6" s="1281"/>
    </row>
    <row r="7" spans="1:12" ht="12.75">
      <c r="A7" s="3307"/>
      <c r="B7" s="3362"/>
      <c r="C7" s="3366"/>
      <c r="D7" s="3353"/>
      <c r="E7" s="123" t="s">
        <v>1270</v>
      </c>
      <c r="F7" s="1627"/>
      <c r="G7" s="1627"/>
      <c r="H7" s="1627"/>
      <c r="I7" s="1281"/>
    </row>
    <row r="8" spans="1:12" ht="12.75">
      <c r="A8" s="3307" t="s">
        <v>1271</v>
      </c>
      <c r="B8" s="3362">
        <v>15</v>
      </c>
      <c r="C8" s="3365"/>
      <c r="D8" s="3353"/>
      <c r="E8" s="123" t="s">
        <v>1272</v>
      </c>
      <c r="F8" s="1627"/>
      <c r="G8" s="1627"/>
      <c r="H8" s="1627"/>
      <c r="I8" s="1281"/>
    </row>
    <row r="9" spans="1:12" ht="12.75">
      <c r="A9" s="3307"/>
      <c r="B9" s="3362"/>
      <c r="C9" s="3366"/>
      <c r="D9" s="3353"/>
      <c r="E9" s="123" t="s">
        <v>1273</v>
      </c>
      <c r="F9" s="1627"/>
      <c r="G9" s="1627"/>
      <c r="H9" s="1627"/>
      <c r="I9" s="1281"/>
    </row>
    <row r="10" spans="1:12" ht="12.75">
      <c r="A10" s="3307" t="s">
        <v>1274</v>
      </c>
      <c r="B10" s="3362">
        <v>15</v>
      </c>
      <c r="C10" s="3365"/>
      <c r="D10" s="3353"/>
      <c r="E10" s="123" t="s">
        <v>1275</v>
      </c>
      <c r="F10" s="1627"/>
      <c r="G10" s="1627"/>
      <c r="H10" s="1627"/>
      <c r="I10" s="1281"/>
    </row>
    <row r="11" spans="1:12" ht="12.75">
      <c r="A11" s="3307"/>
      <c r="B11" s="3362"/>
      <c r="C11" s="3366"/>
      <c r="D11" s="3353"/>
      <c r="E11" s="123" t="s">
        <v>1276</v>
      </c>
      <c r="F11" s="1627"/>
      <c r="G11" s="1627"/>
      <c r="H11" s="1627"/>
      <c r="I11" s="1281"/>
    </row>
    <row r="12" spans="1:12" ht="12.75">
      <c r="A12" s="3307" t="s">
        <v>1277</v>
      </c>
      <c r="B12" s="3362">
        <v>15</v>
      </c>
      <c r="C12" s="3365"/>
      <c r="D12" s="3353"/>
      <c r="E12" s="123" t="s">
        <v>1278</v>
      </c>
      <c r="F12" s="1627"/>
      <c r="G12" s="1627"/>
      <c r="H12" s="1627"/>
      <c r="I12" s="1281"/>
    </row>
    <row r="13" spans="1:12" ht="12.75">
      <c r="A13" s="3307"/>
      <c r="B13" s="3362"/>
      <c r="C13" s="3366"/>
      <c r="D13" s="3353"/>
      <c r="E13" s="123" t="s">
        <v>1279</v>
      </c>
      <c r="F13" s="1627"/>
      <c r="G13" s="1627"/>
      <c r="H13" s="1627"/>
      <c r="I13" s="1281"/>
    </row>
    <row r="14" spans="1:12" ht="12.75">
      <c r="A14" s="3307" t="s">
        <v>1280</v>
      </c>
      <c r="B14" s="3362">
        <v>30</v>
      </c>
      <c r="C14" s="3365">
        <v>8</v>
      </c>
      <c r="D14" s="3353">
        <v>2</v>
      </c>
      <c r="E14" s="123" t="s">
        <v>1281</v>
      </c>
      <c r="F14" s="1627"/>
      <c r="G14" s="1627"/>
      <c r="H14" s="1627"/>
      <c r="I14" s="1281"/>
    </row>
    <row r="15" spans="1:12" ht="12.75">
      <c r="A15" s="3307"/>
      <c r="B15" s="3362"/>
      <c r="C15" s="3367"/>
      <c r="D15" s="3353"/>
      <c r="E15" s="123" t="s">
        <v>1282</v>
      </c>
      <c r="F15" s="1627"/>
      <c r="G15" s="1627"/>
      <c r="H15" s="1627"/>
      <c r="I15" s="1281"/>
    </row>
    <row r="16" spans="1:12" ht="12.75">
      <c r="A16" s="3307"/>
      <c r="B16" s="3362"/>
      <c r="C16" s="3366"/>
      <c r="D16" s="3353"/>
      <c r="E16" s="123" t="s">
        <v>1283</v>
      </c>
      <c r="F16" s="1627"/>
      <c r="G16" s="1627"/>
      <c r="H16" s="1627"/>
      <c r="I16" s="1281"/>
    </row>
    <row r="17" spans="1:36" ht="15">
      <c r="A17" s="1628" t="s">
        <v>1284</v>
      </c>
      <c r="B17" s="54"/>
      <c r="C17" s="124">
        <f>SUM(C5:C16)</f>
        <v>8</v>
      </c>
      <c r="D17" s="124">
        <f>SUM(D5:D16)</f>
        <v>2</v>
      </c>
      <c r="E17" s="121"/>
      <c r="F17" s="121"/>
      <c r="G17" s="121"/>
      <c r="H17" s="121"/>
      <c r="I17" s="121"/>
      <c r="K17" s="294"/>
      <c r="L17" s="294" t="s">
        <v>1285</v>
      </c>
      <c r="M17" s="294" t="s">
        <v>1286</v>
      </c>
    </row>
    <row r="18" spans="1:36" ht="31.9" customHeight="1" thickBot="1">
      <c r="A18" s="1629" t="s">
        <v>1287</v>
      </c>
      <c r="B18" s="1542"/>
      <c r="C18" s="125">
        <f>ROUND(C17/SUM(C17:D17),2)</f>
        <v>0.8</v>
      </c>
      <c r="D18" s="125">
        <f>1-C18</f>
        <v>0.19999999999999996</v>
      </c>
      <c r="E18" s="3384" t="s">
        <v>2130</v>
      </c>
      <c r="F18" s="3385"/>
      <c r="G18" s="3385"/>
      <c r="H18" s="3385"/>
      <c r="I18" s="3385"/>
      <c r="K18" s="294" t="s">
        <v>1288</v>
      </c>
      <c r="L18" s="294">
        <f>IF(C1="",'数据-汇总表'!E3,SUMIF(项目类型,C1,'数据-汇总表'!E17:E26)+SUMIF(项目类型,C1,'数据-汇总表'!I17:I26))</f>
        <v>6547.83</v>
      </c>
      <c r="M18" s="294">
        <f>IF(C1="",'数据-汇总表'!E3,SUMIF(项目类型,C1,'数据-汇总表'!E17:E26))</f>
        <v>6547.83</v>
      </c>
    </row>
    <row r="19" spans="1:36" ht="15">
      <c r="A19" s="1630" t="s">
        <v>1289</v>
      </c>
      <c r="B19" s="1631" t="s">
        <v>1290</v>
      </c>
      <c r="C19" s="126">
        <f ca="1">SUMIF(INDIRECT("'"&amp;C4&amp;"'"&amp;"!A:A"),结果表!B19,INDIRECT("'"&amp;C4&amp;"'"&amp;"!B:B"))</f>
        <v>20473</v>
      </c>
      <c r="D19" s="127">
        <f ca="1">SUMIF(INDIRECT("'"&amp;D4&amp;"'"&amp;"!A:A"),结果表!B19,INDIRECT("'"&amp;D4&amp;"'"&amp;"!B:B"))</f>
        <v>8203</v>
      </c>
      <c r="E19" s="1630" t="s">
        <v>1291</v>
      </c>
      <c r="F19" s="1631" t="s">
        <v>1290</v>
      </c>
      <c r="G19" s="128">
        <f ca="1">ROUND(C19*$C$18+D19*$D$18,0)</f>
        <v>18019</v>
      </c>
      <c r="H19" s="1632" t="s">
        <v>1292</v>
      </c>
      <c r="I19" s="121"/>
      <c r="K19" s="294" t="s">
        <v>1293</v>
      </c>
      <c r="L19" s="294">
        <f>IF(C1="",'数据-汇总表'!D3,SUMIF(项目类型,C1,'数据-汇总表'!D17:D26)+SUMIF(项目类型,C1,'数据-汇总表'!H17:H27))</f>
        <v>750.35</v>
      </c>
      <c r="M19" s="294">
        <f>IF(C1="",'数据-汇总表'!D3,SUMIF(项目类型,C1,'数据-汇总表'!D17:D26))</f>
        <v>750.35</v>
      </c>
    </row>
    <row r="20" spans="1:36" ht="15">
      <c r="A20" s="1633"/>
      <c r="B20" s="43" t="s">
        <v>1294</v>
      </c>
      <c r="C20" s="129">
        <f ca="1">SUMIF(INDIRECT("'"&amp;C4&amp;"'"&amp;"!A:A"),结果表!B20,INDIRECT("'"&amp;C4&amp;"'"&amp;"!B:B"))</f>
        <v>31267</v>
      </c>
      <c r="D20" s="130">
        <f ca="1">SUMIF(INDIRECT("'"&amp;D4&amp;"'"&amp;"!A:A"),结果表!B20,INDIRECT("'"&amp;D4&amp;"'"&amp;"!B:B"))</f>
        <v>12528</v>
      </c>
      <c r="E20" s="1633"/>
      <c r="F20" s="43" t="s">
        <v>1294</v>
      </c>
      <c r="G20" s="131">
        <f ca="1">ROUND(C20*$C$18+D20*$D$18,0)</f>
        <v>27519</v>
      </c>
      <c r="H20" s="760" t="s">
        <v>1295</v>
      </c>
      <c r="I20" s="121"/>
    </row>
    <row r="21" spans="1:36" ht="15" customHeight="1" thickBot="1">
      <c r="A21" s="449"/>
      <c r="B21" s="93" t="s">
        <v>1296</v>
      </c>
      <c r="C21" s="678">
        <f ca="1">ROUND(C19*10000/L19,0)</f>
        <v>272846</v>
      </c>
      <c r="D21" s="679">
        <f ca="1">ROUND(D19*10000/L19,0)</f>
        <v>109322</v>
      </c>
      <c r="E21" s="449"/>
      <c r="F21" s="93" t="s">
        <v>1296</v>
      </c>
      <c r="G21" s="132">
        <f ca="1">ROUND(G19*10000/L19,0)</f>
        <v>240141</v>
      </c>
      <c r="H21" s="1634" t="s">
        <v>1295</v>
      </c>
      <c r="I21" s="121"/>
    </row>
    <row r="22" spans="1:36" ht="15" thickBot="1">
      <c r="A22" s="1564" t="s">
        <v>1297</v>
      </c>
      <c r="B22" s="1635"/>
      <c r="C22" s="1636"/>
      <c r="D22" s="680">
        <f ca="1">IF(C19&lt;D19,D19/C19-1,C19/D19-1)</f>
        <v>1.4957942216262343</v>
      </c>
      <c r="E22" s="121"/>
      <c r="F22" s="121"/>
      <c r="G22" s="121"/>
      <c r="H22" s="121"/>
      <c r="I22" s="121"/>
    </row>
    <row r="23" spans="1:36" ht="13.5" thickBot="1">
      <c r="A23" s="646"/>
      <c r="B23" s="646"/>
      <c r="C23" s="646"/>
      <c r="D23" s="646"/>
      <c r="E23" s="121"/>
      <c r="F23" s="121"/>
      <c r="G23" s="121"/>
      <c r="H23" s="121"/>
      <c r="I23" s="121"/>
    </row>
    <row r="24" spans="1:36" ht="14.25">
      <c r="A24" s="3377" t="s">
        <v>1298</v>
      </c>
      <c r="B24" s="1631" t="s">
        <v>1290</v>
      </c>
      <c r="C24" s="128">
        <f>IF(B30=0,0,D30)</f>
        <v>0</v>
      </c>
      <c r="D24" s="1637"/>
      <c r="E24" s="121"/>
      <c r="F24" s="121"/>
      <c r="G24" s="121"/>
      <c r="H24" s="121"/>
      <c r="I24" s="121"/>
    </row>
    <row r="25" spans="1:36" ht="14.25">
      <c r="A25" s="3378"/>
      <c r="B25" s="43" t="s">
        <v>1294</v>
      </c>
      <c r="C25" s="133">
        <f>IF(B30=0,0,C30)</f>
        <v>0</v>
      </c>
      <c r="D25" s="1638"/>
      <c r="E25" s="121"/>
      <c r="F25" s="121"/>
      <c r="G25" s="121"/>
      <c r="H25" s="121"/>
      <c r="I25" s="121"/>
    </row>
    <row r="26" spans="1:36" ht="13.5" customHeight="1">
      <c r="A26" s="1639" t="s">
        <v>1299</v>
      </c>
      <c r="B26" s="134" t="s">
        <v>1300</v>
      </c>
      <c r="C26" s="134" t="s">
        <v>1301</v>
      </c>
      <c r="D26" s="135" t="s">
        <v>1302</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1303</v>
      </c>
      <c r="B30" s="134"/>
      <c r="C30" s="134"/>
      <c r="D30" s="134"/>
      <c r="E30" s="2127" t="s">
        <v>2131</v>
      </c>
      <c r="F30" s="121"/>
      <c r="G30" s="121"/>
      <c r="H30" s="121"/>
      <c r="I30" s="121"/>
    </row>
    <row r="31" spans="1:36" s="2133" customFormat="1" ht="26.45" customHeight="1" thickTop="1" thickBot="1">
      <c r="A31" s="2128"/>
      <c r="B31" s="2129"/>
      <c r="C31" s="2129"/>
      <c r="D31" s="2129"/>
      <c r="E31" s="2129"/>
      <c r="F31" s="2129"/>
      <c r="G31" s="2129"/>
      <c r="H31" s="2129"/>
      <c r="I31" s="2130" t="s">
        <v>2132</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1304</v>
      </c>
      <c r="B32" s="1535"/>
      <c r="C32" s="136">
        <f ca="1">IF(D32="总价",G19-C24,G20-C25)</f>
        <v>18019</v>
      </c>
      <c r="D32" s="1641" t="s">
        <v>3417</v>
      </c>
      <c r="E32" s="121"/>
      <c r="F32" s="121"/>
      <c r="G32" s="121"/>
      <c r="H32" s="121"/>
      <c r="I32" s="121"/>
    </row>
    <row r="33" spans="1:15" ht="15">
      <c r="A33" s="740" t="s">
        <v>1305</v>
      </c>
      <c r="B33" s="123"/>
      <c r="C33" s="1642" t="s">
        <v>3416</v>
      </c>
      <c r="D33" s="1643" t="s">
        <v>3415</v>
      </c>
      <c r="E33" s="1644" t="s">
        <v>1306</v>
      </c>
      <c r="F33" s="1645" t="str">
        <f>IF(D32="楼面单价","取值（单价）","取值（总价）")</f>
        <v>取值（总价）</v>
      </c>
      <c r="G33" s="121"/>
      <c r="H33" s="121"/>
      <c r="I33" s="121"/>
    </row>
    <row r="34" spans="1:15" ht="15">
      <c r="A34" s="1646"/>
      <c r="B34" s="1647" t="s">
        <v>1307</v>
      </c>
      <c r="C34" s="140">
        <f ca="1">IF(C33="自定义",F34,C32-C35)</f>
        <v>14091</v>
      </c>
      <c r="D34" s="808">
        <f ca="1">IF(C33="自定义",ROUND(C34/C32,3),IF(C33="收益比率",SUMIF(INDIRECT("'"&amp;D33&amp;"'"&amp;"!b:b"),"土地收益比率",INDIRECT("'"&amp;D33&amp;"'"&amp;"!c:c")),SUMIF(INDIRECT("'"&amp;D33&amp;"'"&amp;"!b:b"),"土地成本比率",INDIRECT("'"&amp;D33&amp;"'"&amp;"!c:c"))))</f>
        <v>0.78200000000000003</v>
      </c>
      <c r="E34" s="1648" t="s">
        <v>1308</v>
      </c>
      <c r="F34" s="1243"/>
      <c r="G34" s="121"/>
      <c r="H34" s="121"/>
      <c r="I34" s="121"/>
    </row>
    <row r="35" spans="1:15" ht="15.75" thickBot="1">
      <c r="A35" s="1649"/>
      <c r="B35" s="1650" t="s">
        <v>1309</v>
      </c>
      <c r="C35" s="1090">
        <f ca="1">IF(C33="自定义",F35,ROUND(C32*D35,0))</f>
        <v>3928</v>
      </c>
      <c r="D35" s="1091">
        <f ca="1">IF(C33="自定义",ROUND(C35/C32,3),IF(C33="收益比率",SUMIF(INDIRECT("'"&amp;D33&amp;"'"&amp;"!b:b"),"建筑物收益比率",INDIRECT("'"&amp;D33&amp;"'"&amp;"!c:c")),SUMIF(INDIRECT("'"&amp;D33&amp;"'"&amp;"!b:b"),"建筑物成本比率",INDIRECT("'"&amp;D33&amp;"'"&amp;"!c:c"))))</f>
        <v>0.218</v>
      </c>
      <c r="E35" s="1651" t="s">
        <v>1310</v>
      </c>
      <c r="F35" s="146"/>
      <c r="G35" s="121"/>
      <c r="H35" s="121"/>
      <c r="I35" s="121"/>
    </row>
    <row r="36" spans="1:15" ht="15.75" thickBot="1">
      <c r="A36" s="3354" t="s">
        <v>1311</v>
      </c>
      <c r="B36" s="1652" t="s">
        <v>1312</v>
      </c>
      <c r="C36" s="137"/>
      <c r="D36" s="1653"/>
      <c r="E36" s="1567"/>
      <c r="F36" s="1654"/>
      <c r="G36" s="121"/>
      <c r="H36" s="121"/>
      <c r="I36" s="121"/>
    </row>
    <row r="37" spans="1:15" ht="15.75" thickBot="1">
      <c r="A37" s="3355"/>
      <c r="B37" s="1555" t="s">
        <v>1313</v>
      </c>
      <c r="C37" s="139"/>
      <c r="D37" s="1071"/>
      <c r="E37" s="1071"/>
      <c r="F37" s="1654"/>
      <c r="G37" s="121"/>
      <c r="H37" s="121"/>
      <c r="I37" s="121"/>
    </row>
    <row r="38" spans="1:15" ht="15.75" thickBot="1">
      <c r="A38" s="3356"/>
      <c r="B38" s="1655" t="s">
        <v>1314</v>
      </c>
      <c r="C38" s="641"/>
      <c r="D38" s="1656" t="s">
        <v>1315</v>
      </c>
      <c r="E38" s="1071"/>
      <c r="F38" s="1654"/>
      <c r="G38" s="121"/>
      <c r="H38" s="121"/>
      <c r="I38" s="121"/>
    </row>
    <row r="39" spans="1:15" ht="15">
      <c r="A39" s="1633" t="s">
        <v>1316</v>
      </c>
      <c r="B39" s="1657" t="s">
        <v>1317</v>
      </c>
      <c r="C39" s="1658" t="s">
        <v>1318</v>
      </c>
      <c r="D39" s="1658" t="s">
        <v>1319</v>
      </c>
      <c r="E39" s="1659" t="s">
        <v>1320</v>
      </c>
      <c r="F39" s="1654"/>
      <c r="G39" s="121"/>
      <c r="H39" s="121"/>
      <c r="I39" s="121"/>
    </row>
    <row r="40" spans="1:15" ht="14.25">
      <c r="A40" s="1660" t="s">
        <v>1321</v>
      </c>
      <c r="B40" s="141"/>
      <c r="C40" s="142"/>
      <c r="D40" s="142"/>
      <c r="E40" s="143"/>
      <c r="F40" s="1654"/>
      <c r="G40" s="121"/>
      <c r="H40" s="121"/>
      <c r="I40" s="121"/>
    </row>
    <row r="41" spans="1:15" ht="14.25">
      <c r="A41" s="1660" t="s">
        <v>1322</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1323</v>
      </c>
      <c r="B44" s="1664"/>
      <c r="C44" s="1664"/>
      <c r="D44" s="1665"/>
      <c r="E44" s="1665"/>
      <c r="F44" s="1666"/>
      <c r="G44" s="1666"/>
      <c r="H44" s="1666"/>
      <c r="I44" s="1666"/>
      <c r="J44" s="1667" t="s">
        <v>1324</v>
      </c>
      <c r="K44" s="4"/>
      <c r="L44" s="4"/>
      <c r="M44" s="4"/>
      <c r="N44" s="4"/>
      <c r="O44" s="4"/>
    </row>
    <row r="45" spans="1:15" ht="14.25" customHeight="1" thickBot="1">
      <c r="A45" s="3374" t="s">
        <v>1325</v>
      </c>
      <c r="B45" s="3375"/>
      <c r="C45" s="3376"/>
      <c r="D45" s="147">
        <f ca="1">ROUND(H101*F45,0)</f>
        <v>18019</v>
      </c>
      <c r="E45" s="148" t="s">
        <v>1326</v>
      </c>
      <c r="F45" s="149">
        <v>1</v>
      </c>
      <c r="G45" s="150" t="s">
        <v>1327</v>
      </c>
      <c r="H45" s="121"/>
      <c r="I45" s="121"/>
      <c r="J45" s="3294" t="s">
        <v>1328</v>
      </c>
      <c r="K45" s="3294"/>
      <c r="L45" s="3294"/>
      <c r="M45" s="3294"/>
      <c r="N45" s="3294"/>
      <c r="O45" s="3294"/>
    </row>
    <row r="46" spans="1:15" ht="14.25" customHeight="1">
      <c r="A46" s="3371" t="s">
        <v>1329</v>
      </c>
      <c r="B46" s="3372"/>
      <c r="C46" s="3372"/>
      <c r="D46" s="3372"/>
      <c r="E46" s="3372"/>
      <c r="F46" s="3372"/>
      <c r="G46" s="3373"/>
      <c r="H46" s="1668"/>
      <c r="I46" s="151"/>
      <c r="J46" s="2308">
        <v>1</v>
      </c>
      <c r="K46" s="3295" t="s">
        <v>1330</v>
      </c>
      <c r="L46" s="3295"/>
      <c r="M46" s="3296"/>
      <c r="N46" s="3296"/>
      <c r="O46" s="3296"/>
    </row>
    <row r="47" spans="1:15" ht="12" customHeight="1">
      <c r="A47" s="152" t="s">
        <v>1331</v>
      </c>
      <c r="B47" s="153"/>
      <c r="C47" s="154"/>
      <c r="D47" s="1024" t="s">
        <v>1332</v>
      </c>
      <c r="E47" s="294" t="s">
        <v>1333</v>
      </c>
      <c r="F47" s="155" t="s">
        <v>1334</v>
      </c>
      <c r="G47" s="2331" t="s">
        <v>1335</v>
      </c>
      <c r="H47" s="2332"/>
      <c r="I47" s="151"/>
      <c r="J47" s="2308">
        <v>2</v>
      </c>
      <c r="K47" s="3295" t="s">
        <v>1336</v>
      </c>
      <c r="L47" s="3295"/>
      <c r="M47" s="3297">
        <f>'数据-取费表'!B2</f>
        <v>45051</v>
      </c>
      <c r="N47" s="3297"/>
      <c r="O47" s="3297"/>
    </row>
    <row r="48" spans="1:15" ht="25.5">
      <c r="A48" s="3357" t="s">
        <v>1337</v>
      </c>
      <c r="B48" s="3358"/>
      <c r="C48" s="3358"/>
      <c r="D48" s="12" t="b">
        <f>IF(H48="情况1",0,IF(H48="情况2",D52,IF(H48="情况3",D53,IF(H48="情况4",D54))))</f>
        <v>0</v>
      </c>
      <c r="E48" s="1256" t="str">
        <f>IF(H48="情况4","(销售额-原购置价)×税（费）率","销售额×税（费）率")</f>
        <v>销售额×税（费）率</v>
      </c>
      <c r="F48" s="2333">
        <f>IF(H48="情况1","免征",'数据-取费表'!B41)</f>
        <v>5.6000000000000001E-2</v>
      </c>
      <c r="G48" s="2334" t="s">
        <v>1338</v>
      </c>
      <c r="H48" s="2335"/>
      <c r="I48" s="1668"/>
      <c r="J48" s="2308">
        <v>3</v>
      </c>
      <c r="K48" s="3295" t="s">
        <v>1339</v>
      </c>
      <c r="L48" s="3295"/>
      <c r="M48" s="3298">
        <f ca="1">H101</f>
        <v>18019</v>
      </c>
      <c r="N48" s="3298"/>
      <c r="O48" s="3298"/>
    </row>
    <row r="49" spans="1:35" ht="25.5" customHeight="1">
      <c r="A49" s="2152" t="s">
        <v>1340</v>
      </c>
      <c r="B49" s="3343" t="s">
        <v>1341</v>
      </c>
      <c r="C49" s="3343"/>
      <c r="D49" s="1478">
        <v>0</v>
      </c>
      <c r="E49" s="316" t="s">
        <v>1342</v>
      </c>
      <c r="F49" s="2231" t="s">
        <v>28</v>
      </c>
      <c r="G49" s="3326"/>
      <c r="H49" s="2134" t="s">
        <v>2133</v>
      </c>
      <c r="I49" s="2135"/>
      <c r="J49" s="2308">
        <v>4</v>
      </c>
      <c r="K49" s="3295" t="str">
        <f>IF(项目基本情况!E8="房地产抵押价值","房地产抵押价值","抵押担保权已注销时的房地产抵押价值")</f>
        <v>抵押担保权已注销时的房地产抵押价值</v>
      </c>
      <c r="L49" s="3295"/>
      <c r="M49" s="3298" t="str">
        <f>IF(项目基本情况!E8="房地产抵押价值",H107,H109)</f>
        <v>——</v>
      </c>
      <c r="N49" s="3298"/>
      <c r="O49" s="3298"/>
    </row>
    <row r="50" spans="1:35" ht="25.5" customHeight="1">
      <c r="A50" s="2336"/>
      <c r="B50" s="3343" t="s">
        <v>1343</v>
      </c>
      <c r="C50" s="3343"/>
      <c r="D50" s="2189"/>
      <c r="E50" s="323"/>
      <c r="F50" s="2231"/>
      <c r="G50" s="3327"/>
      <c r="H50" s="2136" t="s">
        <v>2134</v>
      </c>
      <c r="I50" s="2135"/>
      <c r="J50" s="3294" t="s">
        <v>1344</v>
      </c>
      <c r="K50" s="3294"/>
      <c r="L50" s="3294"/>
      <c r="M50" s="3294"/>
      <c r="N50" s="3294"/>
      <c r="O50" s="3294"/>
    </row>
    <row r="51" spans="1:35" ht="20.45" customHeight="1">
      <c r="A51" s="2337"/>
      <c r="B51" s="3343" t="s">
        <v>1345</v>
      </c>
      <c r="C51" s="3343"/>
      <c r="D51" s="1024"/>
      <c r="E51" s="319"/>
      <c r="F51" s="2231"/>
      <c r="G51" s="3328"/>
      <c r="H51" s="2136" t="s">
        <v>2135</v>
      </c>
      <c r="I51" s="2135"/>
      <c r="J51" s="2309" t="s">
        <v>1346</v>
      </c>
      <c r="K51" s="3295" t="s">
        <v>1347</v>
      </c>
      <c r="L51" s="3295"/>
      <c r="M51" s="2309" t="s">
        <v>1348</v>
      </c>
      <c r="N51" s="2309" t="s">
        <v>1349</v>
      </c>
      <c r="O51" s="2309" t="s">
        <v>1350</v>
      </c>
    </row>
    <row r="52" spans="1:35" ht="24" customHeight="1">
      <c r="A52" s="2153" t="s">
        <v>1351</v>
      </c>
      <c r="B52" s="3343" t="s">
        <v>1352</v>
      </c>
      <c r="C52" s="3343"/>
      <c r="D52" s="1024">
        <f ca="1">ROUND(D45*'数据-取费表'!B41/(1+'数据-取费表'!C42),0)</f>
        <v>961</v>
      </c>
      <c r="E52" s="1256" t="s">
        <v>1353</v>
      </c>
      <c r="F52" s="2338">
        <f>'数据-取费表'!B41</f>
        <v>5.6000000000000001E-2</v>
      </c>
      <c r="G52" s="2339"/>
      <c r="H52" s="2329"/>
      <c r="I52" s="1669"/>
      <c r="J52" s="2308">
        <v>1</v>
      </c>
      <c r="K52" s="3320" t="s">
        <v>1354</v>
      </c>
      <c r="L52" s="3320"/>
      <c r="M52" s="2310" t="b">
        <f>D48</f>
        <v>0</v>
      </c>
      <c r="N52" s="2308" t="str">
        <f>E48</f>
        <v>销售额×税（费）率</v>
      </c>
      <c r="O52" s="2311">
        <f>F48</f>
        <v>5.6000000000000001E-2</v>
      </c>
    </row>
    <row r="53" spans="1:35" ht="12" customHeight="1">
      <c r="A53" s="2153" t="s">
        <v>1355</v>
      </c>
      <c r="B53" s="3344" t="s">
        <v>2286</v>
      </c>
      <c r="C53" s="3345"/>
      <c r="D53" s="1024">
        <f ca="1">ROUND(D45*'数据-取费表'!B41/(1+'数据-取费表'!C42),0)</f>
        <v>961</v>
      </c>
      <c r="E53" s="1256" t="s">
        <v>1353</v>
      </c>
      <c r="F53" s="2338">
        <f>'数据-取费表'!B41</f>
        <v>5.6000000000000001E-2</v>
      </c>
      <c r="G53" s="2339"/>
      <c r="H53" s="2329"/>
      <c r="I53" s="1669"/>
      <c r="J53" s="2308">
        <v>2</v>
      </c>
      <c r="K53" s="3320" t="s">
        <v>1356</v>
      </c>
      <c r="L53" s="3320"/>
      <c r="M53" s="2310">
        <f t="shared" ref="M53:O54" ca="1" si="0">D55</f>
        <v>9</v>
      </c>
      <c r="N53" s="2308" t="str">
        <f t="shared" si="0"/>
        <v>销售额×税（费）率</v>
      </c>
      <c r="O53" s="2311" t="str">
        <f t="shared" si="0"/>
        <v>免征</v>
      </c>
    </row>
    <row r="54" spans="1:35" ht="12" customHeight="1">
      <c r="A54" s="2153" t="s">
        <v>1357</v>
      </c>
      <c r="B54" s="3344" t="s">
        <v>2287</v>
      </c>
      <c r="C54" s="3345"/>
      <c r="D54" s="1024">
        <f ca="1">C68</f>
        <v>961</v>
      </c>
      <c r="E54" s="319" t="s">
        <v>1358</v>
      </c>
      <c r="F54" s="2338">
        <f>'数据-取费表'!B41</f>
        <v>5.6000000000000001E-2</v>
      </c>
      <c r="G54" s="2339"/>
      <c r="H54" s="2340"/>
      <c r="I54" s="1669"/>
      <c r="J54" s="2308">
        <v>3</v>
      </c>
      <c r="K54" s="3320" t="s">
        <v>1359</v>
      </c>
      <c r="L54" s="3320"/>
      <c r="M54" s="2310">
        <f t="shared" ca="1" si="0"/>
        <v>10199</v>
      </c>
      <c r="N54" s="2308" t="str">
        <f t="shared" si="0"/>
        <v>增值额×税（费）率</v>
      </c>
      <c r="O54" s="2312" t="str">
        <f t="shared" si="0"/>
        <v>免征</v>
      </c>
    </row>
    <row r="55" spans="1:35" ht="24" customHeight="1">
      <c r="A55" s="3380" t="s">
        <v>1360</v>
      </c>
      <c r="B55" s="3358"/>
      <c r="C55" s="3358"/>
      <c r="D55" s="12">
        <f ca="1">IF(H55="个人住宅",0,ROUND(D45*I55,0))</f>
        <v>9</v>
      </c>
      <c r="E55" s="1256" t="s">
        <v>1361</v>
      </c>
      <c r="F55" s="2338" t="str">
        <f>IF(H55="正常",I55,"免征")</f>
        <v>免征</v>
      </c>
      <c r="G55" s="2339"/>
      <c r="H55" s="2335"/>
      <c r="I55" s="157">
        <f>'数据-取费表'!B49</f>
        <v>5.0000000000000001E-4</v>
      </c>
      <c r="J55" s="2308">
        <f>IF(H59="非个人房产","",4)</f>
        <v>4</v>
      </c>
      <c r="K55" s="3320" t="str">
        <f>IF(H59="非个人房产","——","个人所得税")</f>
        <v>个人所得税</v>
      </c>
      <c r="L55" s="3320"/>
      <c r="M55" s="2313">
        <f ca="1">D59</f>
        <v>172</v>
      </c>
      <c r="N55" s="1883" t="str">
        <f>E59</f>
        <v>差额计税</v>
      </c>
      <c r="O55" s="2314">
        <f>F59</f>
        <v>0.01</v>
      </c>
    </row>
    <row r="56" spans="1:35" ht="24.75">
      <c r="A56" s="3380" t="s">
        <v>1362</v>
      </c>
      <c r="B56" s="3358"/>
      <c r="C56" s="3358"/>
      <c r="D56" s="12">
        <f ca="1">IF(H56="个人住宅",D57,D58)</f>
        <v>10199</v>
      </c>
      <c r="E56" s="1256" t="s">
        <v>1363</v>
      </c>
      <c r="F56" s="2338" t="str">
        <f>IF(H56="正常",F58,"免征")</f>
        <v>免征</v>
      </c>
      <c r="G56" s="2341" t="s">
        <v>1364</v>
      </c>
      <c r="H56" s="2342"/>
      <c r="I56" s="1670"/>
      <c r="J56" s="2308" t="str">
        <f>IF(项目基本情况!K6="上海银行",IF(J55="",4,J55+1),"")</f>
        <v/>
      </c>
      <c r="K56" s="3301" t="str">
        <f>IF(项目基本情况!K6="上海银行","其他处置费用","")</f>
        <v/>
      </c>
      <c r="L56" s="3302"/>
      <c r="M56" s="2310" t="str">
        <f>IF(项目基本情况!K6="上海银行",M69,"")</f>
        <v/>
      </c>
      <c r="N56" s="3301" t="str">
        <f>IF(项目基本情况!K6="上海银行","包含处置中涉及的律师、诉讼、拍卖、评估等费用","")</f>
        <v/>
      </c>
      <c r="O56" s="3304"/>
    </row>
    <row r="57" spans="1:35" ht="12.75">
      <c r="A57" s="2153" t="s">
        <v>1340</v>
      </c>
      <c r="B57" s="3344" t="s">
        <v>1365</v>
      </c>
      <c r="C57" s="3345"/>
      <c r="D57" s="1478">
        <v>0</v>
      </c>
      <c r="E57" s="316" t="s">
        <v>1342</v>
      </c>
      <c r="F57" s="294"/>
      <c r="G57" s="2339"/>
      <c r="H57" s="2343"/>
      <c r="I57" s="1670"/>
      <c r="J57" s="3320">
        <f>IF(AND(J55="",J56=""),4,IF(项目基本情况!K6="上海银行",结果表!J56+1,结果表!J55+1))</f>
        <v>5</v>
      </c>
      <c r="K57" s="3320" t="s">
        <v>1366</v>
      </c>
      <c r="L57" s="2315" t="s">
        <v>1367</v>
      </c>
      <c r="M57" s="2316"/>
      <c r="N57" s="2317">
        <f ca="1">SUMIF(M52:M56,"&lt;9e307")</f>
        <v>10380</v>
      </c>
      <c r="O57" s="2318"/>
      <c r="P57" s="2463" t="e">
        <f ca="1">N57/M49</f>
        <v>#VALUE!</v>
      </c>
    </row>
    <row r="58" spans="1:35" ht="24.75">
      <c r="A58" s="2153" t="s">
        <v>1351</v>
      </c>
      <c r="B58" s="3344" t="s">
        <v>1368</v>
      </c>
      <c r="C58" s="3343"/>
      <c r="D58" s="12">
        <f ca="1">IF(H58="转让取得",C81,C97)</f>
        <v>10199</v>
      </c>
      <c r="E58" s="1256" t="s">
        <v>1363</v>
      </c>
      <c r="F58" s="294" t="s">
        <v>28</v>
      </c>
      <c r="G58" s="2339"/>
      <c r="H58" s="2342"/>
      <c r="I58" s="1670"/>
      <c r="J58" s="3320"/>
      <c r="K58" s="3320"/>
      <c r="L58" s="2315" t="s">
        <v>1369</v>
      </c>
      <c r="M58" s="2319"/>
      <c r="N58" s="2320" t="str">
        <f ca="1">NUMBERSTRING(INT(N57*10000),2)&amp;"元整"</f>
        <v>壹亿零叁佰捌拾万元整</v>
      </c>
      <c r="O58" s="2321"/>
    </row>
    <row r="59" spans="1:35" ht="24.75" thickBot="1">
      <c r="A59" s="3324" t="s">
        <v>1370</v>
      </c>
      <c r="B59" s="3325"/>
      <c r="C59" s="3325"/>
      <c r="D59" s="2344">
        <f ca="1">IF(H59="非个人房产","——",IF(H59="个人住宅（满五唯一有凭证）",0,IF(H59="个人其他（无凭证）",ROUND(D45*F59,0),ROUND(C67*F59,0))))</f>
        <v>172</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1364</v>
      </c>
      <c r="H59" s="2138"/>
      <c r="I59" s="2137" t="s">
        <v>2136</v>
      </c>
      <c r="J59" s="3322">
        <f>J57+1</f>
        <v>6</v>
      </c>
      <c r="K59" s="3320" t="s">
        <v>1371</v>
      </c>
      <c r="L59" s="2308" t="s">
        <v>1367</v>
      </c>
      <c r="M59" s="2322"/>
      <c r="N59" s="2323" t="e">
        <f ca="1">M49-N57</f>
        <v>#VALUE!</v>
      </c>
      <c r="O59" s="2324"/>
    </row>
    <row r="60" spans="1:35" ht="12" customHeight="1">
      <c r="A60" s="1671"/>
      <c r="B60" s="646"/>
      <c r="C60" s="646"/>
      <c r="D60" s="646"/>
      <c r="E60" s="1466"/>
      <c r="F60" s="1670"/>
      <c r="G60" s="1670"/>
      <c r="H60" s="151"/>
      <c r="I60" s="121"/>
      <c r="J60" s="3323"/>
      <c r="K60" s="3320"/>
      <c r="L60" s="2315" t="s">
        <v>1369</v>
      </c>
      <c r="M60" s="2319"/>
      <c r="N60" s="2320" t="e">
        <f ca="1">NUMBERSTRING(INT(N59*10000),2)&amp;"元整"</f>
        <v>#VALUE!</v>
      </c>
      <c r="O60" s="2321"/>
    </row>
    <row r="61" spans="1:35" ht="13.5" thickBot="1">
      <c r="A61" s="3379" t="s">
        <v>1372</v>
      </c>
      <c r="B61" s="3379"/>
      <c r="C61" s="3379"/>
      <c r="D61" s="3379"/>
      <c r="E61" s="3379"/>
      <c r="F61" s="1670"/>
      <c r="G61" s="1670"/>
      <c r="H61" s="151"/>
      <c r="I61" s="121"/>
      <c r="J61" s="2308">
        <f>J59+1</f>
        <v>7</v>
      </c>
      <c r="K61" s="3320" t="s">
        <v>1373</v>
      </c>
      <c r="L61" s="3320"/>
      <c r="M61" s="2325"/>
      <c r="N61" s="2326" t="e">
        <f ca="1">ROUND(N59*10000/'数据-汇总表'!E3,0)</f>
        <v>#VALUE!</v>
      </c>
      <c r="O61" s="2327"/>
    </row>
    <row r="62" spans="1:35" ht="12.75">
      <c r="A62" s="3339" t="s">
        <v>1374</v>
      </c>
      <c r="B62" s="3340"/>
      <c r="C62" s="1865"/>
      <c r="D62" s="1865" t="s">
        <v>1375</v>
      </c>
      <c r="E62" s="158" t="s">
        <v>1376</v>
      </c>
      <c r="F62" s="1670"/>
      <c r="G62" s="1670"/>
      <c r="H62" s="151"/>
      <c r="I62" s="121"/>
    </row>
    <row r="63" spans="1:35" ht="12.75">
      <c r="A63" s="165" t="s">
        <v>330</v>
      </c>
      <c r="B63" s="159" t="s">
        <v>1377</v>
      </c>
      <c r="C63" s="2348">
        <f ca="1">ROUND((C64+C65)/(1+'数据-取费表'!C42),0)</f>
        <v>17161</v>
      </c>
      <c r="D63" s="159"/>
      <c r="E63" s="160"/>
      <c r="F63" s="1670"/>
      <c r="G63" s="1670"/>
      <c r="H63" s="151"/>
      <c r="I63" s="121"/>
      <c r="J63" s="3303" t="s">
        <v>1378</v>
      </c>
      <c r="K63" s="1245" t="s">
        <v>1379</v>
      </c>
      <c r="L63" s="1245" t="e">
        <f>IF(M49&gt;10000,M49*0.5%,IF(AND(M49&gt;1000,M49&lt;=10000),M49*1%,IF(AND(M49&gt;100,M49&lt;=1000),M49*3%,IF(AND(M49&gt;10,M49&lt;=100),M49*5%,M49*8%))))</f>
        <v>#VALUE!</v>
      </c>
      <c r="M63" s="294" t="e">
        <f>ROUND(L63,1)</f>
        <v>#VALUE!</v>
      </c>
      <c r="N63" s="2328"/>
      <c r="Z63" s="1623"/>
      <c r="AI63" s="1561"/>
    </row>
    <row r="64" spans="1:35" ht="14.25" customHeight="1">
      <c r="A64" s="161" t="s">
        <v>325</v>
      </c>
      <c r="B64" s="162" t="s">
        <v>1380</v>
      </c>
      <c r="C64" s="2349">
        <f ca="1">D45</f>
        <v>18019</v>
      </c>
      <c r="D64" s="162" t="s">
        <v>26</v>
      </c>
      <c r="E64" s="164"/>
      <c r="F64" s="1670"/>
      <c r="G64" s="1670"/>
      <c r="H64" s="151"/>
      <c r="I64" s="121"/>
      <c r="J64" s="3303"/>
      <c r="K64" s="1245" t="s">
        <v>1381</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9" t="s">
        <v>1382</v>
      </c>
      <c r="Z64" s="1623"/>
      <c r="AI64" s="1561"/>
    </row>
    <row r="65" spans="1:35" ht="14.25" customHeight="1">
      <c r="A65" s="161" t="s">
        <v>326</v>
      </c>
      <c r="B65" s="162" t="s">
        <v>1383</v>
      </c>
      <c r="C65" s="2350"/>
      <c r="D65" s="162"/>
      <c r="E65" s="164"/>
      <c r="F65" s="1670"/>
      <c r="G65" s="1670"/>
      <c r="H65" s="151"/>
      <c r="I65" s="121"/>
      <c r="J65" s="3303"/>
      <c r="K65" s="1245" t="s">
        <v>1384</v>
      </c>
      <c r="L65" s="1245" t="e">
        <f>IF(M49&gt;1000,M49*0.1%,IF(AND(M49&gt;500,M49&lt;=1000),M49*0.5%,IF(AND(M49&gt;50,M49&lt;=500),M49*1%,IF(AND(M49&gt;1,M49&lt;=50),M49*1.5%))))</f>
        <v>#VALUE!</v>
      </c>
      <c r="M65" s="294" t="e">
        <f t="shared" si="1"/>
        <v>#VALUE!</v>
      </c>
      <c r="N65" s="2329" t="s">
        <v>1382</v>
      </c>
      <c r="Z65" s="1623"/>
      <c r="AI65" s="1561"/>
    </row>
    <row r="66" spans="1:35" ht="14.25" customHeight="1">
      <c r="A66" s="165" t="s">
        <v>327</v>
      </c>
      <c r="B66" s="166" t="s">
        <v>1385</v>
      </c>
      <c r="C66" s="2351"/>
      <c r="D66" s="166" t="s">
        <v>26</v>
      </c>
      <c r="E66" s="1251" t="s">
        <v>671</v>
      </c>
      <c r="F66" s="1670"/>
      <c r="G66" s="1670"/>
      <c r="H66" s="151"/>
      <c r="I66" s="121"/>
      <c r="J66" s="3303"/>
      <c r="K66" s="1245" t="s">
        <v>1386</v>
      </c>
      <c r="L66" s="1245" t="e">
        <f>M49*0.5%</f>
        <v>#VALUE!</v>
      </c>
      <c r="M66" s="294" t="e">
        <f>IF(L66&gt;0.5,0.5,ROUND(L66,0))</f>
        <v>#VALUE!</v>
      </c>
      <c r="N66" s="2329" t="s">
        <v>1387</v>
      </c>
      <c r="Z66" s="1623"/>
      <c r="AI66" s="1561"/>
    </row>
    <row r="67" spans="1:35" ht="14.25" customHeight="1">
      <c r="A67" s="165" t="s">
        <v>328</v>
      </c>
      <c r="B67" s="166" t="s">
        <v>1388</v>
      </c>
      <c r="C67" s="2352">
        <f ca="1">C63-C66</f>
        <v>17161</v>
      </c>
      <c r="D67" s="162" t="s">
        <v>26</v>
      </c>
      <c r="E67" s="164"/>
      <c r="F67" s="1670"/>
      <c r="G67" s="1670"/>
      <c r="H67" s="151"/>
      <c r="I67" s="121"/>
      <c r="J67" s="3303"/>
      <c r="K67" s="1245" t="s">
        <v>1389</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8"/>
      <c r="Z67" s="1623"/>
      <c r="AI67" s="1561"/>
    </row>
    <row r="68" spans="1:35" ht="14.25" customHeight="1" thickBot="1">
      <c r="A68" s="168" t="s">
        <v>329</v>
      </c>
      <c r="B68" s="169" t="s">
        <v>1390</v>
      </c>
      <c r="C68" s="2353">
        <f ca="1">IF(C67&lt;=0,0,ROUND(C67*D68,0))</f>
        <v>961</v>
      </c>
      <c r="D68" s="2354">
        <f>'数据-取费表'!B41</f>
        <v>5.6000000000000001E-2</v>
      </c>
      <c r="E68" s="170"/>
      <c r="F68" s="1670"/>
      <c r="G68" s="1670"/>
      <c r="H68" s="151"/>
      <c r="I68" s="121"/>
      <c r="J68" s="3303"/>
      <c r="K68" s="1245" t="s">
        <v>1391</v>
      </c>
      <c r="L68" s="1245" t="e">
        <f>IF(M49&gt;10000,M49*0.5%,IF(AND(M49&gt;5000,M49&lt;=10000),M49*1%,IF(AND(M49&gt;1000,M49&lt;=5000),M49*2%,IF(AND(M49&gt;200,M49&lt;=1000),M49*3%,M49*5%))))</f>
        <v>#VALUE!</v>
      </c>
      <c r="M68" s="294" t="e">
        <f>ROUND(L68,1)</f>
        <v>#VALUE!</v>
      </c>
      <c r="N68" s="2328"/>
      <c r="Z68" s="1623"/>
      <c r="AI68" s="1561"/>
    </row>
    <row r="69" spans="1:35" ht="16.5" customHeight="1">
      <c r="A69" s="1672"/>
      <c r="B69" s="1673"/>
      <c r="C69" s="1674"/>
      <c r="D69" s="1675"/>
      <c r="E69" s="1676"/>
      <c r="F69" s="1466"/>
      <c r="G69" s="1466"/>
      <c r="H69" s="1467"/>
      <c r="I69" s="646"/>
      <c r="J69" s="3303"/>
      <c r="K69" s="1245" t="s">
        <v>1392</v>
      </c>
      <c r="L69" s="1245"/>
      <c r="M69" s="294" t="e">
        <f>ROUND(SUM(M63:M68),0)</f>
        <v>#VALUE!</v>
      </c>
      <c r="N69" s="2330" t="e">
        <f>M69/M49</f>
        <v>#VALUE!</v>
      </c>
      <c r="Z69" s="1623"/>
      <c r="AI69" s="1561"/>
    </row>
    <row r="70" spans="1:35" s="642" customFormat="1" ht="15" thickBot="1">
      <c r="A70" s="3347" t="s">
        <v>1393</v>
      </c>
      <c r="B70" s="3348"/>
      <c r="C70" s="3348"/>
      <c r="D70" s="3348"/>
      <c r="E70" s="3348"/>
      <c r="F70" s="3348"/>
      <c r="G70" s="3348"/>
      <c r="H70" s="334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39" t="s">
        <v>1374</v>
      </c>
      <c r="B71" s="3340"/>
      <c r="C71" s="1865"/>
      <c r="D71" s="1865" t="s">
        <v>1375</v>
      </c>
      <c r="E71" s="171" t="s">
        <v>1376</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1394</v>
      </c>
      <c r="C72" s="2352">
        <f ca="1">ROUND(D45/(1+'数据-取费表'!C42),0)</f>
        <v>17161</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1395</v>
      </c>
      <c r="C73" s="2352">
        <f ca="1">C74+C78</f>
        <v>103</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1396</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1397</v>
      </c>
      <c r="C75" s="2355"/>
      <c r="D75" s="162" t="s">
        <v>26</v>
      </c>
      <c r="E75" s="176" t="s">
        <v>1398</v>
      </c>
      <c r="F75" s="2356"/>
      <c r="G75" s="176" t="s">
        <v>1399</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1400</v>
      </c>
      <c r="C76" s="162">
        <f>IF(F75="购房发票",ROUND(C75*H75*D76,0),0)</f>
        <v>0</v>
      </c>
      <c r="D76" s="2358">
        <v>0.05</v>
      </c>
      <c r="E76" s="3344" t="s">
        <v>1401</v>
      </c>
      <c r="F76" s="3343"/>
      <c r="G76" s="3343"/>
      <c r="H76" s="334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1402</v>
      </c>
      <c r="C77" s="162">
        <f>ROUND(IF(G77="个人住宅",0,IF(G77="2016年5月1日前购买",C75*D77,C75*D77/(1+'数据-取费表'!C42))),0)</f>
        <v>0</v>
      </c>
      <c r="D77" s="2359">
        <f>'数据-取费表'!B48+'数据-取费表'!B49</f>
        <v>3.0499999999999999E-2</v>
      </c>
      <c r="E77" s="12" t="s">
        <v>1403</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1404</v>
      </c>
      <c r="C78" s="2360">
        <f ca="1">ROUND(D45*D78/(1+'数据-取费表'!C42),0)</f>
        <v>103</v>
      </c>
      <c r="D78" s="2361">
        <f>'数据-取费表'!B43</f>
        <v>6.000000000000001E-3</v>
      </c>
      <c r="E78" s="3336" t="s">
        <v>1405</v>
      </c>
      <c r="F78" s="3337"/>
      <c r="G78" s="3337"/>
      <c r="H78" s="333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1406</v>
      </c>
      <c r="C79" s="2352">
        <f ca="1">C72-C73</f>
        <v>17058</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1407</v>
      </c>
      <c r="C80" s="2362">
        <f ca="1">IF(C79&lt;=0,0,C79/C73)</f>
        <v>165.61165048543688</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1408</v>
      </c>
      <c r="C81" s="2363">
        <f ca="1">ROUND(IF(C79&lt;=0,0,IF(C80&gt;=200%,C79*60%-C73*35%,IF(C80&gt;=100%,C79*50%-C73*15%,IF(C80&gt;=50%,C79*40%-C73*5%,IF(C80&lt;50%,C79*30%,0))))),0)</f>
        <v>10199</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47" t="s">
        <v>1409</v>
      </c>
      <c r="B83" s="3348"/>
      <c r="C83" s="3348"/>
      <c r="D83" s="3348"/>
      <c r="E83" s="3348"/>
      <c r="F83" s="3348"/>
      <c r="G83" s="3348"/>
      <c r="H83" s="334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39" t="s">
        <v>1374</v>
      </c>
      <c r="B84" s="3340"/>
      <c r="C84" s="1865"/>
      <c r="D84" s="1865" t="s">
        <v>1375</v>
      </c>
      <c r="E84" s="171" t="s">
        <v>1376</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1394</v>
      </c>
      <c r="C85" s="2352">
        <f ca="1">ROUND(D45/(1+'数据-取费表'!C42),0)</f>
        <v>17161</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1395</v>
      </c>
      <c r="C86" s="2352">
        <f ca="1">IF(H88="仅含出让金",C87+C90+C91+C92+C93+C94,C87+C91+C92+C93+C94)</f>
        <v>103</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1410</v>
      </c>
      <c r="C87" s="2360">
        <f>C88+C89</f>
        <v>0</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1411</v>
      </c>
      <c r="C88" s="2366"/>
      <c r="D88" s="2361"/>
      <c r="E88" s="185" t="s">
        <v>1412</v>
      </c>
      <c r="F88" s="2148"/>
      <c r="G88" s="186" t="s">
        <v>1413</v>
      </c>
      <c r="H88" s="1684"/>
      <c r="I88" s="1681"/>
      <c r="J88" s="2306" t="s">
        <v>2283</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1402</v>
      </c>
      <c r="C89" s="2360">
        <f>ROUND(C88*D89,0)</f>
        <v>0</v>
      </c>
      <c r="D89" s="2361">
        <f>'数据-取费表'!B48+'数据-取费表'!B49</f>
        <v>3.0499999999999999E-2</v>
      </c>
      <c r="E89" s="185" t="s">
        <v>1414</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1415</v>
      </c>
      <c r="C90" s="2366"/>
      <c r="D90" s="2361"/>
      <c r="E90" s="185" t="str">
        <f>IF(H88="-","土地取得成本中已包含该笔费用"," ")</f>
        <v xml:space="preserve"> </v>
      </c>
      <c r="F90" s="2148"/>
      <c r="G90" s="3305" t="s">
        <v>2128</v>
      </c>
      <c r="H90" s="3306"/>
      <c r="I90" s="1681"/>
      <c r="J90" s="2306" t="s">
        <v>2284</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1416</v>
      </c>
      <c r="B91" s="162" t="s">
        <v>1417</v>
      </c>
      <c r="C91" s="2360">
        <f>IF(H91="——",成本法!C33,I91)</f>
        <v>0</v>
      </c>
      <c r="D91" s="2361"/>
      <c r="E91" s="3336" t="s">
        <v>1418</v>
      </c>
      <c r="F91" s="3337"/>
      <c r="G91" s="333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1419</v>
      </c>
      <c r="B92" s="162" t="s">
        <v>1420</v>
      </c>
      <c r="C92" s="2360">
        <f>ROUND((C87+C90+C91)*D92,0)</f>
        <v>0</v>
      </c>
      <c r="D92" s="2367"/>
      <c r="E92" s="3336" t="s">
        <v>1421</v>
      </c>
      <c r="F92" s="3337"/>
      <c r="G92" s="3337"/>
      <c r="H92" s="3338"/>
      <c r="I92" s="1681"/>
      <c r="J92" s="2307" t="s">
        <v>2285</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1422</v>
      </c>
      <c r="B93" s="162" t="s">
        <v>1404</v>
      </c>
      <c r="C93" s="2360">
        <f ca="1">ROUND(D45*D93/(1+'数据-取费表'!C42),0)</f>
        <v>103</v>
      </c>
      <c r="D93" s="2361">
        <f>'数据-取费表'!B43</f>
        <v>6.000000000000001E-3</v>
      </c>
      <c r="E93" s="3336" t="s">
        <v>1405</v>
      </c>
      <c r="F93" s="3337"/>
      <c r="G93" s="3337"/>
      <c r="H93" s="333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1423</v>
      </c>
      <c r="B94" s="162" t="s">
        <v>1424</v>
      </c>
      <c r="C94" s="2366">
        <f>ROUND((C87+C90+C91)*D94,0)</f>
        <v>0</v>
      </c>
      <c r="D94" s="2361">
        <v>0.2</v>
      </c>
      <c r="E94" s="3381" t="s">
        <v>1425</v>
      </c>
      <c r="F94" s="3382"/>
      <c r="G94" s="3382"/>
      <c r="H94" s="338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1406</v>
      </c>
      <c r="C95" s="2352">
        <f ca="1">ROUND(C85-C86,0)</f>
        <v>17058</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1407</v>
      </c>
      <c r="C96" s="2362">
        <f ca="1">IF(C95&lt;=0,0,C95/C86)</f>
        <v>165.61165048543688</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1408</v>
      </c>
      <c r="C97" s="2363">
        <f ca="1">ROUND(IF(C95&lt;=0,0,IF(C96&gt;=200%,C95*60%-C86*35%,IF(C96&gt;=100%,C95*50%-C86*15%,IF(C96&gt;=50%,C95*40%-C86*5%,IF(C96&lt;50%,C95*30%,0))))),0)</f>
        <v>10199</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1426</v>
      </c>
      <c r="B99" s="646"/>
      <c r="C99" s="646"/>
      <c r="D99" s="646"/>
      <c r="E99" s="1466"/>
      <c r="F99" s="1466"/>
      <c r="G99" s="1466"/>
      <c r="H99" s="1467"/>
      <c r="I99" s="121"/>
    </row>
    <row r="100" spans="1:35" ht="18.75" customHeight="1">
      <c r="A100" s="3286" t="s">
        <v>1427</v>
      </c>
      <c r="B100" s="3287"/>
      <c r="C100" s="3287"/>
      <c r="D100" s="3321"/>
      <c r="E100" s="3287" t="s">
        <v>1428</v>
      </c>
      <c r="F100" s="3287"/>
      <c r="G100" s="3287"/>
      <c r="H100" s="3321"/>
      <c r="I100" s="121"/>
    </row>
    <row r="101" spans="1:35" ht="18.75" customHeight="1">
      <c r="A101" s="3329" t="s">
        <v>1429</v>
      </c>
      <c r="B101" s="3330"/>
      <c r="C101" s="2369" t="str">
        <f>C4</f>
        <v>成本法</v>
      </c>
      <c r="D101" s="2370" t="str">
        <f>D4</f>
        <v>收益法（汇总）</v>
      </c>
      <c r="E101" s="3299" t="s">
        <v>1430</v>
      </c>
      <c r="F101" s="3300"/>
      <c r="G101" s="1687" t="s">
        <v>1431</v>
      </c>
      <c r="H101" s="2379">
        <f ca="1">H118</f>
        <v>18019</v>
      </c>
      <c r="I101" s="121"/>
    </row>
    <row r="102" spans="1:35" ht="18.75" customHeight="1">
      <c r="A102" s="3331" t="s">
        <v>1432</v>
      </c>
      <c r="B102" s="2368" t="s">
        <v>1431</v>
      </c>
      <c r="C102" s="2369">
        <f ca="1">IF(D32="楼面单价",ROUND(C19,0),C19)</f>
        <v>20473</v>
      </c>
      <c r="D102" s="2370">
        <f ca="1">IF(D32="楼面单价",ROUND(D19,0),D19)</f>
        <v>8203</v>
      </c>
      <c r="E102" s="3299"/>
      <c r="F102" s="3300"/>
      <c r="G102" s="1687" t="s">
        <v>1433</v>
      </c>
      <c r="H102" s="2339">
        <f ca="1">I118</f>
        <v>27519</v>
      </c>
      <c r="I102" s="121"/>
    </row>
    <row r="103" spans="1:35" ht="42.75" customHeight="1">
      <c r="A103" s="3331"/>
      <c r="B103" s="2368" t="s">
        <v>1433</v>
      </c>
      <c r="C103" s="2371">
        <f ca="1">C20</f>
        <v>31267</v>
      </c>
      <c r="D103" s="2372">
        <f ca="1">D20</f>
        <v>12528</v>
      </c>
      <c r="E103" s="3292" t="s">
        <v>1434</v>
      </c>
      <c r="F103" s="3293"/>
      <c r="G103" s="1688" t="s">
        <v>1435</v>
      </c>
      <c r="H103" s="2379">
        <f>IF(D36="正常操作",H104+H105+H106,H105+H106)</f>
        <v>0</v>
      </c>
      <c r="I103" s="121"/>
    </row>
    <row r="104" spans="1:35" ht="18.75" customHeight="1">
      <c r="A104" s="3331" t="s">
        <v>1436</v>
      </c>
      <c r="B104" s="2373" t="s">
        <v>1431</v>
      </c>
      <c r="C104" s="2374">
        <f ca="1">H118</f>
        <v>18019</v>
      </c>
      <c r="D104" s="2375"/>
      <c r="E104" s="1555" t="s">
        <v>1437</v>
      </c>
      <c r="F104" s="1548"/>
      <c r="G104" s="1688" t="s">
        <v>1435</v>
      </c>
      <c r="H104" s="2380">
        <f>IF(D36="同一抵押权人同一抵押物续贷",C36&amp;"（续贷，未扣减，详见特别提示）",C36)</f>
        <v>0</v>
      </c>
      <c r="I104" s="121"/>
    </row>
    <row r="105" spans="1:35" ht="18.75" customHeight="1" thickBot="1">
      <c r="A105" s="3341"/>
      <c r="B105" s="2376" t="s">
        <v>1433</v>
      </c>
      <c r="C105" s="2377">
        <f ca="1">I118</f>
        <v>27519</v>
      </c>
      <c r="D105" s="2378"/>
      <c r="E105" s="1555" t="s">
        <v>1438</v>
      </c>
      <c r="F105" s="1548"/>
      <c r="G105" s="1688" t="s">
        <v>1435</v>
      </c>
      <c r="H105" s="2381">
        <f>C37</f>
        <v>0</v>
      </c>
      <c r="I105" s="121"/>
    </row>
    <row r="106" spans="1:35" ht="18.75" customHeight="1">
      <c r="A106" s="646" t="s">
        <v>1439</v>
      </c>
      <c r="B106" s="646"/>
      <c r="C106" s="646"/>
      <c r="D106" s="646"/>
      <c r="E106" s="1689" t="s">
        <v>1440</v>
      </c>
      <c r="F106" s="1548"/>
      <c r="G106" s="1688" t="s">
        <v>1435</v>
      </c>
      <c r="H106" s="2381">
        <f>C38</f>
        <v>0</v>
      </c>
      <c r="I106" s="121"/>
    </row>
    <row r="107" spans="1:35" ht="18.75" customHeight="1">
      <c r="A107" s="121"/>
      <c r="B107" s="121"/>
      <c r="C107" s="121"/>
      <c r="D107" s="121"/>
      <c r="E107" s="3332" t="str">
        <f>IF(项目基本情况!E8="已注销","——","3.房地产抵押价值")</f>
        <v>3.房地产抵押价值</v>
      </c>
      <c r="F107" s="3300"/>
      <c r="G107" s="1687" t="s">
        <v>1431</v>
      </c>
      <c r="H107" s="2379">
        <f ca="1">IF(E107="——","——",H101-H103)</f>
        <v>18019</v>
      </c>
      <c r="I107" s="121"/>
    </row>
    <row r="108" spans="1:35" ht="18.75" customHeight="1">
      <c r="A108" s="121"/>
      <c r="B108" s="121"/>
      <c r="C108" s="121"/>
      <c r="D108" s="121"/>
      <c r="E108" s="3332"/>
      <c r="F108" s="3300"/>
      <c r="G108" s="1687" t="s">
        <v>1433</v>
      </c>
      <c r="H108" s="2339">
        <f ca="1">IF(H107=H101,H102,ROUND(H107*10000/'数据-汇总表'!E3,0))</f>
        <v>27519</v>
      </c>
      <c r="I108" s="121"/>
    </row>
    <row r="109" spans="1:35" ht="18.75" customHeight="1">
      <c r="A109" s="121"/>
      <c r="B109" s="121"/>
      <c r="C109" s="121"/>
      <c r="D109" s="121"/>
      <c r="E109" s="3332" t="str">
        <f>IF(项目基本情况!E8="已注销及未注销","4.抵押担保权已注销时的房地产抵押价值",IF(项目基本情况!E8="已注销","3.抵押担保权已注销时的房地产抵押价值","——"))</f>
        <v>——</v>
      </c>
      <c r="F109" s="3300"/>
      <c r="G109" s="1687" t="s">
        <v>1431</v>
      </c>
      <c r="H109" s="2382" t="str">
        <f>IF(E109="——","——",H101-H105-H106)</f>
        <v>——</v>
      </c>
      <c r="I109" s="121"/>
    </row>
    <row r="110" spans="1:35" ht="18.75" customHeight="1">
      <c r="A110" s="121"/>
      <c r="B110" s="121"/>
      <c r="C110" s="121"/>
      <c r="D110" s="121"/>
      <c r="E110" s="3332"/>
      <c r="F110" s="3300"/>
      <c r="G110" s="1687" t="s">
        <v>1433</v>
      </c>
      <c r="H110" s="2339" t="str">
        <f>IF(H109="——","——",ROUND(H109*10000/'数据-汇总表'!E3,0))</f>
        <v>——</v>
      </c>
      <c r="I110" s="121"/>
    </row>
    <row r="111" spans="1:35" ht="18.75" customHeight="1">
      <c r="A111" s="121"/>
      <c r="B111" s="121"/>
      <c r="C111" s="121"/>
      <c r="D111" s="121"/>
      <c r="E111" s="3333" t="str">
        <f>IF(项目基本情况!E9="抵押净值",IF(OR(项目基本情况!E8="已注销",项目基本情况!E8="房地产抵押价值"),"4.抵押净值","5.抵押净值"),"——")</f>
        <v>——</v>
      </c>
      <c r="F111" s="3319"/>
      <c r="G111" s="1687" t="s">
        <v>1431</v>
      </c>
      <c r="H111" s="2379" t="str">
        <f>IF(E111="——","——",N59)</f>
        <v>——</v>
      </c>
      <c r="I111" s="121"/>
    </row>
    <row r="112" spans="1:35" ht="18.75" customHeight="1" thickBot="1">
      <c r="A112" s="121"/>
      <c r="B112" s="121"/>
      <c r="C112" s="121"/>
      <c r="D112" s="121"/>
      <c r="E112" s="3334"/>
      <c r="F112" s="3335"/>
      <c r="G112" s="1690" t="s">
        <v>1433</v>
      </c>
      <c r="H112" s="2383" t="str">
        <f>IF(E111="——","——",N61)</f>
        <v>——</v>
      </c>
      <c r="I112" s="121"/>
    </row>
    <row r="113" spans="1:27" ht="18.75" customHeight="1">
      <c r="A113" s="121"/>
      <c r="B113" s="121"/>
      <c r="C113" s="121"/>
      <c r="D113" s="121"/>
      <c r="E113" s="3342" t="s">
        <v>1439</v>
      </c>
      <c r="F113" s="3342"/>
      <c r="G113" s="3342"/>
      <c r="H113" s="3342"/>
      <c r="I113" s="121"/>
    </row>
    <row r="114" spans="1:27" ht="3.75" customHeight="1">
      <c r="A114" s="646"/>
      <c r="B114" s="646"/>
      <c r="C114" s="646"/>
      <c r="D114" s="646"/>
      <c r="E114" s="1671"/>
      <c r="F114" s="1671"/>
      <c r="G114" s="1671"/>
      <c r="H114" s="1671"/>
      <c r="I114" s="646"/>
    </row>
    <row r="115" spans="1:27" ht="18.75" customHeight="1">
      <c r="A115" s="3350" t="s">
        <v>1441</v>
      </c>
      <c r="B115" s="3351"/>
      <c r="C115" s="3351"/>
      <c r="D115" s="3351"/>
      <c r="E115" s="3351"/>
      <c r="F115" s="3351"/>
      <c r="G115" s="3351"/>
      <c r="H115" s="3351"/>
      <c r="I115" s="3352"/>
    </row>
    <row r="116" spans="1:27" ht="27" customHeight="1">
      <c r="A116" s="3307" t="s">
        <v>1442</v>
      </c>
      <c r="B116" s="3311" t="s">
        <v>1443</v>
      </c>
      <c r="C116" s="3311" t="s">
        <v>1444</v>
      </c>
      <c r="D116" s="3317" t="s">
        <v>1445</v>
      </c>
      <c r="E116" s="3318"/>
      <c r="F116" s="3349" t="s">
        <v>1446</v>
      </c>
      <c r="G116" s="3349"/>
      <c r="H116" s="3307" t="s">
        <v>1447</v>
      </c>
      <c r="I116" s="3307"/>
    </row>
    <row r="117" spans="1:27" ht="18.75" customHeight="1">
      <c r="A117" s="3307"/>
      <c r="B117" s="3312"/>
      <c r="C117" s="3312"/>
      <c r="D117" s="2150" t="s">
        <v>1448</v>
      </c>
      <c r="E117" s="2150" t="s">
        <v>1449</v>
      </c>
      <c r="F117" s="2150" t="s">
        <v>1448</v>
      </c>
      <c r="G117" s="2150" t="s">
        <v>1450</v>
      </c>
      <c r="H117" s="2150" t="s">
        <v>1448</v>
      </c>
      <c r="I117" s="2150" t="s">
        <v>1450</v>
      </c>
    </row>
    <row r="118" spans="1:27" ht="24.75" customHeight="1">
      <c r="A118" s="2384" t="str">
        <f>项目基本情况!S2</f>
        <v>北京市朝阳区朝阳区门外大街18号房地产</v>
      </c>
      <c r="B118" s="2150">
        <f>M18</f>
        <v>6547.83</v>
      </c>
      <c r="C118" s="2150">
        <f>M19</f>
        <v>750.35</v>
      </c>
      <c r="D118" s="2150">
        <f ca="1">ROUND(IF(D32="总价",C34,E118*B118/10000),0)</f>
        <v>14091</v>
      </c>
      <c r="E118" s="2150">
        <f ca="1">ROUND(IF(C33="自定义",IF(D32="楼面单价",C34,D118*10000/B118),I118-G118),0)</f>
        <v>21520</v>
      </c>
      <c r="F118" s="2150">
        <f ca="1">ROUND(IF(D32="总价",C35,G118*B118/10000),0)</f>
        <v>3928</v>
      </c>
      <c r="G118" s="2150">
        <f ca="1">ROUND(IF(D32="楼面单价",C35,F118*10000/B118),0)</f>
        <v>5999</v>
      </c>
      <c r="H118" s="2150">
        <f ca="1">ROUND(IF(D32="总价",C32,I118*B118/10000),0)</f>
        <v>18019</v>
      </c>
      <c r="I118" s="2150">
        <f ca="1">ROUND(IF(D32="楼面单价",C32,H118*10000/B118),0)</f>
        <v>27519</v>
      </c>
    </row>
    <row r="119" spans="1:27" ht="18.75" customHeight="1">
      <c r="A119" s="3307" t="s">
        <v>1451</v>
      </c>
      <c r="B119" s="3307"/>
      <c r="C119" s="3307"/>
      <c r="D119" s="3313" t="str">
        <f ca="1">NUMBERSTRING(INT(D118*10000),2)&amp;"元整"</f>
        <v>壹亿肆仟零玖拾壹万元整</v>
      </c>
      <c r="E119" s="3314"/>
      <c r="F119" s="3313" t="str">
        <f ca="1">NUMBERSTRING(INT(F118*10000),2)&amp;"元整"</f>
        <v>叁仟玖佰贰拾捌万元整</v>
      </c>
      <c r="G119" s="3314"/>
      <c r="H119" s="3313" t="str">
        <f ca="1">NUMBERSTRING(INT(H118*10000),2)&amp;"元整"</f>
        <v>壹亿捌仟零壹拾玖万元整</v>
      </c>
      <c r="I119" s="3314"/>
    </row>
    <row r="120" spans="1:27" ht="18.75" customHeight="1">
      <c r="A120" s="3308" t="str">
        <f>IF(项目基本情况!B9="房地产市场价值","",MID(E103,3,LEN(E103)-2))</f>
        <v>估价师知悉的法定优先受偿款</v>
      </c>
      <c r="B120" s="3309"/>
      <c r="C120" s="3310"/>
      <c r="D120" s="3308">
        <f>H103</f>
        <v>0</v>
      </c>
      <c r="E120" s="3309"/>
      <c r="F120" s="3309"/>
      <c r="G120" s="3309"/>
      <c r="H120" s="3309"/>
      <c r="I120" s="3310"/>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3" t="s">
        <v>1451</v>
      </c>
      <c r="B121" s="3315"/>
      <c r="C121" s="3314"/>
      <c r="D121" s="3313" t="str">
        <f>IF(D120=0,"零元整",NUMBERSTRING(INT(D120*10000),2)&amp;"元整")</f>
        <v>零元整</v>
      </c>
      <c r="E121" s="3315"/>
      <c r="F121" s="3315"/>
      <c r="G121" s="3315"/>
      <c r="H121" s="3315"/>
      <c r="I121" s="3314"/>
      <c r="AA121" s="684"/>
    </row>
    <row r="122" spans="1:27" ht="18.75" customHeight="1">
      <c r="A122" s="3319" t="str">
        <f>IF(项目基本情况!B9="房地产市场价值","",MID(E107,3,LEN(E107)-2))</f>
        <v>房地产抵押价值</v>
      </c>
      <c r="B122" s="3319"/>
      <c r="C122" s="3319"/>
      <c r="D122" s="3308">
        <f ca="1">H107</f>
        <v>18019</v>
      </c>
      <c r="E122" s="3309"/>
      <c r="F122" s="3309"/>
      <c r="G122" s="3309"/>
      <c r="H122" s="3309"/>
      <c r="I122" s="3310"/>
      <c r="AA122" s="684"/>
    </row>
    <row r="123" spans="1:27" ht="18.75" customHeight="1">
      <c r="A123" s="3307" t="s">
        <v>1451</v>
      </c>
      <c r="B123" s="3307"/>
      <c r="C123" s="3307"/>
      <c r="D123" s="3313" t="str">
        <f ca="1">NUMBERSTRING(INT(D122*10000),2)&amp;"元整"</f>
        <v>壹亿捌仟零壹拾玖万元整</v>
      </c>
      <c r="E123" s="3315"/>
      <c r="F123" s="3315"/>
      <c r="G123" s="3315"/>
      <c r="H123" s="3315"/>
      <c r="I123" s="3314"/>
      <c r="AA123" s="684"/>
    </row>
    <row r="124" spans="1:27" ht="18.75" customHeight="1">
      <c r="A124" s="3319" t="str">
        <f>IF(项目基本情况!B9="房地产市场价值","",MID(E109,3,LEN(E109)-2))</f>
        <v/>
      </c>
      <c r="B124" s="3319"/>
      <c r="C124" s="3319"/>
      <c r="D124" s="3308" t="str">
        <f>H109</f>
        <v>——</v>
      </c>
      <c r="E124" s="3309"/>
      <c r="F124" s="3309"/>
      <c r="G124" s="3309"/>
      <c r="H124" s="3309"/>
      <c r="I124" s="3310"/>
      <c r="AA124" s="684"/>
    </row>
    <row r="125" spans="1:27" ht="18.75" customHeight="1">
      <c r="A125" s="3307" t="s">
        <v>1451</v>
      </c>
      <c r="B125" s="3307"/>
      <c r="C125" s="3307"/>
      <c r="D125" s="3313" t="e">
        <f>NUMBERSTRING(INT(D124*10000),2)&amp;"元整"</f>
        <v>#VALUE!</v>
      </c>
      <c r="E125" s="3315"/>
      <c r="F125" s="3315"/>
      <c r="G125" s="3315"/>
      <c r="H125" s="3315"/>
      <c r="I125" s="3314"/>
      <c r="AA125" s="684"/>
    </row>
    <row r="126" spans="1:27" ht="18.75" customHeight="1">
      <c r="A126" s="3319" t="str">
        <f>IF(项目基本情况!B9="房地产市场价值","",MID(E111,3,LEN(E111)-2))</f>
        <v/>
      </c>
      <c r="B126" s="3319"/>
      <c r="C126" s="3319"/>
      <c r="D126" s="3308" t="str">
        <f>H111</f>
        <v>——</v>
      </c>
      <c r="E126" s="3309"/>
      <c r="F126" s="3309"/>
      <c r="G126" s="3309"/>
      <c r="H126" s="3309"/>
      <c r="I126" s="3310"/>
      <c r="AA126" s="684"/>
    </row>
    <row r="127" spans="1:27" ht="18.75" customHeight="1">
      <c r="A127" s="3307" t="s">
        <v>1451</v>
      </c>
      <c r="B127" s="3307"/>
      <c r="C127" s="3307"/>
      <c r="D127" s="3313" t="e">
        <f>NUMBERSTRING(INT(D126*10000),2)&amp;"元整"</f>
        <v>#VALUE!</v>
      </c>
      <c r="E127" s="3315"/>
      <c r="F127" s="3315"/>
      <c r="G127" s="3315"/>
      <c r="H127" s="3315"/>
      <c r="I127" s="3314"/>
      <c r="AA127" s="684"/>
    </row>
    <row r="128" spans="1:27" ht="21.75" customHeight="1">
      <c r="A128" s="3316" t="s">
        <v>1452</v>
      </c>
      <c r="B128" s="3316"/>
      <c r="C128" s="3316"/>
      <c r="D128" s="3316"/>
      <c r="E128" s="3316"/>
      <c r="F128" s="3316"/>
      <c r="G128" s="3316"/>
      <c r="H128" s="3316"/>
      <c r="I128" s="3316"/>
      <c r="AA128" s="684"/>
    </row>
    <row r="129" spans="1:35" ht="21.75" customHeight="1">
      <c r="A129" s="1691" t="s">
        <v>1453</v>
      </c>
      <c r="B129" s="1692"/>
      <c r="C129" s="1693" t="s">
        <v>1454</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1455</v>
      </c>
      <c r="G135" s="1706"/>
      <c r="H135" s="1706"/>
      <c r="I135" s="1707" t="s">
        <v>1456</v>
      </c>
    </row>
    <row r="136" spans="1:35" ht="21.75" customHeight="1">
      <c r="A136" s="684"/>
      <c r="B136" s="1708" t="s">
        <v>1457</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1458</v>
      </c>
    </row>
    <row r="139" spans="1:35" ht="21.75" customHeight="1">
      <c r="A139" s="684"/>
      <c r="B139" s="1708" t="s">
        <v>1459</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1458</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0" t="str">
        <f>项目基本情况!B1</f>
        <v>北京市朝阳区朝阳区门外大街18号房地产抵押价值预评估</v>
      </c>
      <c r="C37" s="3170"/>
      <c r="D37" s="3170"/>
      <c r="E37" s="3170"/>
      <c r="F37" s="3170"/>
      <c r="G37" s="3170"/>
      <c r="H37" s="3170"/>
      <c r="I37" s="3170"/>
    </row>
    <row r="38" spans="1:9">
      <c r="A38" s="794"/>
      <c r="B38" s="794"/>
    </row>
    <row r="39" spans="1:9">
      <c r="A39" s="792" t="s">
        <v>371</v>
      </c>
      <c r="B39" s="792" t="s">
        <v>373</v>
      </c>
    </row>
    <row r="40" spans="1:9">
      <c r="A40" s="792"/>
      <c r="B40" s="1378" t="str">
        <f>项目基本情况!B5</f>
        <v>中行商务区支行</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 ca="1">项目基本情况!K4</f>
        <v>郑燚（注册号：1120070131)、崔锴（注册号：1120100036)</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I52" zoomScale="115" zoomScaleNormal="80" zoomScaleSheetLayoutView="115" workbookViewId="0">
      <selection activeCell="D33" sqref="D3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1925</v>
      </c>
      <c r="B1" s="189"/>
      <c r="C1" s="193" t="s">
        <v>1926</v>
      </c>
      <c r="D1" s="333">
        <f>SUM(D33:D34,D37:D42)</f>
        <v>6547.83</v>
      </c>
      <c r="E1" s="1842"/>
      <c r="F1" s="1842"/>
      <c r="G1" s="1842"/>
      <c r="H1" s="1842"/>
      <c r="I1" s="1842"/>
      <c r="J1" s="1842"/>
      <c r="K1" s="1056"/>
      <c r="L1" s="1843" t="s">
        <v>1927</v>
      </c>
      <c r="M1" s="810">
        <f>SUMPRODUCT((区片价!B5:B9=I2)*(区片价!C3:G3=E2)*(区片价!C5:G9))</f>
        <v>32630</v>
      </c>
      <c r="N1" s="813">
        <f>SUMPRODUCT((因素修正幅度!B5:B9=I2)*(因素修正幅度!C3:G3=E2)*(因素修正幅度!C5:G9))</f>
        <v>8.1000000000000003E-2</v>
      </c>
      <c r="O1" s="1844"/>
      <c r="P1" s="1844"/>
      <c r="Q1" s="1056"/>
      <c r="R1" s="1129" t="s">
        <v>1928</v>
      </c>
      <c r="S1" s="1129" t="s">
        <v>1929</v>
      </c>
      <c r="T1" s="1129" t="s">
        <v>1930</v>
      </c>
      <c r="U1" s="1129" t="s">
        <v>1931</v>
      </c>
      <c r="V1" s="1129" t="s">
        <v>1932</v>
      </c>
      <c r="W1" s="1133"/>
      <c r="X1" s="1133"/>
      <c r="Y1" s="1133"/>
      <c r="Z1" s="1133"/>
      <c r="AA1" s="1133"/>
      <c r="AB1" s="1133"/>
      <c r="AC1" s="1134"/>
      <c r="AD1" s="1135"/>
      <c r="AE1" s="1135"/>
      <c r="AF1" s="1135"/>
      <c r="AG1" s="1135"/>
      <c r="AH1" s="1135"/>
      <c r="AI1" s="1135"/>
      <c r="AJ1" s="1136"/>
    </row>
    <row r="2" spans="1:36" ht="15.75">
      <c r="A2" s="193" t="s">
        <v>1933</v>
      </c>
      <c r="B2" s="196">
        <f>C30</f>
        <v>0</v>
      </c>
      <c r="C2" s="1846" t="s">
        <v>1934</v>
      </c>
      <c r="D2" s="162" t="s">
        <v>1935</v>
      </c>
      <c r="E2" s="3119" t="s">
        <v>673</v>
      </c>
      <c r="F2" s="162" t="s">
        <v>1936</v>
      </c>
      <c r="G2" s="163" t="str">
        <f>IF(E2="商业",项目基本情况!B37,IF(E2="办公",项目基本情况!C37,IF(E2="住宅",项目基本情况!D37,IF(E2="工业",项目基本情况!E37,项目基本情况!F37))))</f>
        <v>一级</v>
      </c>
      <c r="H2" s="162" t="s">
        <v>1937</v>
      </c>
      <c r="I2" s="163" t="str">
        <f>IF(E2="商业",项目基本情况!B38,IF(E2="办公",项目基本情况!C38,IF(E2="住宅",项目基本情况!D38,IF(E2="工业",项目基本情况!E38,项目基本情况!F38))))</f>
        <v>Ⅰ—04</v>
      </c>
      <c r="J2" s="1842"/>
      <c r="K2" s="1056"/>
      <c r="L2" s="1847" t="s">
        <v>1938</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1.5206</v>
      </c>
      <c r="T2" s="3062">
        <f t="shared" ref="T2:T16" si="0">ROUND($C$5*$C$22*$C$23*$C$24*S2*$C$28,0)</f>
        <v>27810</v>
      </c>
      <c r="U2" s="1130"/>
      <c r="V2" s="3062">
        <f>ROUND(T2*U2/10000,0)</f>
        <v>0</v>
      </c>
      <c r="W2" s="1133"/>
      <c r="X2" s="1133"/>
      <c r="Y2" s="1133"/>
      <c r="Z2" s="1133"/>
      <c r="AA2" s="1133"/>
      <c r="AB2" s="1133"/>
      <c r="AC2" s="1134"/>
      <c r="AD2" s="1135"/>
      <c r="AE2" s="1135"/>
      <c r="AF2" s="1135"/>
      <c r="AG2" s="1135"/>
      <c r="AH2" s="1135"/>
      <c r="AI2" s="1135"/>
      <c r="AJ2" s="1136"/>
    </row>
    <row r="3" spans="1:36" ht="15.75">
      <c r="A3" s="195" t="s">
        <v>1939</v>
      </c>
      <c r="B3" s="196">
        <f>ROUND(B2*10000/D1,0)</f>
        <v>0</v>
      </c>
      <c r="C3" s="1846" t="s">
        <v>1940</v>
      </c>
      <c r="D3" s="162" t="s">
        <v>1941</v>
      </c>
      <c r="E3" s="3117" t="s">
        <v>2437</v>
      </c>
      <c r="F3" s="1848" t="s">
        <v>3405</v>
      </c>
      <c r="G3" s="708">
        <f>IF(F3="宗地容积率",'数据-汇总表'!I4,IF(F3="估价对象容积率",'数据-汇总表'!I6,'数据-汇总表'!I7))</f>
        <v>8.73</v>
      </c>
      <c r="H3" s="162" t="s">
        <v>1942</v>
      </c>
      <c r="I3" s="729">
        <v>4</v>
      </c>
      <c r="J3" s="1842" t="s">
        <v>1943</v>
      </c>
      <c r="K3" s="1056"/>
      <c r="L3" s="1847" t="s">
        <v>1944</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1.2072000000000001</v>
      </c>
      <c r="T3" s="3062">
        <f t="shared" si="0"/>
        <v>22078</v>
      </c>
      <c r="U3" s="1130"/>
      <c r="V3" s="3062">
        <f t="shared" ref="V3:V16" si="1">ROUND(T3*U3/10000,0)</f>
        <v>0</v>
      </c>
      <c r="W3" s="1133"/>
      <c r="X3" s="1133"/>
      <c r="Y3" s="1133"/>
      <c r="Z3" s="1133"/>
      <c r="AA3" s="1133"/>
      <c r="AB3" s="1133"/>
      <c r="AC3" s="1134"/>
      <c r="AD3" s="1135"/>
      <c r="AE3" s="1135"/>
      <c r="AF3" s="1135"/>
      <c r="AG3" s="1135"/>
      <c r="AH3" s="1135"/>
      <c r="AI3" s="1135"/>
      <c r="AJ3" s="1136"/>
    </row>
    <row r="4" spans="1:36" ht="15.75">
      <c r="A4" s="3393"/>
      <c r="B4" s="3394"/>
      <c r="C4" s="3394"/>
      <c r="D4" s="3395"/>
      <c r="E4" s="3395"/>
      <c r="F4" s="3395"/>
      <c r="G4" s="3395"/>
      <c r="H4" s="3395"/>
      <c r="I4" s="3395"/>
      <c r="J4" s="3396"/>
      <c r="K4" s="1056"/>
      <c r="L4" s="1847" t="s">
        <v>1945</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1.0430999999999999</v>
      </c>
      <c r="T4" s="3062">
        <f t="shared" si="0"/>
        <v>19077</v>
      </c>
      <c r="U4" s="1130"/>
      <c r="V4" s="3062">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1946</v>
      </c>
      <c r="C5" s="709">
        <f>ROUND(IF(E2="商业",C6*C7*C17+C20,(IF(E2="住宅",C6*C13*C17+C20,IF(E2="办公",C6*C12*C17+C20,C6+C20)))),0)</f>
        <v>33429</v>
      </c>
      <c r="D5" s="1252">
        <f>ROUND(C6*C17+C20,0)</f>
        <v>32613</v>
      </c>
      <c r="E5" s="1252"/>
      <c r="F5" s="1851"/>
      <c r="G5" s="1852"/>
      <c r="H5" s="1852"/>
      <c r="I5" s="1852"/>
      <c r="J5" s="1853"/>
      <c r="K5" s="1854"/>
      <c r="L5" s="1847" t="s">
        <v>1947</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0.94389999999999996</v>
      </c>
      <c r="T5" s="3062">
        <f t="shared" si="0"/>
        <v>17263</v>
      </c>
      <c r="U5" s="1130"/>
      <c r="V5" s="3062">
        <f t="shared" si="1"/>
        <v>0</v>
      </c>
      <c r="W5" s="1133"/>
      <c r="X5" s="1133"/>
      <c r="Y5" s="1133"/>
      <c r="Z5" s="1133"/>
      <c r="AA5" s="1133"/>
      <c r="AB5" s="1133"/>
      <c r="AC5" s="1855"/>
      <c r="AD5" s="1856"/>
      <c r="AE5" s="1856"/>
      <c r="AF5" s="1856"/>
      <c r="AG5" s="1856"/>
      <c r="AH5" s="1856"/>
      <c r="AI5" s="1856"/>
      <c r="AJ5" s="1857"/>
    </row>
    <row r="6" spans="1:36" ht="15.75" thickBot="1">
      <c r="A6" s="1859" t="s">
        <v>1948</v>
      </c>
      <c r="B6" s="1860" t="s">
        <v>1949</v>
      </c>
      <c r="C6" s="710">
        <f>SUMIF(L1:L12,G2,M1:M12)</f>
        <v>32630</v>
      </c>
      <c r="D6" s="1861"/>
      <c r="E6" s="1862"/>
      <c r="F6" s="1862"/>
      <c r="G6" s="1863"/>
      <c r="H6" s="1863"/>
      <c r="I6" s="1863"/>
      <c r="J6" s="1864"/>
      <c r="K6" s="1292"/>
      <c r="L6" s="1847" t="s">
        <v>1950</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0.89959999999999996</v>
      </c>
      <c r="T6" s="3062">
        <f t="shared" si="0"/>
        <v>16453</v>
      </c>
      <c r="U6" s="1130"/>
      <c r="V6" s="3062">
        <f t="shared" si="1"/>
        <v>0</v>
      </c>
      <c r="W6" s="1133"/>
      <c r="X6" s="1133"/>
      <c r="Y6" s="1133"/>
      <c r="Z6" s="1133"/>
      <c r="AA6" s="1133"/>
      <c r="AB6" s="1133"/>
      <c r="AC6" s="1855"/>
      <c r="AD6" s="1856"/>
      <c r="AE6" s="1856"/>
      <c r="AF6" s="1856"/>
      <c r="AG6" s="1856"/>
      <c r="AH6" s="1856"/>
      <c r="AI6" s="1856"/>
      <c r="AJ6" s="1857"/>
    </row>
    <row r="7" spans="1:36" ht="24.75" thickBot="1">
      <c r="A7" s="3011" t="s">
        <v>3237</v>
      </c>
      <c r="B7" s="1865" t="s">
        <v>1951</v>
      </c>
      <c r="C7" s="711">
        <f>IF(C8="不临65条商业街",1,ROUND(1+(1.6*E8+1.2*E9+0.8*E10+0.4*E11)*C9,4))</f>
        <v>1.0249999999999999</v>
      </c>
      <c r="D7" s="1866" t="s">
        <v>1952</v>
      </c>
      <c r="E7" s="730">
        <v>60</v>
      </c>
      <c r="F7" s="1867"/>
      <c r="G7" s="1868"/>
      <c r="H7" s="1868"/>
      <c r="I7" s="1868"/>
      <c r="J7" s="1869"/>
      <c r="K7" s="1292"/>
      <c r="L7" s="1847" t="s">
        <v>1953</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1954</v>
      </c>
      <c r="X7" s="1131" t="str">
        <f>G2</f>
        <v>一级</v>
      </c>
      <c r="Y7" s="1131" t="s">
        <v>1955</v>
      </c>
      <c r="Z7" s="1132">
        <f>G3</f>
        <v>8.73</v>
      </c>
      <c r="AA7" s="1133"/>
      <c r="AB7" s="1133"/>
      <c r="AC7" s="1134"/>
      <c r="AD7" s="1135"/>
      <c r="AE7" s="1135"/>
      <c r="AF7" s="1135"/>
      <c r="AG7" s="1135"/>
      <c r="AH7" s="1135"/>
      <c r="AI7" s="1135"/>
      <c r="AJ7" s="1136"/>
    </row>
    <row r="8" spans="1:36" ht="15">
      <c r="A8" s="3008"/>
      <c r="B8" s="162" t="s">
        <v>1956</v>
      </c>
      <c r="C8" s="1870" t="s">
        <v>3406</v>
      </c>
      <c r="D8" s="712" t="s">
        <v>112</v>
      </c>
      <c r="E8" s="713">
        <f>ROUND(C11/E7,4)</f>
        <v>6.25E-2</v>
      </c>
      <c r="F8" s="1871" t="s">
        <v>1957</v>
      </c>
      <c r="G8" s="1872"/>
      <c r="H8" s="1872"/>
      <c r="I8" s="1872"/>
      <c r="J8" s="1873"/>
      <c r="K8" s="1056"/>
      <c r="L8" s="1847" t="s">
        <v>1958</v>
      </c>
      <c r="M8" s="811">
        <f>SUMPRODUCT((区片价!B234:B276=I2)*(区片价!C3:G3=E2)*(区片价!C234:G276))</f>
        <v>0</v>
      </c>
      <c r="N8" s="813">
        <f>SUMPRODUCT((因素修正幅度!B234:B276=I2)*(因素修正幅度!C3:G3=E2)*(因素修正幅度!C234:G276))</f>
        <v>0</v>
      </c>
      <c r="O8" s="1056"/>
      <c r="P8" s="1056"/>
      <c r="Q8" s="1056"/>
      <c r="R8" s="1129">
        <v>7</v>
      </c>
      <c r="S8" s="1130"/>
      <c r="T8" s="3062">
        <f t="shared" si="0"/>
        <v>0</v>
      </c>
      <c r="U8" s="1130"/>
      <c r="V8" s="3062">
        <f t="shared" si="1"/>
        <v>0</v>
      </c>
      <c r="W8" s="3390" t="s">
        <v>1959</v>
      </c>
      <c r="X8" s="3391"/>
      <c r="Y8" s="1137" t="s">
        <v>1960</v>
      </c>
      <c r="Z8" s="1137" t="s">
        <v>1961</v>
      </c>
      <c r="AA8" s="1137" t="s">
        <v>1962</v>
      </c>
      <c r="AB8" s="1137" t="s">
        <v>1963</v>
      </c>
      <c r="AC8" s="1137" t="s">
        <v>1964</v>
      </c>
      <c r="AD8" s="1137" t="s">
        <v>1965</v>
      </c>
      <c r="AE8" s="1137" t="s">
        <v>1966</v>
      </c>
      <c r="AF8" s="1137" t="s">
        <v>1967</v>
      </c>
      <c r="AG8" s="1137" t="s">
        <v>1968</v>
      </c>
      <c r="AH8" s="1137" t="s">
        <v>1969</v>
      </c>
      <c r="AI8" s="1137" t="s">
        <v>1970</v>
      </c>
      <c r="AJ8" s="1137" t="s">
        <v>1971</v>
      </c>
    </row>
    <row r="9" spans="1:36" ht="15">
      <c r="A9" s="3008"/>
      <c r="B9" s="162" t="s">
        <v>1972</v>
      </c>
      <c r="C9" s="714">
        <f>SUMIF(修正!C71:C138,C8,修正!E71:E138)</f>
        <v>0.1</v>
      </c>
      <c r="D9" s="163" t="s">
        <v>113</v>
      </c>
      <c r="E9" s="163">
        <f>ROUND(C11/E7,4)</f>
        <v>6.25E-2</v>
      </c>
      <c r="F9" s="1871" t="s">
        <v>1973</v>
      </c>
      <c r="G9" s="1872"/>
      <c r="H9" s="1872"/>
      <c r="I9" s="1872"/>
      <c r="J9" s="1873"/>
      <c r="K9" s="1056"/>
      <c r="L9" s="1847" t="s">
        <v>1974</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392"/>
      <c r="X9" s="3063" t="s">
        <v>3268</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1975</v>
      </c>
      <c r="C10" s="163">
        <f>SUMIF(修正!C71:C138,C8,修正!F71:F138)</f>
        <v>15</v>
      </c>
      <c r="D10" s="163" t="s">
        <v>114</v>
      </c>
      <c r="E10" s="163">
        <f>ROUND(C11/E7,4)</f>
        <v>6.25E-2</v>
      </c>
      <c r="F10" s="1871" t="s">
        <v>1976</v>
      </c>
      <c r="G10" s="1872"/>
      <c r="H10" s="1872"/>
      <c r="I10" s="1872"/>
      <c r="J10" s="1873"/>
      <c r="K10" s="1056"/>
      <c r="L10" s="1847" t="s">
        <v>1977</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392"/>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4" t="s">
        <v>1978</v>
      </c>
      <c r="C11" s="715">
        <f>C10/4</f>
        <v>3.75</v>
      </c>
      <c r="D11" s="715" t="s">
        <v>115</v>
      </c>
      <c r="E11" s="715">
        <f>ROUND(C11/E7,4)</f>
        <v>6.25E-2</v>
      </c>
      <c r="F11" s="1875" t="s">
        <v>1979</v>
      </c>
      <c r="G11" s="1876"/>
      <c r="H11" s="1876"/>
      <c r="I11" s="1876"/>
      <c r="J11" s="1877"/>
      <c r="K11" s="1056"/>
      <c r="L11" s="1847" t="s">
        <v>1980</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5" thickBot="1">
      <c r="A12" s="3011" t="s">
        <v>3238</v>
      </c>
      <c r="B12" s="3012" t="s">
        <v>3239</v>
      </c>
      <c r="C12" s="3013"/>
      <c r="D12" s="3014" t="s">
        <v>3240</v>
      </c>
      <c r="E12" s="3015" t="s">
        <v>3241</v>
      </c>
      <c r="F12" s="3016"/>
      <c r="G12" s="3017"/>
      <c r="H12" s="3017"/>
      <c r="I12" s="3017"/>
      <c r="J12" s="3018"/>
      <c r="K12" s="1056"/>
      <c r="L12" s="1796" t="s">
        <v>1983</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15.75" thickBot="1">
      <c r="A13" s="3011" t="s">
        <v>3242</v>
      </c>
      <c r="B13" s="1878" t="s">
        <v>1981</v>
      </c>
      <c r="C13" s="711">
        <f>ROUND(C16*D16*E16*F16*G16*H16*I16*J16,4)</f>
        <v>0</v>
      </c>
      <c r="D13" s="1879" t="s">
        <v>1982</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15">
      <c r="A14" s="3007"/>
      <c r="B14" s="1883" t="s">
        <v>1984</v>
      </c>
      <c r="C14" s="1884" t="s">
        <v>1985</v>
      </c>
      <c r="D14" s="1261" t="s">
        <v>1986</v>
      </c>
      <c r="E14" s="27" t="s">
        <v>1987</v>
      </c>
      <c r="F14" s="3019" t="s">
        <v>3243</v>
      </c>
      <c r="G14" s="3019" t="s">
        <v>3243</v>
      </c>
      <c r="H14" s="3019" t="s">
        <v>3243</v>
      </c>
      <c r="I14" s="3019" t="s">
        <v>3243</v>
      </c>
      <c r="J14" s="3019" t="s">
        <v>3243</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75" thickBot="1">
      <c r="A16" s="3007"/>
      <c r="B16" s="3025" t="s">
        <v>1988</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c r="A17" s="3034" t="s">
        <v>3245</v>
      </c>
      <c r="B17" s="3026" t="s">
        <v>3246</v>
      </c>
      <c r="C17" s="3035">
        <f>ROUND(IF(OR(E2="工业",E2="公共服务"),1,IF(AND(E18=0,E19=0),1,IF(AND(E18=J24,E19=G19),0.8,IF(E19=0,1+E17*(-0.2),1+E17*G17*(-0.2))))),4)</f>
        <v>1</v>
      </c>
      <c r="D17" s="3027" t="s">
        <v>3247</v>
      </c>
      <c r="E17" s="3035">
        <f>ROUND(G18/I18,2)</f>
        <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7"/>
      <c r="B18" s="2308"/>
      <c r="C18" s="3033"/>
      <c r="D18" s="3028" t="s">
        <v>3248</v>
      </c>
      <c r="E18" s="2355"/>
      <c r="F18" s="3029" t="s">
        <v>3251</v>
      </c>
      <c r="G18" s="3033">
        <f>ROUND(1-(1/(POWER(1+G24,E18))),4)</f>
        <v>0</v>
      </c>
      <c r="H18" s="3029" t="s">
        <v>3253</v>
      </c>
      <c r="I18" s="3033">
        <f>ROUND(1-(1/(POWER(1+G24,J24))),4)</f>
        <v>0.88249999999999995</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5"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4.25">
      <c r="A20" s="3397" t="s">
        <v>3254</v>
      </c>
      <c r="B20" s="159" t="s">
        <v>1993</v>
      </c>
      <c r="C20" s="3030">
        <f>ROUND(IF(F21="与级别开发程度一致",0,(G21-E21)/C21),0)</f>
        <v>-17</v>
      </c>
      <c r="D20" s="3045" t="s">
        <v>1997</v>
      </c>
      <c r="E20" s="3046"/>
      <c r="F20" s="3403" t="s">
        <v>1994</v>
      </c>
      <c r="G20" s="3404"/>
      <c r="H20" s="3031" t="s">
        <v>3385</v>
      </c>
      <c r="I20" s="3031" t="s">
        <v>3386</v>
      </c>
      <c r="J20" s="3032" t="s">
        <v>3387</v>
      </c>
      <c r="K20" s="1889" t="s">
        <v>3388</v>
      </c>
      <c r="L20" s="1889" t="s">
        <v>3389</v>
      </c>
      <c r="M20" s="1889" t="s">
        <v>3470</v>
      </c>
      <c r="N20" s="1889" t="s">
        <v>3390</v>
      </c>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6.25" thickBot="1">
      <c r="A21" s="3398"/>
      <c r="B21" s="2002" t="s">
        <v>1996</v>
      </c>
      <c r="C21" s="2003">
        <f>IF(E3="M4科研用地",SUMPRODUCT((修正!A2:A7=E3)*(修正!B1:M1=G2)*(修正!B2:M7)),SUMPRODUCT((修正!A2:A7=E2)*(修正!B1:M1=G2)*(修正!B2:M7)))</f>
        <v>3.5</v>
      </c>
      <c r="D21" s="179" t="str">
        <f>IF(OR(G2="八级",G2="九级",G2="十级",G2="十一级",G2="十二级"),"五通一平","七通一平")</f>
        <v>七通一平</v>
      </c>
      <c r="E21" s="1993">
        <f>SUMPRODUCT((修正!B1:M1=G2)*(修正!B17:M17))</f>
        <v>375</v>
      </c>
      <c r="F21" s="1994" t="s">
        <v>3407</v>
      </c>
      <c r="G21" s="1995">
        <f>SUM(H21:O21)</f>
        <v>315</v>
      </c>
      <c r="H21" s="2003">
        <f>SUMPRODUCT((七通一平=H20)*(修正!B1:M1=G2)*(修正!B8:M16))</f>
        <v>80</v>
      </c>
      <c r="I21" s="2003">
        <f>SUMPRODUCT((七通一平=I20)*(修正!B1:M1=G2)*(修正!B8:M16))</f>
        <v>70</v>
      </c>
      <c r="J21" s="2004">
        <f>SUMPRODUCT((七通一平=J20)*(修正!B1:M1=G2)*(修正!B8:M16))</f>
        <v>20</v>
      </c>
      <c r="K21" s="2003">
        <f>SUMPRODUCT((七通一平=K20)*(修正!B1:M1=G2)*(修正!B8:M16))</f>
        <v>30</v>
      </c>
      <c r="L21" s="2003">
        <f>SUMPRODUCT((七通一平=L20)*(修正!B1:M1=G2)*(修正!B8:M16))</f>
        <v>45</v>
      </c>
      <c r="M21" s="2003">
        <f>SUMPRODUCT((七通一平=M20)*(修正!B1:M1=G2)*(修正!B8:M16))</f>
        <v>50</v>
      </c>
      <c r="N21" s="2003">
        <f>SUMPRODUCT((七通一平=N20)*(修正!B1:M1=G2)*(修正!B8:M16))</f>
        <v>20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75" thickBot="1">
      <c r="A22" s="1996" t="s">
        <v>363</v>
      </c>
      <c r="B22" s="1997" t="s">
        <v>1999</v>
      </c>
      <c r="C22" s="1998">
        <f>SUMIF(修正!C20:C51,E3,修正!E20:E51)</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6.25" thickBot="1">
      <c r="A23" s="1892" t="s">
        <v>364</v>
      </c>
      <c r="B23" s="1893" t="s">
        <v>2000</v>
      </c>
      <c r="C23" s="71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1.0326</v>
      </c>
      <c r="D23" s="1896" t="s">
        <v>2001</v>
      </c>
      <c r="E23" s="717">
        <v>44197</v>
      </c>
      <c r="F23" s="1896" t="s">
        <v>2002</v>
      </c>
      <c r="G23" s="718">
        <f>'数据-取费表'!B2</f>
        <v>45051</v>
      </c>
      <c r="H23" s="3047" t="s">
        <v>3256</v>
      </c>
      <c r="I23" s="3048" t="str">
        <f>IF(H23="季度增幅（自定义）",SUMIF(N25:N28,E2,O25:O28),"")</f>
        <v/>
      </c>
      <c r="J23" s="3140" t="s">
        <v>3255</v>
      </c>
      <c r="K23" s="1061"/>
      <c r="L23" s="1897" t="s">
        <v>2003</v>
      </c>
      <c r="M23" s="1241">
        <f>ROUND(SUMIF(地价!B2:G2,E2,地价!B16:G16),0)</f>
        <v>350</v>
      </c>
      <c r="N23" s="1898" t="s">
        <v>2004</v>
      </c>
      <c r="O23" s="719">
        <f>ROUNDDOWN(DATEDIF(E23,G23,"M")/3,0)</f>
        <v>9</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2005</v>
      </c>
      <c r="C24" s="720">
        <f>ROUND(POWER(1+G24,J24-I24)*(POWER(1+G24,I24)-1)/(POWER(1+G24,J24)-1),4)</f>
        <v>0.49590000000000001</v>
      </c>
      <c r="D24" s="1902" t="s">
        <v>2006</v>
      </c>
      <c r="E24" s="1248">
        <f>存贷款利率!E22/100</f>
        <v>4.3499999999999997E-2</v>
      </c>
      <c r="F24" s="1902" t="s">
        <v>1998</v>
      </c>
      <c r="G24" s="724">
        <f>SUMIF(M30:Q30,E2,M33:Q33)</f>
        <v>5.5E-2</v>
      </c>
      <c r="H24" s="1902" t="s">
        <v>2007</v>
      </c>
      <c r="I24" s="725">
        <f>SUMIF('数据-取费表'!C6:C15,E2,'数据-取费表'!F6:F15)/COUNTIF('数据-取费表'!C6:C15,E2)</f>
        <v>10.75</v>
      </c>
      <c r="J24" s="726">
        <f>IF(E2="住宅",70,IF(E2="商业",40,50))</f>
        <v>40</v>
      </c>
      <c r="K24" s="1061"/>
      <c r="L24" s="1903" t="s">
        <v>2008</v>
      </c>
      <c r="M24" s="1242">
        <f>ROUND(SUMPRODUCT((地价!A4:A16=YEAR(G23)&amp;"-"&amp;ROUNDUP(MONTH(G23)/3,0))*(地价!B2:G2=E2)*(地价!B4:G16)),0)</f>
        <v>0</v>
      </c>
      <c r="N24" s="1904" t="s">
        <v>2009</v>
      </c>
      <c r="O24" s="1905" t="s">
        <v>2010</v>
      </c>
      <c r="P24" s="1906" t="s">
        <v>2011</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5">
      <c r="A25" s="1907" t="s">
        <v>366</v>
      </c>
      <c r="B25" s="1908" t="s">
        <v>3408</v>
      </c>
      <c r="C25" s="461">
        <f>IF(B25="容积率修正",IF(G3&lt;10,D26,J26),C27)</f>
        <v>0.94389999999999996</v>
      </c>
      <c r="D25" s="1909"/>
      <c r="E25" s="1909"/>
      <c r="F25" s="1909"/>
      <c r="G25" s="1909"/>
      <c r="H25" s="1909"/>
      <c r="I25" s="1909"/>
      <c r="J25" s="1910"/>
      <c r="K25" s="1061"/>
      <c r="L25" s="2551"/>
      <c r="M25" s="2551"/>
      <c r="N25" s="1911" t="s">
        <v>2012</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2013</v>
      </c>
      <c r="B26" s="1912" t="s">
        <v>2014</v>
      </c>
      <c r="C26" s="1912" t="s">
        <v>3257</v>
      </c>
      <c r="D26" s="1263">
        <f>IF(E26=G26,F26,IF(G3&lt;10,ROUND(F26+(H26-F26)*(G3-E26)/(G26-E26),4),"——"))</f>
        <v>0.90139999999999998</v>
      </c>
      <c r="E26" s="708">
        <f>ROUNDDOWN(G3,1)</f>
        <v>8.6999999999999993</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0.90180000000000005</v>
      </c>
      <c r="G26" s="708">
        <f>ROUNDUP(G3,1)</f>
        <v>8.7999999999999989</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0.90059999999999996</v>
      </c>
      <c r="I26" s="1912" t="s">
        <v>3258</v>
      </c>
      <c r="J26" s="374" t="str">
        <f>IF(G3&gt;=10,D115,"——")</f>
        <v>——</v>
      </c>
      <c r="K26" s="1061"/>
      <c r="L26" s="2551"/>
      <c r="M26" s="2551"/>
      <c r="N26" s="1911" t="s">
        <v>2015</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2016</v>
      </c>
      <c r="B27" s="1913" t="s">
        <v>2017</v>
      </c>
      <c r="C27" s="791">
        <f>ROUND(IF(I3&lt;6,SUMPRODUCT((B106:B110=I3)*(C105:N105=G2)*(C106:N110)),SUMIF(C105:N105,G2,C112:N112)),4)</f>
        <v>0.94389999999999996</v>
      </c>
      <c r="D27" s="1842"/>
      <c r="E27" s="1842"/>
      <c r="F27" s="1914"/>
      <c r="G27" s="1915"/>
      <c r="H27" s="1916"/>
      <c r="I27" s="1917"/>
      <c r="J27" s="1918"/>
      <c r="K27" s="1056"/>
      <c r="L27" s="1844"/>
      <c r="M27" s="1844"/>
      <c r="N27" s="1911" t="s">
        <v>2018</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2019</v>
      </c>
      <c r="C28" s="716">
        <f>SUMIF(A47:A101,E2,B47:B101)</f>
        <v>1.0684</v>
      </c>
      <c r="D28" s="1894"/>
      <c r="E28" s="1919"/>
      <c r="F28" s="1919"/>
      <c r="G28" s="1919"/>
      <c r="H28" s="1919"/>
      <c r="I28" s="1919"/>
      <c r="J28" s="1920"/>
      <c r="K28" s="1061"/>
      <c r="L28" s="2551"/>
      <c r="M28" s="2551"/>
      <c r="N28" s="1921" t="s">
        <v>2020</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2021</v>
      </c>
      <c r="C29" s="721"/>
      <c r="D29" s="1868"/>
      <c r="E29" s="1868"/>
      <c r="F29" s="1923"/>
      <c r="G29" s="1868"/>
      <c r="H29" s="1868"/>
      <c r="I29" s="1868"/>
      <c r="J29" s="1869"/>
      <c r="K29" s="1056"/>
      <c r="L29" s="1844"/>
      <c r="M29" s="1844"/>
      <c r="N29" s="2548" t="s">
        <v>2022</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2023</v>
      </c>
      <c r="C30" s="2145">
        <f>IF(B25="容积率修正",E33+SUM(E37:E42),SUM(V2:V16)+SUM(E37:E42))</f>
        <v>0</v>
      </c>
      <c r="D30" s="1925"/>
      <c r="E30" s="1842"/>
      <c r="F30" s="1926"/>
      <c r="G30" s="1842"/>
      <c r="H30" s="1842"/>
      <c r="I30" s="1842"/>
      <c r="J30" s="1927"/>
      <c r="K30" s="1056"/>
      <c r="L30" s="3054" t="s">
        <v>1935</v>
      </c>
      <c r="M30" s="3055" t="s">
        <v>1989</v>
      </c>
      <c r="N30" s="3055" t="s">
        <v>1990</v>
      </c>
      <c r="O30" s="3055" t="s">
        <v>1991</v>
      </c>
      <c r="P30" s="3055" t="s">
        <v>1992</v>
      </c>
      <c r="Q30" s="3058"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2024</v>
      </c>
      <c r="C31" s="722">
        <f>E34+SUM(I37:I42)</f>
        <v>0</v>
      </c>
      <c r="D31" s="1929"/>
      <c r="E31" s="1930"/>
      <c r="F31" s="1931"/>
      <c r="G31" s="1930"/>
      <c r="H31" s="1930"/>
      <c r="I31" s="1930"/>
      <c r="J31" s="1932"/>
      <c r="K31" s="1056"/>
      <c r="L31" s="3056" t="s">
        <v>1995</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2025</v>
      </c>
      <c r="C32" s="1935" t="s">
        <v>2026</v>
      </c>
      <c r="D32" s="1935" t="s">
        <v>2027</v>
      </c>
      <c r="E32" s="1936" t="s">
        <v>2028</v>
      </c>
      <c r="F32" s="1937"/>
      <c r="G32" s="1881"/>
      <c r="H32" s="1881"/>
      <c r="I32" s="1881"/>
      <c r="J32" s="1882"/>
      <c r="K32" s="1056"/>
      <c r="L32" s="3057" t="s">
        <v>1998</v>
      </c>
      <c r="M32" s="2354">
        <f>ROUND($E$24*(1+M31),3)</f>
        <v>5.3999999999999999E-2</v>
      </c>
      <c r="N32" s="2354">
        <f>ROUND($E$24*(1+N31),3)</f>
        <v>5.1999999999999998E-2</v>
      </c>
      <c r="O32" s="2354">
        <f>ROUND($E$24*(1+O31),3)</f>
        <v>0.05</v>
      </c>
      <c r="P32" s="2354">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2029</v>
      </c>
      <c r="C33" s="167">
        <f>ROUND(C5*C22*C23*C24*C25*C28,0)</f>
        <v>17263</v>
      </c>
      <c r="D33" s="1940">
        <f>'数据-汇总表'!E3</f>
        <v>6547.83</v>
      </c>
      <c r="E33" s="727">
        <f>ROUND(C33*D33/10000,0)</f>
        <v>11304</v>
      </c>
      <c r="F33" s="3049" t="s">
        <v>3260</v>
      </c>
      <c r="G33" s="1941"/>
      <c r="H33" s="1941"/>
      <c r="I33" s="1941"/>
      <c r="J33" s="1942"/>
      <c r="K33" s="1056"/>
      <c r="L33" s="3052" t="s">
        <v>3263</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2030</v>
      </c>
      <c r="C34" s="179" t="e">
        <f>ROUND(IF(E2="工业",C33*M42,IF(B25="楼层修正",SUM(V2:V16)*M41*10000/D34,C33*M41)),0)</f>
        <v>#DIV/0!</v>
      </c>
      <c r="D34" s="1945"/>
      <c r="E34" s="727">
        <f>ROUND(IF(B25="楼层修正",SUM(V2:V16)*M40,C34*D34/10000),0)</f>
        <v>0</v>
      </c>
      <c r="F34" s="1946" t="s">
        <v>2031</v>
      </c>
      <c r="G34" s="1947"/>
      <c r="H34" s="1947"/>
      <c r="I34" s="1947"/>
      <c r="J34" s="1948"/>
      <c r="K34" s="1056"/>
      <c r="L34" s="3052" t="s">
        <v>3264</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2032</v>
      </c>
      <c r="C35" s="3050" t="s">
        <v>3261</v>
      </c>
      <c r="D35" s="1881"/>
      <c r="E35" s="1951"/>
      <c r="F35" s="1951"/>
      <c r="G35" s="1879" t="s">
        <v>2033</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2026</v>
      </c>
      <c r="D36" s="433" t="s">
        <v>2027</v>
      </c>
      <c r="E36" s="433" t="s">
        <v>2028</v>
      </c>
      <c r="F36" s="333" t="s">
        <v>2034</v>
      </c>
      <c r="G36" s="1954" t="s">
        <v>2026</v>
      </c>
      <c r="H36" s="1954" t="s">
        <v>2027</v>
      </c>
      <c r="I36" s="1954" t="s">
        <v>2028</v>
      </c>
      <c r="J36" s="235"/>
      <c r="K36" s="1964" t="s">
        <v>3265</v>
      </c>
      <c r="L36" s="3141">
        <f ca="1">'数据-取费表'!B40</f>
        <v>4.1499999999999995E-2</v>
      </c>
      <c r="M36" s="2364">
        <f ca="1">ROUND($L$36*(1+M31),3)</f>
        <v>5.1999999999999998E-2</v>
      </c>
      <c r="N36" s="2364">
        <f ca="1">ROUND($L$36*(1+N31),3)</f>
        <v>0.05</v>
      </c>
      <c r="O36" s="2364">
        <f ca="1">ROUND($L$36*(1+O31),3)</f>
        <v>4.8000000000000001E-2</v>
      </c>
      <c r="P36" s="2364">
        <f ca="1">ROUND($L$36*(1+P31),3)</f>
        <v>4.5999999999999999E-2</v>
      </c>
      <c r="Q36" s="2364">
        <f ca="1">ROUND($L$36*(1+Q31),3)</f>
        <v>4.8000000000000001E-2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01"/>
      <c r="B37" s="1955" t="s">
        <v>2035</v>
      </c>
      <c r="C37" s="167">
        <f>ROUND(D5*C22*C23*C24*C28*F37,0)</f>
        <v>12490</v>
      </c>
      <c r="D37" s="1940"/>
      <c r="E37" s="163">
        <f>ROUND(C37*D37/10000,0)</f>
        <v>0</v>
      </c>
      <c r="F37" s="163">
        <f>SUMIF(修正!A57:A68,G2,修正!B57:B68)</f>
        <v>0.7</v>
      </c>
      <c r="G37" s="163">
        <f>ROUND(IF(E2="工业",C37*$M$42,C37*$M$41),0)</f>
        <v>3123</v>
      </c>
      <c r="H37" s="163">
        <f>D37</f>
        <v>0</v>
      </c>
      <c r="I37" s="163">
        <f>ROUND(G37*H37/10000,0)</f>
        <v>0</v>
      </c>
      <c r="J37" s="2753"/>
      <c r="K37" s="3060" t="s">
        <v>3266</v>
      </c>
      <c r="L37" s="1964">
        <f ca="1">L36+K38</f>
        <v>4.6499999999999993E-2</v>
      </c>
      <c r="M37" s="2364">
        <f ca="1">ROUND($L$37*(1+M31),3)</f>
        <v>5.8000000000000003E-2</v>
      </c>
      <c r="N37" s="2364">
        <f t="shared" ref="N37:Q37" ca="1" si="3">ROUND($L$37*(1+N31),3)</f>
        <v>5.6000000000000001E-2</v>
      </c>
      <c r="O37" s="2364">
        <f t="shared" ca="1" si="3"/>
        <v>5.2999999999999999E-2</v>
      </c>
      <c r="P37" s="2364">
        <f t="shared" ca="1" si="3"/>
        <v>5.0999999999999997E-2</v>
      </c>
      <c r="Q37" s="2364">
        <f t="shared" ca="1" si="3"/>
        <v>5.2999999999999999E-2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02"/>
      <c r="B38" s="1884" t="s">
        <v>2036</v>
      </c>
      <c r="C38" s="167">
        <f>ROUND(D5*C22*C23*C24*C28*F38,0)</f>
        <v>7137</v>
      </c>
      <c r="D38" s="1940"/>
      <c r="E38" s="163">
        <f t="shared" ref="E38:E42" si="4">ROUND(C38*D38/10000,0)</f>
        <v>0</v>
      </c>
      <c r="F38" s="163">
        <f>SUMIF(修正!A57:A68,G2,修正!C57:C68)</f>
        <v>0.4</v>
      </c>
      <c r="G38" s="163">
        <f>ROUND(IF(E2="工业",C38*$M$42,C38*$M$41),0)</f>
        <v>1784</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02"/>
      <c r="B39" s="1884" t="s">
        <v>3259</v>
      </c>
      <c r="C39" s="167">
        <f>ROUND(D5*C22*C23*C24*C28*F39,0)</f>
        <v>5353</v>
      </c>
      <c r="D39" s="1940"/>
      <c r="E39" s="163">
        <f t="shared" si="4"/>
        <v>0</v>
      </c>
      <c r="F39" s="163">
        <f>SUMIF(修正!A57:A68,G2,修正!D57:D68)</f>
        <v>0.3</v>
      </c>
      <c r="G39" s="163">
        <f>ROUND(IF(E2="工业",C39*$M$42,C39*$M$41),0)</f>
        <v>1338</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2037</v>
      </c>
      <c r="C40" s="163">
        <f>ROUND(D5*C22*C23*C24*C28*F40,0)</f>
        <v>5353</v>
      </c>
      <c r="D40" s="1940"/>
      <c r="E40" s="163">
        <f t="shared" si="4"/>
        <v>0</v>
      </c>
      <c r="F40" s="167">
        <f>SUMIF(修正!A57:A68,G2,修正!E57:E68)</f>
        <v>0.3</v>
      </c>
      <c r="G40" s="163">
        <f>ROUND(IF(E2="工业",C40*$M$42,C40*$M$41),0)</f>
        <v>1338</v>
      </c>
      <c r="H40" s="163">
        <f t="shared" si="5"/>
        <v>0</v>
      </c>
      <c r="I40" s="163">
        <f t="shared" si="6"/>
        <v>0</v>
      </c>
      <c r="J40" s="939"/>
      <c r="L40" s="1957" t="s">
        <v>2038</v>
      </c>
      <c r="M40" s="1958"/>
      <c r="Z40" s="1057"/>
      <c r="AA40" s="1057"/>
      <c r="AB40" s="1057"/>
      <c r="AC40" s="1057"/>
      <c r="AD40" s="1057"/>
      <c r="AE40" s="1057"/>
      <c r="AF40" s="1057"/>
      <c r="AG40" s="1057"/>
      <c r="AH40" s="1057"/>
      <c r="AI40" s="1057"/>
      <c r="AJ40" s="1057"/>
    </row>
    <row r="41" spans="1:37" s="1056" customFormat="1">
      <c r="A41" s="1956"/>
      <c r="B41" s="1884" t="s">
        <v>2039</v>
      </c>
      <c r="C41" s="163">
        <f>ROUND(D5*C22*C23*C44*C28*F41,0)</f>
        <v>0</v>
      </c>
      <c r="D41" s="1940"/>
      <c r="E41" s="163">
        <f t="shared" si="4"/>
        <v>0</v>
      </c>
      <c r="F41" s="167">
        <f>SUMIF(修正!A57:A68,G2,修正!F57:F68)</f>
        <v>0.3</v>
      </c>
      <c r="G41" s="163">
        <f>ROUND(IF(E2="工业",C41*$M$42,C41*$M$41),0)</f>
        <v>0</v>
      </c>
      <c r="H41" s="163">
        <f t="shared" si="5"/>
        <v>0</v>
      </c>
      <c r="I41" s="163">
        <f t="shared" si="6"/>
        <v>0</v>
      </c>
      <c r="J41" s="939"/>
      <c r="L41" s="3061" t="s">
        <v>3267</v>
      </c>
      <c r="M41" s="1959">
        <v>0.25</v>
      </c>
      <c r="Z41" s="1057"/>
      <c r="AA41" s="1057"/>
      <c r="AB41" s="1057"/>
      <c r="AC41" s="1057"/>
      <c r="AD41" s="1057"/>
      <c r="AE41" s="1057"/>
      <c r="AF41" s="1057"/>
      <c r="AG41" s="1057"/>
      <c r="AH41" s="1057"/>
      <c r="AI41" s="1057"/>
      <c r="AJ41" s="1057"/>
    </row>
    <row r="42" spans="1:37" s="1056" customFormat="1" ht="13.5" thickBot="1">
      <c r="A42" s="1943"/>
      <c r="B42" s="1960" t="s">
        <v>2040</v>
      </c>
      <c r="C42" s="179">
        <f>ROUND(D5*C22*C23*C44*C28*F42,0)</f>
        <v>0</v>
      </c>
      <c r="D42" s="1945"/>
      <c r="E42" s="179">
        <f t="shared" si="4"/>
        <v>0</v>
      </c>
      <c r="F42" s="723">
        <f>SUMIF(修正!A57:A68,G2,修正!G57:G68)</f>
        <v>0.2</v>
      </c>
      <c r="G42" s="179">
        <f>ROUND(IF(E2="工业",C42*$M$42,C42*$M$41),0)</f>
        <v>0</v>
      </c>
      <c r="H42" s="179">
        <f t="shared" si="5"/>
        <v>0</v>
      </c>
      <c r="I42" s="179">
        <f t="shared" si="6"/>
        <v>0</v>
      </c>
      <c r="J42" s="1961"/>
      <c r="L42" s="1962" t="s">
        <v>1992</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2121</v>
      </c>
      <c r="C44" s="333">
        <f>ROUND(POWER(1+E44,H44-G44)*(POWER(1+E44,G44)-1)/(POWER(1+E44,H44)-1),4)</f>
        <v>0</v>
      </c>
      <c r="D44" s="163" t="s">
        <v>1998</v>
      </c>
      <c r="E44" s="1991">
        <f>G24</f>
        <v>5.5E-2</v>
      </c>
      <c r="F44" s="163" t="s">
        <v>2007</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2041</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2042</v>
      </c>
      <c r="B48" s="1968">
        <f>1+E50</f>
        <v>1.0684</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2043</v>
      </c>
      <c r="B49" s="1262" t="s">
        <v>2044</v>
      </c>
      <c r="C49" s="1262" t="s">
        <v>2045</v>
      </c>
      <c r="D49" s="1262" t="s">
        <v>2046</v>
      </c>
      <c r="E49" s="701" t="s">
        <v>2047</v>
      </c>
      <c r="F49" s="1971" t="s">
        <v>2048</v>
      </c>
      <c r="G49" s="1262" t="s">
        <v>310</v>
      </c>
      <c r="H49" s="1972" t="s">
        <v>2049</v>
      </c>
      <c r="I49" s="1262" t="s">
        <v>2050</v>
      </c>
      <c r="J49" s="530" t="s">
        <v>1720</v>
      </c>
      <c r="K49" s="530" t="s">
        <v>1721</v>
      </c>
      <c r="L49" s="530" t="s">
        <v>1722</v>
      </c>
      <c r="M49" s="530" t="s">
        <v>1723</v>
      </c>
      <c r="N49" s="530" t="s">
        <v>1724</v>
      </c>
      <c r="AA49" s="1057"/>
      <c r="AB49" s="1057"/>
      <c r="AC49" s="1057"/>
      <c r="AD49" s="1057"/>
      <c r="AE49" s="1057"/>
      <c r="AF49" s="1057"/>
      <c r="AG49" s="1057"/>
      <c r="AH49" s="1057"/>
      <c r="AI49" s="1057"/>
      <c r="AJ49" s="1057"/>
      <c r="AK49" s="1057"/>
    </row>
    <row r="50" spans="1:37" s="1056" customFormat="1" ht="51">
      <c r="A50" s="1970" t="s">
        <v>2051</v>
      </c>
      <c r="B50" s="1973" t="str">
        <f>估价对象房地状况!C4</f>
        <v>估价对象位于朝阳门商圈，周边商业氛围成熟，有悠唐购物中心、银河SOHO等购物中心，人流量大，商业繁华度好</v>
      </c>
      <c r="C50" s="1887" t="s">
        <v>3409</v>
      </c>
      <c r="D50" s="1002">
        <f t="shared" ref="D50:D58" si="7">SUMIF($J$49:$N$49,C50,J50:N50)</f>
        <v>2.4199999999999999E-2</v>
      </c>
      <c r="E50" s="702">
        <f>ROUND(SUM(D50:D58),4)</f>
        <v>6.8400000000000002E-2</v>
      </c>
      <c r="F50" s="1675">
        <f>IF(E2="商业",SUMIF(L1:L12,G2,N1:N12),"——")</f>
        <v>8.1000000000000003E-2</v>
      </c>
      <c r="G50" s="1000">
        <v>1.21E-2</v>
      </c>
      <c r="H50" s="1003">
        <f t="shared" ref="H50:H58" si="8">IFERROR(ROUNDDOWN($F$50*I50/2,4),"——")</f>
        <v>1.21E-2</v>
      </c>
      <c r="I50" s="3067">
        <v>0.3</v>
      </c>
      <c r="J50" s="1001">
        <f t="shared" ref="J50:J58" si="9">K50+$G50</f>
        <v>2.4199999999999999E-2</v>
      </c>
      <c r="K50" s="1001">
        <f t="shared" ref="K50:K58" si="10">$L50+$G50</f>
        <v>1.21E-2</v>
      </c>
      <c r="L50" s="1001">
        <v>0</v>
      </c>
      <c r="M50" s="1001">
        <f t="shared" ref="M50:N58" si="11">L50-$G50</f>
        <v>-1.21E-2</v>
      </c>
      <c r="N50" s="1001">
        <f t="shared" si="11"/>
        <v>-2.4199999999999999E-2</v>
      </c>
      <c r="AA50" s="1057"/>
      <c r="AB50" s="1057"/>
      <c r="AC50" s="1057"/>
      <c r="AD50" s="1057"/>
      <c r="AE50" s="1057"/>
      <c r="AF50" s="1057"/>
      <c r="AG50" s="1057"/>
      <c r="AH50" s="1057"/>
      <c r="AI50" s="1057"/>
      <c r="AJ50" s="1057"/>
      <c r="AK50" s="1057"/>
    </row>
    <row r="51" spans="1:37" s="1056" customFormat="1" ht="51">
      <c r="A51" s="1970" t="s">
        <v>2052</v>
      </c>
      <c r="B51" s="1262" t="str">
        <f>估价对象房地状况!C18</f>
        <v>周边有75、110、420路及地铁2号、6号线，周边道路密集，停车便捷程度，综合评价交通便捷度好</v>
      </c>
      <c r="C51" s="1887" t="s">
        <v>3409</v>
      </c>
      <c r="D51" s="1002">
        <f t="shared" si="7"/>
        <v>1.78E-2</v>
      </c>
      <c r="E51" s="703"/>
      <c r="F51" s="1675"/>
      <c r="G51" s="1000">
        <v>8.8999999999999999E-3</v>
      </c>
      <c r="H51" s="1003">
        <f t="shared" si="8"/>
        <v>8.8999999999999999E-3</v>
      </c>
      <c r="I51" s="3067">
        <v>0.22</v>
      </c>
      <c r="J51" s="1001">
        <f t="shared" si="9"/>
        <v>1.78E-2</v>
      </c>
      <c r="K51" s="1001">
        <f t="shared" si="10"/>
        <v>8.8999999999999999E-3</v>
      </c>
      <c r="L51" s="1001">
        <v>0</v>
      </c>
      <c r="M51" s="1001">
        <f t="shared" si="11"/>
        <v>-8.8999999999999999E-3</v>
      </c>
      <c r="N51" s="1001">
        <f t="shared" si="11"/>
        <v>-1.78E-2</v>
      </c>
      <c r="AA51" s="1057"/>
      <c r="AB51" s="1057"/>
      <c r="AC51" s="1057"/>
      <c r="AD51" s="1057"/>
      <c r="AE51" s="1057"/>
      <c r="AF51" s="1057"/>
      <c r="AG51" s="1057"/>
      <c r="AH51" s="1057"/>
      <c r="AI51" s="1057"/>
      <c r="AJ51" s="1057"/>
      <c r="AK51" s="1057"/>
    </row>
    <row r="52" spans="1:37" s="1056" customFormat="1" ht="36">
      <c r="A52" s="3069" t="s">
        <v>3269</v>
      </c>
      <c r="B52" s="1262">
        <f>估价对象房地状况!C19</f>
        <v>0</v>
      </c>
      <c r="C52" s="1887" t="s">
        <v>3410</v>
      </c>
      <c r="D52" s="1002">
        <f t="shared" si="7"/>
        <v>4.7999999999999996E-3</v>
      </c>
      <c r="E52" s="703"/>
      <c r="F52" s="1675"/>
      <c r="G52" s="1000">
        <v>4.7999999999999996E-3</v>
      </c>
      <c r="H52" s="1003">
        <f t="shared" si="8"/>
        <v>4.7999999999999996E-3</v>
      </c>
      <c r="I52" s="3067">
        <v>0.12</v>
      </c>
      <c r="J52" s="1001">
        <f t="shared" si="9"/>
        <v>9.5999999999999992E-3</v>
      </c>
      <c r="K52" s="1001">
        <f t="shared" si="10"/>
        <v>4.7999999999999996E-3</v>
      </c>
      <c r="L52" s="1001">
        <v>0</v>
      </c>
      <c r="M52" s="1001">
        <f t="shared" si="11"/>
        <v>-4.7999999999999996E-3</v>
      </c>
      <c r="N52" s="1001">
        <f t="shared" si="11"/>
        <v>-9.5999999999999992E-3</v>
      </c>
      <c r="AA52" s="1057"/>
      <c r="AB52" s="1057"/>
      <c r="AC52" s="1057"/>
      <c r="AD52" s="1057"/>
      <c r="AE52" s="1057"/>
      <c r="AF52" s="1057"/>
      <c r="AG52" s="1057"/>
      <c r="AH52" s="1057"/>
      <c r="AI52" s="1057"/>
      <c r="AJ52" s="1057"/>
      <c r="AK52" s="1057"/>
    </row>
    <row r="53" spans="1:37" s="1056" customFormat="1" ht="36.75">
      <c r="A53" s="1970" t="s">
        <v>2053</v>
      </c>
      <c r="B53" s="1974" t="s">
        <v>2054</v>
      </c>
      <c r="C53" s="1887" t="s">
        <v>3410</v>
      </c>
      <c r="D53" s="1002">
        <f t="shared" si="7"/>
        <v>2E-3</v>
      </c>
      <c r="E53" s="703"/>
      <c r="F53" s="1675"/>
      <c r="G53" s="1000">
        <v>2E-3</v>
      </c>
      <c r="H53" s="1003">
        <f t="shared" si="8"/>
        <v>2E-3</v>
      </c>
      <c r="I53" s="3067">
        <v>0.05</v>
      </c>
      <c r="J53" s="1001">
        <f t="shared" si="9"/>
        <v>4.0000000000000001E-3</v>
      </c>
      <c r="K53" s="1001">
        <f t="shared" si="10"/>
        <v>2E-3</v>
      </c>
      <c r="L53" s="1001">
        <v>0</v>
      </c>
      <c r="M53" s="1001">
        <f t="shared" si="11"/>
        <v>-2E-3</v>
      </c>
      <c r="N53" s="1001">
        <f t="shared" si="11"/>
        <v>-4.0000000000000001E-3</v>
      </c>
      <c r="AA53" s="1057"/>
      <c r="AB53" s="1057"/>
      <c r="AC53" s="1057"/>
      <c r="AD53" s="1057"/>
      <c r="AE53" s="1057"/>
      <c r="AF53" s="1057"/>
      <c r="AG53" s="1057"/>
      <c r="AH53" s="1057"/>
      <c r="AI53" s="1057"/>
      <c r="AJ53" s="1057"/>
      <c r="AK53" s="1057"/>
    </row>
    <row r="54" spans="1:37" s="1056" customFormat="1" ht="24">
      <c r="A54" s="1970" t="s">
        <v>2055</v>
      </c>
      <c r="B54" s="1262" t="str">
        <f>估价对象房地状况!C24</f>
        <v>城市主干道——朝阳门外大街</v>
      </c>
      <c r="C54" s="1887" t="s">
        <v>3410</v>
      </c>
      <c r="D54" s="1002">
        <f t="shared" si="7"/>
        <v>3.2000000000000002E-3</v>
      </c>
      <c r="E54" s="703"/>
      <c r="F54" s="1675"/>
      <c r="G54" s="1000">
        <v>3.2000000000000002E-3</v>
      </c>
      <c r="H54" s="1003">
        <f t="shared" si="8"/>
        <v>3.2000000000000002E-3</v>
      </c>
      <c r="I54" s="3067">
        <v>0.08</v>
      </c>
      <c r="J54" s="1001">
        <f t="shared" si="9"/>
        <v>6.4000000000000003E-3</v>
      </c>
      <c r="K54" s="1001">
        <f t="shared" si="10"/>
        <v>3.2000000000000002E-3</v>
      </c>
      <c r="L54" s="1001">
        <v>0</v>
      </c>
      <c r="M54" s="1001">
        <f t="shared" si="11"/>
        <v>-3.2000000000000002E-3</v>
      </c>
      <c r="N54" s="1001">
        <f t="shared" si="11"/>
        <v>-6.4000000000000003E-3</v>
      </c>
      <c r="AA54" s="1057"/>
      <c r="AB54" s="1057"/>
      <c r="AC54" s="1057"/>
      <c r="AD54" s="1057"/>
      <c r="AE54" s="1057"/>
      <c r="AF54" s="1057"/>
      <c r="AG54" s="1057"/>
      <c r="AH54" s="1057"/>
      <c r="AI54" s="1057"/>
      <c r="AJ54" s="1057"/>
      <c r="AK54" s="1057"/>
    </row>
    <row r="55" spans="1:37" s="1056" customFormat="1" ht="24">
      <c r="A55" s="1970" t="s">
        <v>2056</v>
      </c>
      <c r="B55" s="1975" t="s">
        <v>2057</v>
      </c>
      <c r="C55" s="1887" t="s">
        <v>3409</v>
      </c>
      <c r="D55" s="1002">
        <f t="shared" si="7"/>
        <v>4.0000000000000001E-3</v>
      </c>
      <c r="E55" s="703"/>
      <c r="F55" s="1675"/>
      <c r="G55" s="1000">
        <v>2E-3</v>
      </c>
      <c r="H55" s="1003">
        <f t="shared" si="8"/>
        <v>2E-3</v>
      </c>
      <c r="I55" s="3067">
        <v>0.05</v>
      </c>
      <c r="J55" s="1001">
        <f t="shared" si="9"/>
        <v>4.0000000000000001E-3</v>
      </c>
      <c r="K55" s="1001">
        <f t="shared" si="10"/>
        <v>2E-3</v>
      </c>
      <c r="L55" s="1001">
        <v>0</v>
      </c>
      <c r="M55" s="1001">
        <f t="shared" si="11"/>
        <v>-2E-3</v>
      </c>
      <c r="N55" s="1001">
        <f t="shared" si="11"/>
        <v>-4.0000000000000001E-3</v>
      </c>
      <c r="AA55" s="1057"/>
      <c r="AB55" s="1057"/>
      <c r="AC55" s="1057"/>
      <c r="AD55" s="1057"/>
      <c r="AE55" s="1057"/>
      <c r="AF55" s="1057"/>
      <c r="AG55" s="1057"/>
      <c r="AH55" s="1057"/>
      <c r="AI55" s="1057"/>
      <c r="AJ55" s="1057"/>
      <c r="AK55" s="1057"/>
    </row>
    <row r="56" spans="1:37" s="1056" customFormat="1" ht="51">
      <c r="A56" s="1976" t="s">
        <v>2058</v>
      </c>
      <c r="B56" s="1240" t="str">
        <f>估价对象房地状况!C21</f>
        <v>估价对象所在区域银行、购物场所、学校等公共配套设施齐备，综合评价公共配套设施水平好。</v>
      </c>
      <c r="C56" s="1887" t="s">
        <v>3409</v>
      </c>
      <c r="D56" s="1002">
        <f t="shared" si="7"/>
        <v>4.0000000000000001E-3</v>
      </c>
      <c r="E56" s="703"/>
      <c r="F56" s="1675"/>
      <c r="G56" s="1000">
        <v>2E-3</v>
      </c>
      <c r="H56" s="1003">
        <f t="shared" si="8"/>
        <v>2E-3</v>
      </c>
      <c r="I56" s="3067">
        <v>0.05</v>
      </c>
      <c r="J56" s="1001">
        <f t="shared" si="9"/>
        <v>4.0000000000000001E-3</v>
      </c>
      <c r="K56" s="1001">
        <f t="shared" si="10"/>
        <v>2E-3</v>
      </c>
      <c r="L56" s="1001">
        <v>0</v>
      </c>
      <c r="M56" s="1001">
        <f t="shared" si="11"/>
        <v>-2E-3</v>
      </c>
      <c r="N56" s="1001">
        <f t="shared" si="11"/>
        <v>-4.0000000000000001E-3</v>
      </c>
      <c r="AA56" s="1057"/>
      <c r="AB56" s="1057"/>
      <c r="AC56" s="1057"/>
      <c r="AD56" s="1057"/>
      <c r="AE56" s="1057"/>
      <c r="AF56" s="1057"/>
      <c r="AG56" s="1057"/>
      <c r="AH56" s="1057"/>
      <c r="AI56" s="1057"/>
      <c r="AJ56" s="1057"/>
      <c r="AK56" s="1057"/>
    </row>
    <row r="57" spans="1:37" s="1056" customFormat="1" ht="25.5">
      <c r="A57" s="1976" t="s">
        <v>2059</v>
      </c>
      <c r="B57" s="1262" t="str">
        <f>估价对象房地状况!C22</f>
        <v>估价对象所在区域基础设施水平“七通一平</v>
      </c>
      <c r="C57" s="1887" t="s">
        <v>3409</v>
      </c>
      <c r="D57" s="1002">
        <f t="shared" si="7"/>
        <v>6.4000000000000003E-3</v>
      </c>
      <c r="E57" s="703"/>
      <c r="F57" s="1675"/>
      <c r="G57" s="1000">
        <v>3.2000000000000002E-3</v>
      </c>
      <c r="H57" s="1003">
        <f t="shared" si="8"/>
        <v>3.2000000000000002E-3</v>
      </c>
      <c r="I57" s="3067">
        <v>0.08</v>
      </c>
      <c r="J57" s="1001">
        <f t="shared" si="9"/>
        <v>6.4000000000000003E-3</v>
      </c>
      <c r="K57" s="1001">
        <f t="shared" si="10"/>
        <v>3.2000000000000002E-3</v>
      </c>
      <c r="L57" s="1001">
        <v>0</v>
      </c>
      <c r="M57" s="1001">
        <f t="shared" si="11"/>
        <v>-3.2000000000000002E-3</v>
      </c>
      <c r="N57" s="1001">
        <f t="shared" si="11"/>
        <v>-6.4000000000000003E-3</v>
      </c>
      <c r="AA57" s="1057"/>
      <c r="AB57" s="1057"/>
      <c r="AC57" s="1057"/>
      <c r="AD57" s="1057"/>
      <c r="AE57" s="1057"/>
      <c r="AF57" s="1057"/>
      <c r="AG57" s="1057"/>
      <c r="AH57" s="1057"/>
      <c r="AI57" s="1057"/>
      <c r="AJ57" s="1057"/>
      <c r="AK57" s="1057"/>
    </row>
    <row r="58" spans="1:37" s="1056" customFormat="1" ht="51.75" thickBot="1">
      <c r="A58" s="1977" t="s">
        <v>2060</v>
      </c>
      <c r="B58" s="1978" t="str">
        <f>估价对象房地状况!C20</f>
        <v>区域内有东城职业大学、日坛公园、富国海底世界等自然及人文环境，综合评价自然及人文环境状况较好。</v>
      </c>
      <c r="C58" s="1887" t="s">
        <v>3410</v>
      </c>
      <c r="D58" s="1002">
        <f t="shared" si="7"/>
        <v>2E-3</v>
      </c>
      <c r="E58" s="704"/>
      <c r="F58" s="1675"/>
      <c r="G58" s="1000">
        <v>2E-3</v>
      </c>
      <c r="H58" s="1003">
        <f t="shared" si="8"/>
        <v>2E-3</v>
      </c>
      <c r="I58" s="3068">
        <v>0.05</v>
      </c>
      <c r="J58" s="1001">
        <f t="shared" si="9"/>
        <v>4.0000000000000001E-3</v>
      </c>
      <c r="K58" s="1001">
        <f t="shared" si="10"/>
        <v>2E-3</v>
      </c>
      <c r="L58" s="1001">
        <v>0</v>
      </c>
      <c r="M58" s="1001">
        <f t="shared" si="11"/>
        <v>-2E-3</v>
      </c>
      <c r="N58" s="1001">
        <f t="shared" si="11"/>
        <v>-4.0000000000000001E-3</v>
      </c>
      <c r="AA58" s="1057"/>
      <c r="AB58" s="1057"/>
      <c r="AC58" s="1057"/>
      <c r="AD58" s="1057"/>
      <c r="AE58" s="1057"/>
      <c r="AF58" s="1057"/>
      <c r="AG58" s="1057"/>
      <c r="AH58" s="1057"/>
      <c r="AI58" s="1057"/>
      <c r="AJ58" s="1057"/>
      <c r="AK58" s="1057"/>
    </row>
    <row r="59" spans="1:37" s="1056" customFormat="1" ht="15">
      <c r="A59" s="1967" t="s">
        <v>2061</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2043</v>
      </c>
      <c r="B60" s="1262"/>
      <c r="C60" s="1262" t="s">
        <v>2045</v>
      </c>
      <c r="D60" s="1262" t="s">
        <v>2046</v>
      </c>
      <c r="E60" s="701" t="s">
        <v>2047</v>
      </c>
      <c r="F60" s="1971" t="s">
        <v>2062</v>
      </c>
      <c r="G60" s="1262" t="s">
        <v>310</v>
      </c>
      <c r="H60" s="1972" t="s">
        <v>2049</v>
      </c>
      <c r="I60" s="1262" t="s">
        <v>2050</v>
      </c>
      <c r="J60" s="530" t="s">
        <v>1720</v>
      </c>
      <c r="K60" s="530" t="s">
        <v>1721</v>
      </c>
      <c r="L60" s="530" t="s">
        <v>1722</v>
      </c>
      <c r="M60" s="530" t="s">
        <v>1723</v>
      </c>
      <c r="N60" s="530" t="s">
        <v>1724</v>
      </c>
      <c r="AA60" s="1057"/>
      <c r="AB60" s="1057"/>
      <c r="AC60" s="1057"/>
      <c r="AD60" s="1057"/>
      <c r="AE60" s="1057"/>
      <c r="AF60" s="1057"/>
      <c r="AG60" s="1057"/>
      <c r="AH60" s="1057"/>
      <c r="AI60" s="1057"/>
      <c r="AJ60" s="1057"/>
      <c r="AK60" s="1057"/>
    </row>
    <row r="61" spans="1:37" s="1056" customFormat="1" ht="24">
      <c r="A61" s="1970" t="s">
        <v>2063</v>
      </c>
      <c r="B61" s="1973">
        <f>估价对象房地状况!C17</f>
        <v>0</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1">
      <c r="A62" s="1970" t="s">
        <v>2052</v>
      </c>
      <c r="B62" s="1262" t="str">
        <f>估价对象房地状况!C18</f>
        <v>周边有75、110、420路及地铁2号、6号线，周边道路密集，停车便捷程度，综合评价交通便捷度好</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9" t="s">
        <v>3269</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2053</v>
      </c>
      <c r="B64" s="1974" t="s">
        <v>2054</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2055</v>
      </c>
      <c r="B65" s="1262" t="str">
        <f>估价对象房地状况!C24</f>
        <v>城市主干道——朝阳门外大街</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2056</v>
      </c>
      <c r="B66" s="1975" t="s">
        <v>2057</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51">
      <c r="A67" s="1970" t="s">
        <v>2058</v>
      </c>
      <c r="B67" s="1240" t="str">
        <f>估价对象房地状况!C21</f>
        <v>估价对象所在区域银行、购物场所、学校等公共配套设施齐备，综合评价公共配套设施水平好。</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2059</v>
      </c>
      <c r="B68" s="1240" t="str">
        <f>估价对象房地状况!C22</f>
        <v>估价对象所在区域基础设施水平“七通一平</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51.75" thickBot="1">
      <c r="A69" s="1977" t="s">
        <v>2060</v>
      </c>
      <c r="B69" s="1979" t="str">
        <f>估价对象房地状况!C20</f>
        <v>区域内有东城职业大学、日坛公园、富国海底世界等自然及人文环境，综合评价自然及人文环境状况较好。</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2064</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2043</v>
      </c>
      <c r="B71" s="1262"/>
      <c r="C71" s="1262" t="s">
        <v>2045</v>
      </c>
      <c r="D71" s="1262" t="s">
        <v>2046</v>
      </c>
      <c r="E71" s="701" t="s">
        <v>2047</v>
      </c>
      <c r="F71" s="1971" t="s">
        <v>2062</v>
      </c>
      <c r="G71" s="1262" t="s">
        <v>310</v>
      </c>
      <c r="H71" s="1972" t="s">
        <v>2049</v>
      </c>
      <c r="I71" s="1262" t="s">
        <v>2050</v>
      </c>
      <c r="J71" s="530" t="s">
        <v>1720</v>
      </c>
      <c r="K71" s="530" t="s">
        <v>1721</v>
      </c>
      <c r="L71" s="530" t="s">
        <v>1722</v>
      </c>
      <c r="M71" s="530" t="s">
        <v>1723</v>
      </c>
      <c r="N71" s="530" t="s">
        <v>1724</v>
      </c>
      <c r="AA71" s="1057"/>
      <c r="AB71" s="1057"/>
      <c r="AC71" s="1057"/>
      <c r="AD71" s="1057"/>
      <c r="AE71" s="1057"/>
      <c r="AF71" s="1057"/>
      <c r="AG71" s="1057"/>
      <c r="AH71" s="1057"/>
      <c r="AI71" s="1057"/>
      <c r="AJ71" s="1057"/>
      <c r="AK71" s="1057"/>
    </row>
    <row r="72" spans="1:37" s="1056" customFormat="1" ht="24">
      <c r="A72" s="1970" t="s">
        <v>2065</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1">
      <c r="A73" s="1970" t="s">
        <v>2052</v>
      </c>
      <c r="B73" s="1262" t="str">
        <f>估价对象房地状况!C18</f>
        <v>周边有75、110、420路及地铁2号、6号线，周边道路密集，停车便捷程度，综合评价交通便捷度好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69" t="s">
        <v>3269</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2066</v>
      </c>
      <c r="B75" s="1262" t="str">
        <f>估价对象房地状况!C24</f>
        <v>城市主干道——朝阳门外大街</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51">
      <c r="A76" s="1970" t="s">
        <v>2058</v>
      </c>
      <c r="B76" s="1240" t="str">
        <f>估价对象房地状况!C21</f>
        <v>估价对象所在区域银行、购物场所、学校等公共配套设施齐备，综合评价公共配套设施水平好。</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2059</v>
      </c>
      <c r="B77" s="1240" t="str">
        <f>估价对象房地状况!C22</f>
        <v>估价对象所在区域基础设施水平“七通一平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2056</v>
      </c>
      <c r="B78" s="1975" t="s">
        <v>2057</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51">
      <c r="A79" s="1970" t="s">
        <v>2060</v>
      </c>
      <c r="B79" s="1973" t="str">
        <f>估价对象房地状况!C20</f>
        <v>区域内有东城职业大学、日坛公园、富国海底世界等自然及人文环境，综合评价自然及人文环境状况较好。</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24.75" thickBot="1">
      <c r="A80" s="1977" t="s">
        <v>2067</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5">
      <c r="A81" s="1967" t="s">
        <v>2068</v>
      </c>
      <c r="B81" s="1968">
        <f>1+E83</f>
        <v>1</v>
      </c>
      <c r="C81" s="699"/>
      <c r="D81" s="699"/>
      <c r="E81" s="700"/>
      <c r="F81" s="1969"/>
      <c r="G81" s="3"/>
      <c r="H81" s="3"/>
      <c r="I81" s="3"/>
      <c r="J81" s="4"/>
      <c r="K81" s="4"/>
      <c r="L81" s="4"/>
      <c r="M81" s="4"/>
      <c r="N81" s="4"/>
      <c r="Z81" s="1845"/>
      <c r="AA81" s="1895"/>
      <c r="AG81" s="1058"/>
      <c r="AK81" s="1895"/>
    </row>
    <row r="82" spans="1:37" ht="24.75">
      <c r="A82" s="1970" t="s">
        <v>2043</v>
      </c>
      <c r="B82" s="1262"/>
      <c r="C82" s="1262" t="s">
        <v>2045</v>
      </c>
      <c r="D82" s="1262" t="s">
        <v>2046</v>
      </c>
      <c r="E82" s="701" t="s">
        <v>2047</v>
      </c>
      <c r="F82" s="1971" t="s">
        <v>2062</v>
      </c>
      <c r="G82" s="1262" t="s">
        <v>310</v>
      </c>
      <c r="H82" s="1972" t="s">
        <v>2049</v>
      </c>
      <c r="I82" s="1262" t="s">
        <v>2050</v>
      </c>
      <c r="J82" s="530" t="s">
        <v>1720</v>
      </c>
      <c r="K82" s="530" t="s">
        <v>1721</v>
      </c>
      <c r="L82" s="530" t="s">
        <v>1722</v>
      </c>
      <c r="M82" s="530" t="s">
        <v>1723</v>
      </c>
      <c r="N82" s="530" t="s">
        <v>1724</v>
      </c>
      <c r="Z82" s="1845"/>
      <c r="AA82" s="1895"/>
      <c r="AG82" s="1058"/>
      <c r="AK82" s="1895"/>
    </row>
    <row r="83" spans="1:37" ht="38.25">
      <c r="A83" s="1970" t="s">
        <v>2069</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2052</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36">
      <c r="A85" s="3069" t="s">
        <v>3270</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4.25">
      <c r="A86" s="1970" t="s">
        <v>2066</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5.5">
      <c r="A87" s="1970" t="s">
        <v>2058</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5.5">
      <c r="A88" s="1970" t="s">
        <v>2059</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24">
      <c r="A89" s="1970" t="s">
        <v>2056</v>
      </c>
      <c r="B89" s="1975" t="s">
        <v>2070</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39" thickBot="1">
      <c r="A90" s="1977" t="s">
        <v>2071</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5">
      <c r="A91" s="3077" t="s">
        <v>2610</v>
      </c>
      <c r="B91" s="3078">
        <f>1+E93</f>
        <v>1</v>
      </c>
      <c r="C91" s="3071"/>
      <c r="D91" s="3072"/>
      <c r="E91" s="1675"/>
      <c r="F91" s="1675"/>
      <c r="G91" s="3073"/>
      <c r="H91" s="3074"/>
      <c r="I91" s="3075"/>
      <c r="J91" s="3076"/>
      <c r="K91" s="3076"/>
      <c r="L91" s="3076"/>
      <c r="M91" s="3076"/>
      <c r="N91" s="3076"/>
    </row>
    <row r="92" spans="1:37" ht="24.75">
      <c r="A92" s="3079" t="s">
        <v>3271</v>
      </c>
      <c r="B92" s="2308"/>
      <c r="C92" s="2308" t="s">
        <v>3280</v>
      </c>
      <c r="D92" s="2308" t="s">
        <v>3281</v>
      </c>
      <c r="E92" s="3051" t="s">
        <v>3282</v>
      </c>
      <c r="F92" s="3081" t="s">
        <v>3283</v>
      </c>
      <c r="G92" s="2308" t="s">
        <v>3284</v>
      </c>
      <c r="H92" s="3088" t="s">
        <v>3287</v>
      </c>
      <c r="I92" s="2308" t="s">
        <v>3288</v>
      </c>
      <c r="J92" s="2150" t="s">
        <v>3289</v>
      </c>
      <c r="K92" s="2150" t="s">
        <v>3290</v>
      </c>
      <c r="L92" s="2150" t="s">
        <v>3291</v>
      </c>
      <c r="M92" s="2150" t="s">
        <v>3292</v>
      </c>
      <c r="N92" s="2150" t="s">
        <v>3293</v>
      </c>
    </row>
    <row r="93" spans="1:37" ht="24">
      <c r="A93" s="3069" t="s">
        <v>3272</v>
      </c>
      <c r="B93" s="1221"/>
      <c r="C93" s="1887"/>
      <c r="D93" s="2308">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1">
      <c r="A94" s="3079" t="s">
        <v>3273</v>
      </c>
      <c r="B94" s="3070" t="str">
        <f>估价对象房地状况!C18</f>
        <v>周边有75、110、420路及地铁2号、6号线，周边道路密集，停车便捷程度，综合评价交通便捷度好</v>
      </c>
      <c r="C94" s="1887"/>
      <c r="D94" s="2308">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36">
      <c r="A95" s="3069" t="s">
        <v>3269</v>
      </c>
      <c r="B95" s="3070">
        <f>估价对象房地状况!C19</f>
        <v>0</v>
      </c>
      <c r="C95" s="1887"/>
      <c r="D95" s="2308">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6.75">
      <c r="A96" s="3079" t="s">
        <v>3274</v>
      </c>
      <c r="B96" s="3085" t="s">
        <v>3285</v>
      </c>
      <c r="C96" s="1887"/>
      <c r="D96" s="2308">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3275</v>
      </c>
      <c r="B97" s="3070" t="str">
        <f>估价对象房地状况!C24</f>
        <v>城市主干道——朝阳门外大街</v>
      </c>
      <c r="C97" s="1887"/>
      <c r="D97" s="2308">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24">
      <c r="A98" s="3079" t="s">
        <v>3276</v>
      </c>
      <c r="B98" s="3086" t="s">
        <v>3286</v>
      </c>
      <c r="C98" s="1887"/>
      <c r="D98" s="2308">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51">
      <c r="A99" s="3079" t="s">
        <v>3277</v>
      </c>
      <c r="B99" s="3070" t="str">
        <f>估价对象房地状况!C21</f>
        <v>估价对象所在区域银行、购物场所、学校等公共配套设施齐备，综合评价公共配套设施水平好。</v>
      </c>
      <c r="C99" s="1887"/>
      <c r="D99" s="2308">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5.5">
      <c r="A100" s="3079" t="s">
        <v>3278</v>
      </c>
      <c r="B100" s="3070" t="str">
        <f>估价对象房地状况!C22</f>
        <v>估价对象所在区域基础设施水平“七通一平</v>
      </c>
      <c r="C100" s="1887"/>
      <c r="D100" s="2308">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51.75" thickBot="1">
      <c r="A101" s="3080" t="s">
        <v>3279</v>
      </c>
      <c r="B101" s="3087" t="str">
        <f>估价对象房地状况!C20</f>
        <v>区域内有东城职业大学、日坛公园、富国海底世界等自然及人文环境，综合评价自然及人文环境状况较好。</v>
      </c>
      <c r="C101" s="1887"/>
      <c r="D101" s="2308">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399" t="s">
        <v>3294</v>
      </c>
      <c r="B103" s="3399"/>
      <c r="C103" s="3399"/>
      <c r="D103" s="3399"/>
      <c r="E103" s="3399"/>
      <c r="F103" s="3399"/>
      <c r="G103" s="3399"/>
      <c r="H103" s="3399"/>
      <c r="I103" s="3399"/>
      <c r="J103" s="3399"/>
      <c r="K103" s="1667"/>
      <c r="L103" s="1667"/>
      <c r="M103" s="1667"/>
      <c r="N103" s="1667"/>
    </row>
    <row r="104" spans="1:14">
      <c r="A104" s="3400" t="s">
        <v>3295</v>
      </c>
      <c r="B104" s="3400" t="s">
        <v>3296</v>
      </c>
      <c r="C104" s="3089" t="s">
        <v>3297</v>
      </c>
      <c r="D104" s="3090"/>
      <c r="E104" s="3090"/>
      <c r="F104" s="3090"/>
      <c r="G104" s="3090"/>
      <c r="H104" s="3090"/>
      <c r="I104" s="3090"/>
      <c r="J104" s="3091"/>
      <c r="K104" s="3092"/>
      <c r="L104" s="3092"/>
      <c r="M104" s="3092"/>
      <c r="N104" s="3092"/>
    </row>
    <row r="105" spans="1:14">
      <c r="A105" s="3400"/>
      <c r="B105" s="3400"/>
      <c r="C105" s="3093" t="s">
        <v>3298</v>
      </c>
      <c r="D105" s="3093" t="s">
        <v>3299</v>
      </c>
      <c r="E105" s="3093" t="s">
        <v>3300</v>
      </c>
      <c r="F105" s="3093" t="s">
        <v>3301</v>
      </c>
      <c r="G105" s="3093" t="s">
        <v>3302</v>
      </c>
      <c r="H105" s="3093" t="s">
        <v>3303</v>
      </c>
      <c r="I105" s="3093" t="s">
        <v>3304</v>
      </c>
      <c r="J105" s="3093" t="s">
        <v>3305</v>
      </c>
      <c r="K105" s="3093" t="s">
        <v>3306</v>
      </c>
      <c r="L105" s="3093" t="s">
        <v>3307</v>
      </c>
      <c r="M105" s="3093" t="s">
        <v>3308</v>
      </c>
      <c r="N105" s="3093" t="s">
        <v>3309</v>
      </c>
    </row>
    <row r="106" spans="1:14">
      <c r="A106" s="3386" t="s">
        <v>3310</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387"/>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387"/>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387"/>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387"/>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387"/>
      <c r="B111" s="3093" t="s">
        <v>3268</v>
      </c>
      <c r="C111" s="3094">
        <f>$I$3</f>
        <v>4</v>
      </c>
      <c r="D111" s="3094">
        <f t="shared" ref="D111:M111" si="32">$I$3</f>
        <v>4</v>
      </c>
      <c r="E111" s="3094">
        <f t="shared" si="32"/>
        <v>4</v>
      </c>
      <c r="F111" s="3094">
        <f t="shared" si="32"/>
        <v>4</v>
      </c>
      <c r="G111" s="3094">
        <f t="shared" si="32"/>
        <v>4</v>
      </c>
      <c r="H111" s="3094">
        <f t="shared" si="32"/>
        <v>4</v>
      </c>
      <c r="I111" s="3094">
        <f t="shared" si="32"/>
        <v>4</v>
      </c>
      <c r="J111" s="3094">
        <f t="shared" si="32"/>
        <v>4</v>
      </c>
      <c r="K111" s="3094">
        <f t="shared" si="32"/>
        <v>4</v>
      </c>
      <c r="L111" s="3094">
        <f t="shared" si="32"/>
        <v>4</v>
      </c>
      <c r="M111" s="3094">
        <f t="shared" si="32"/>
        <v>4</v>
      </c>
      <c r="N111" s="3094">
        <f>$I$3</f>
        <v>4</v>
      </c>
    </row>
    <row r="112" spans="1:14">
      <c r="A112" s="3388"/>
      <c r="B112" s="3093">
        <v>6</v>
      </c>
      <c r="C112" s="3088">
        <f>(-0.5556*(C111^2)-0.2719*C111+8944)*(10^(-4))</f>
        <v>0.8934022800000001</v>
      </c>
      <c r="D112" s="3088">
        <f>(-0.5556*(D111^2)-0.2719*D111+8944)*(10^(-4))</f>
        <v>0.8934022800000001</v>
      </c>
      <c r="E112" s="3088">
        <f>(-0.7912*(E111^2)-11.3794*E111+8482)*(10^(-4))</f>
        <v>0.84238232000000013</v>
      </c>
      <c r="F112" s="3088">
        <f t="shared" ref="F112:I112" si="33">(-0.7912*(F111^2)-11.3794*F111+8482)*(10^(-4))</f>
        <v>0.84238232000000013</v>
      </c>
      <c r="G112" s="3088">
        <f t="shared" si="33"/>
        <v>0.84238232000000013</v>
      </c>
      <c r="H112" s="3088">
        <f t="shared" si="33"/>
        <v>0.84238232000000013</v>
      </c>
      <c r="I112" s="3088">
        <f t="shared" si="33"/>
        <v>0.84238232000000013</v>
      </c>
      <c r="J112" s="3088">
        <f>(-0.989*(J111^2)-63.78*J111+7771)*(10^(-4))</f>
        <v>0.75000559999999994</v>
      </c>
      <c r="K112" s="3088">
        <f t="shared" ref="K112:N112" si="34">(-0.989*(K111^2)-63.78*K111+7771)*(10^(-4))</f>
        <v>0.75000559999999994</v>
      </c>
      <c r="L112" s="3088">
        <f t="shared" si="34"/>
        <v>0.75000559999999994</v>
      </c>
      <c r="M112" s="3088">
        <f t="shared" si="34"/>
        <v>0.75000559999999994</v>
      </c>
      <c r="N112" s="3088">
        <f t="shared" si="34"/>
        <v>0.75000559999999994</v>
      </c>
    </row>
    <row r="113" spans="1:14">
      <c r="A113" s="3389" t="s">
        <v>3311</v>
      </c>
      <c r="B113" s="3389"/>
      <c r="C113" s="3389"/>
      <c r="D113" s="3389"/>
      <c r="E113" s="3389"/>
      <c r="F113" s="3389"/>
      <c r="G113" s="3389"/>
      <c r="H113" s="3389"/>
      <c r="I113" s="3389"/>
      <c r="J113" s="3389"/>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5" thickBot="1">
      <c r="A115" s="3096"/>
      <c r="B115" s="3096"/>
      <c r="C115" s="3096"/>
      <c r="D115" s="3096"/>
      <c r="E115" s="3096"/>
      <c r="F115" s="3096"/>
      <c r="G115" s="3096"/>
      <c r="H115" s="3096"/>
      <c r="I115" s="3096"/>
      <c r="J115" s="3096"/>
      <c r="K115" s="1964"/>
      <c r="L115" s="3096"/>
      <c r="M115" s="3096"/>
      <c r="N115" s="3096"/>
    </row>
    <row r="116" spans="1:14" ht="25.5" thickBot="1">
      <c r="A116" s="3097" t="s">
        <v>3312</v>
      </c>
      <c r="B116" s="3113">
        <f>G3</f>
        <v>8.73</v>
      </c>
      <c r="C116" s="3098" t="s">
        <v>3313</v>
      </c>
      <c r="D116" s="3099">
        <f>SUMPRODUCT((A118:A122=F116)*(B117:M117=H116)*B118:M122)</f>
        <v>0.90080000000000005</v>
      </c>
      <c r="E116" s="162" t="s">
        <v>3314</v>
      </c>
      <c r="F116" s="3100" t="str">
        <f>E2</f>
        <v>商业</v>
      </c>
      <c r="G116" s="162" t="s">
        <v>3315</v>
      </c>
      <c r="H116" s="3100" t="str">
        <f>G2</f>
        <v>一级</v>
      </c>
      <c r="I116" s="162"/>
      <c r="J116" s="3101"/>
      <c r="K116" s="3101"/>
      <c r="L116" s="3101"/>
      <c r="M116" s="3101"/>
      <c r="N116" s="3096"/>
    </row>
    <row r="117" spans="1:14">
      <c r="A117" s="3102"/>
      <c r="B117" s="3103" t="s">
        <v>3316</v>
      </c>
      <c r="C117" s="3103" t="s">
        <v>3317</v>
      </c>
      <c r="D117" s="3103" t="s">
        <v>3318</v>
      </c>
      <c r="E117" s="3104" t="s">
        <v>3319</v>
      </c>
      <c r="F117" s="3104" t="s">
        <v>3320</v>
      </c>
      <c r="G117" s="3104" t="s">
        <v>3321</v>
      </c>
      <c r="H117" s="3105" t="s">
        <v>3322</v>
      </c>
      <c r="I117" s="3105" t="s">
        <v>3323</v>
      </c>
      <c r="J117" s="3106" t="s">
        <v>3324</v>
      </c>
      <c r="K117" s="3106" t="s">
        <v>3325</v>
      </c>
      <c r="L117" s="3106" t="s">
        <v>3326</v>
      </c>
      <c r="M117" s="3107" t="s">
        <v>3327</v>
      </c>
      <c r="N117" s="3096"/>
    </row>
    <row r="118" spans="1:14">
      <c r="A118" s="3056" t="s">
        <v>3328</v>
      </c>
      <c r="B118" s="3088">
        <f>ROUND(0.9968-0.011*B116,4)</f>
        <v>0.90080000000000005</v>
      </c>
      <c r="C118" s="3088">
        <f>B118</f>
        <v>0.90080000000000005</v>
      </c>
      <c r="D118" s="3088">
        <f>ROUND(0.949-0.014*B116,4)</f>
        <v>0.82679999999999998</v>
      </c>
      <c r="E118" s="3088">
        <f>D118</f>
        <v>0.82679999999999998</v>
      </c>
      <c r="F118" s="3088">
        <f>E118</f>
        <v>0.82679999999999998</v>
      </c>
      <c r="G118" s="3088">
        <f>F118</f>
        <v>0.82679999999999998</v>
      </c>
      <c r="H118" s="3088">
        <f>G118</f>
        <v>0.82679999999999998</v>
      </c>
      <c r="I118" s="3088">
        <f>ROUND(0.8486-0.018*B116,4)</f>
        <v>0.6915</v>
      </c>
      <c r="J118" s="3088">
        <f t="shared" ref="J118:M122" si="35">I118</f>
        <v>0.6915</v>
      </c>
      <c r="K118" s="3088">
        <f t="shared" si="35"/>
        <v>0.6915</v>
      </c>
      <c r="L118" s="3088">
        <f t="shared" si="35"/>
        <v>0.6915</v>
      </c>
      <c r="M118" s="3108">
        <f t="shared" si="35"/>
        <v>0.6915</v>
      </c>
      <c r="N118" s="3096"/>
    </row>
    <row r="119" spans="1:14">
      <c r="A119" s="3056" t="s">
        <v>3329</v>
      </c>
      <c r="B119" s="3088">
        <f>ROUND(0.993-0.0112*B116,4)</f>
        <v>0.8952</v>
      </c>
      <c r="C119" s="3088">
        <f>B119</f>
        <v>0.8952</v>
      </c>
      <c r="D119" s="3088">
        <f>ROUND(0.9415-0.0142*B116,4)</f>
        <v>0.8175</v>
      </c>
      <c r="E119" s="3088">
        <f t="shared" ref="E119:H120" si="36">D119</f>
        <v>0.8175</v>
      </c>
      <c r="F119" s="3088">
        <f t="shared" si="36"/>
        <v>0.8175</v>
      </c>
      <c r="G119" s="3088">
        <f t="shared" si="36"/>
        <v>0.8175</v>
      </c>
      <c r="H119" s="3088">
        <f t="shared" si="36"/>
        <v>0.8175</v>
      </c>
      <c r="I119" s="3088">
        <f>ROUND(0.838-0.0182*B116,4)</f>
        <v>0.67910000000000004</v>
      </c>
      <c r="J119" s="3088">
        <f t="shared" si="35"/>
        <v>0.67910000000000004</v>
      </c>
      <c r="K119" s="3088">
        <f t="shared" si="35"/>
        <v>0.67910000000000004</v>
      </c>
      <c r="L119" s="3088">
        <f t="shared" si="35"/>
        <v>0.67910000000000004</v>
      </c>
      <c r="M119" s="3108">
        <f t="shared" si="35"/>
        <v>0.67910000000000004</v>
      </c>
      <c r="N119" s="3096"/>
    </row>
    <row r="120" spans="1:14">
      <c r="A120" s="3056" t="s">
        <v>3330</v>
      </c>
      <c r="B120" s="3088">
        <f>ROUND(0.9448-0.0115*B116,4)</f>
        <v>0.84440000000000004</v>
      </c>
      <c r="C120" s="3088">
        <f>B120</f>
        <v>0.84440000000000004</v>
      </c>
      <c r="D120" s="3088">
        <f>ROUND(0.937-0.0145*B116,4)</f>
        <v>0.81040000000000001</v>
      </c>
      <c r="E120" s="3088">
        <f t="shared" si="36"/>
        <v>0.81040000000000001</v>
      </c>
      <c r="F120" s="3088">
        <f t="shared" si="36"/>
        <v>0.81040000000000001</v>
      </c>
      <c r="G120" s="3088">
        <f t="shared" si="36"/>
        <v>0.81040000000000001</v>
      </c>
      <c r="H120" s="3088">
        <f t="shared" si="36"/>
        <v>0.81040000000000001</v>
      </c>
      <c r="I120" s="3088">
        <f>ROUND(0.7965-0.0185*B116,4)</f>
        <v>0.63500000000000001</v>
      </c>
      <c r="J120" s="3088">
        <f t="shared" si="35"/>
        <v>0.63500000000000001</v>
      </c>
      <c r="K120" s="3088">
        <f t="shared" si="35"/>
        <v>0.63500000000000001</v>
      </c>
      <c r="L120" s="3088">
        <f t="shared" si="35"/>
        <v>0.63500000000000001</v>
      </c>
      <c r="M120" s="3108">
        <f t="shared" si="35"/>
        <v>0.63500000000000001</v>
      </c>
      <c r="N120" s="3096"/>
    </row>
    <row r="121" spans="1:14" ht="13.5" thickBot="1">
      <c r="A121" s="3109" t="s">
        <v>3331</v>
      </c>
      <c r="B121" s="3110">
        <f>ROUND(0.7836-0.012*B116,4)</f>
        <v>0.67879999999999996</v>
      </c>
      <c r="C121" s="3110">
        <f>B121</f>
        <v>0.67879999999999996</v>
      </c>
      <c r="D121" s="3110">
        <f>ROUND(0.753-0.015*B116,4)</f>
        <v>0.62209999999999999</v>
      </c>
      <c r="E121" s="3110">
        <f>D121</f>
        <v>0.62209999999999999</v>
      </c>
      <c r="F121" s="3110">
        <f>E121</f>
        <v>0.62209999999999999</v>
      </c>
      <c r="G121" s="3110">
        <f>ROUND(0.6612-0.018*B116,4)</f>
        <v>0.50409999999999999</v>
      </c>
      <c r="H121" s="3110">
        <f>G121</f>
        <v>0.50409999999999999</v>
      </c>
      <c r="I121" s="3110">
        <f>ROUND(0.5905-0.019*B116,4)</f>
        <v>0.42459999999999998</v>
      </c>
      <c r="J121" s="3110">
        <f t="shared" si="35"/>
        <v>0.42459999999999998</v>
      </c>
      <c r="K121" s="3110">
        <f t="shared" si="35"/>
        <v>0.42459999999999998</v>
      </c>
      <c r="L121" s="3110">
        <f t="shared" si="35"/>
        <v>0.42459999999999998</v>
      </c>
      <c r="M121" s="3111">
        <f t="shared" si="35"/>
        <v>0.42459999999999998</v>
      </c>
      <c r="N121" s="3096"/>
    </row>
    <row r="122" spans="1:14">
      <c r="A122" s="3112" t="s">
        <v>2610</v>
      </c>
      <c r="B122" s="3088">
        <f>ROUND(0.9404-0.0106*B116,4)</f>
        <v>0.84789999999999999</v>
      </c>
      <c r="C122" s="3088">
        <f>B122</f>
        <v>0.84789999999999999</v>
      </c>
      <c r="D122" s="3088">
        <f>ROUND(0.8955-0.0135*B116,4)</f>
        <v>0.77759999999999996</v>
      </c>
      <c r="E122" s="3088">
        <f t="shared" ref="E122:H122" si="37">D122</f>
        <v>0.77759999999999996</v>
      </c>
      <c r="F122" s="3088">
        <f t="shared" si="37"/>
        <v>0.77759999999999996</v>
      </c>
      <c r="G122" s="3088">
        <f t="shared" si="37"/>
        <v>0.77759999999999996</v>
      </c>
      <c r="H122" s="3088">
        <f t="shared" si="37"/>
        <v>0.77759999999999996</v>
      </c>
      <c r="I122" s="3088">
        <f>ROUND(0.7632-0.0166*B116,4)</f>
        <v>0.61829999999999996</v>
      </c>
      <c r="J122" s="3088">
        <f t="shared" si="35"/>
        <v>0.61829999999999996</v>
      </c>
      <c r="K122" s="3088">
        <f t="shared" si="35"/>
        <v>0.61829999999999996</v>
      </c>
      <c r="L122" s="3088">
        <f t="shared" si="35"/>
        <v>0.61829999999999996</v>
      </c>
      <c r="M122" s="3108">
        <f t="shared" si="35"/>
        <v>0.61829999999999996</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6" priority="6" stopIfTrue="1" operator="notEqual">
      <formula>"——"</formula>
    </cfRule>
  </conditionalFormatting>
  <conditionalFormatting sqref="F61">
    <cfRule type="cellIs" dxfId="135" priority="5" stopIfTrue="1" operator="notEqual">
      <formula>"——"</formula>
    </cfRule>
  </conditionalFormatting>
  <conditionalFormatting sqref="F72">
    <cfRule type="cellIs" dxfId="134" priority="4" stopIfTrue="1" operator="notEqual">
      <formula>"——"</formula>
    </cfRule>
  </conditionalFormatting>
  <conditionalFormatting sqref="F83">
    <cfRule type="cellIs" dxfId="133" priority="3" stopIfTrue="1" operator="notEqual">
      <formula>"——"</formula>
    </cfRule>
  </conditionalFormatting>
  <conditionalFormatting sqref="H50:H58 H61:H69 H72:H80 H83:H91">
    <cfRule type="cellIs" dxfId="132" priority="2" operator="notEqual">
      <formula>"——"</formula>
    </cfRule>
  </conditionalFormatting>
  <conditionalFormatting sqref="H93:H101">
    <cfRule type="cellIs" dxfId="13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31" zoomScale="85" zoomScaleNormal="70" zoomScaleSheetLayoutView="85" workbookViewId="0">
      <selection activeCell="G2" sqref="G2"/>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1460</v>
      </c>
      <c r="B1" s="1374"/>
      <c r="C1" s="190"/>
      <c r="D1" s="190"/>
      <c r="E1" s="190"/>
      <c r="F1" s="190"/>
      <c r="G1" s="1062">
        <f>MATCH(B1,'数据-取费表'!A6:A16,0)+5</f>
        <v>8</v>
      </c>
    </row>
    <row r="2" spans="1:9" s="192" customFormat="1" ht="18" customHeight="1">
      <c r="A2" s="193" t="s">
        <v>1461</v>
      </c>
      <c r="B2" s="194">
        <f ca="1">IF(D2="——",C52,C52-E2)</f>
        <v>20473</v>
      </c>
      <c r="C2" s="191" t="s">
        <v>1462</v>
      </c>
      <c r="D2" s="1711" t="s">
        <v>3469</v>
      </c>
      <c r="E2" s="1089">
        <f ca="1">SUMIF(INDIRECT("'"&amp;G2&amp;"'"&amp;"!A:A"),"承租人权益价值",INDIRECT("'"&amp;G2&amp;"'"&amp;"!c:c"))</f>
        <v>2204</v>
      </c>
      <c r="F2" s="1712" t="s">
        <v>1462</v>
      </c>
      <c r="G2" s="1713" t="s">
        <v>3399</v>
      </c>
    </row>
    <row r="3" spans="1:9" s="192" customFormat="1" ht="18" customHeight="1" thickBot="1">
      <c r="A3" s="195" t="s">
        <v>1463</v>
      </c>
      <c r="B3" s="196">
        <f ca="1">ROUND(B2*10000/(IF(B1="",'数据-汇总表'!E3,INDIRECT("'数据-取费表'!k"&amp;$G$1))),0)</f>
        <v>31267</v>
      </c>
      <c r="C3" s="191" t="s">
        <v>1464</v>
      </c>
      <c r="D3" s="191"/>
      <c r="E3" s="191"/>
      <c r="F3" s="191"/>
      <c r="G3" s="191"/>
    </row>
    <row r="4" spans="1:9" s="200" customFormat="1" ht="15.75">
      <c r="A4" s="197" t="s">
        <v>1465</v>
      </c>
      <c r="B4" s="198"/>
      <c r="C4" s="198"/>
      <c r="D4" s="198"/>
      <c r="E4" s="198"/>
      <c r="F4" s="198"/>
      <c r="G4" s="199"/>
    </row>
    <row r="5" spans="1:9" s="206" customFormat="1" ht="13.5" customHeight="1">
      <c r="A5" s="247" t="s">
        <v>1466</v>
      </c>
      <c r="B5" s="202" t="s">
        <v>1467</v>
      </c>
      <c r="C5" s="203">
        <f>C6+C7+C8</f>
        <v>11780</v>
      </c>
      <c r="D5" s="203" t="s">
        <v>1468</v>
      </c>
      <c r="E5" s="204" t="s">
        <v>1469</v>
      </c>
      <c r="F5" s="204" t="s">
        <v>1470</v>
      </c>
      <c r="G5" s="205"/>
    </row>
    <row r="6" spans="1:9" s="206" customFormat="1" ht="13.5" customHeight="1">
      <c r="A6" s="732" t="s">
        <v>1471</v>
      </c>
      <c r="B6" s="207" t="s">
        <v>1472</v>
      </c>
      <c r="C6" s="208">
        <f>基准地价修正!E33</f>
        <v>11304</v>
      </c>
      <c r="D6" s="209"/>
      <c r="E6" s="210"/>
      <c r="F6" s="210"/>
      <c r="G6" s="211"/>
    </row>
    <row r="7" spans="1:9" s="206" customFormat="1" ht="13.5" customHeight="1">
      <c r="A7" s="732" t="s">
        <v>1473</v>
      </c>
      <c r="B7" s="207" t="s">
        <v>1474</v>
      </c>
      <c r="C7" s="212">
        <f>ROUND(C6*F7,0)</f>
        <v>345</v>
      </c>
      <c r="D7" s="212"/>
      <c r="E7" s="210"/>
      <c r="F7" s="213">
        <f>IF(项目基本情况!B8="出让",0,'数据-取费表'!B48+'数据-取费表'!B49)</f>
        <v>3.0499999999999999E-2</v>
      </c>
      <c r="G7" s="211"/>
    </row>
    <row r="8" spans="1:9" s="215" customFormat="1">
      <c r="A8" s="732" t="s">
        <v>1475</v>
      </c>
      <c r="B8" s="207" t="s">
        <v>1476</v>
      </c>
      <c r="C8" s="212">
        <f>IF(G8="已包含在土地购买价格中","0",IF(B1="",'数据-取费表'!B29,IF(G9="全部缴纳",C9+C10,H9)))</f>
        <v>131</v>
      </c>
      <c r="D8" s="214"/>
      <c r="E8" s="212"/>
      <c r="F8" s="213"/>
      <c r="G8" s="1714" t="s">
        <v>3419</v>
      </c>
    </row>
    <row r="9" spans="1:9" s="206" customFormat="1" ht="13.5" customHeight="1">
      <c r="A9" s="733" t="s">
        <v>355</v>
      </c>
      <c r="B9" s="216" t="s">
        <v>1477</v>
      </c>
      <c r="C9" s="217">
        <f ca="1">ROUND(D9*E9/10000,0)</f>
        <v>0</v>
      </c>
      <c r="D9" s="795">
        <f ca="1">IF(B1="",'数据-汇总表'!E5,IF(INDIRECT("'数据-取费表'!c"&amp;$G$1)="住宅",INDIRECT("'数据-取费表'!k"&amp;$G$1),0))</f>
        <v>0</v>
      </c>
      <c r="E9" s="217">
        <f>'数据-取费表'!B27</f>
        <v>160</v>
      </c>
      <c r="F9" s="213"/>
      <c r="G9" s="1715"/>
      <c r="H9" s="1070"/>
      <c r="I9" s="1716" t="s">
        <v>1478</v>
      </c>
    </row>
    <row r="10" spans="1:9" s="206" customFormat="1" ht="13.5" customHeight="1">
      <c r="A10" s="733" t="s">
        <v>356</v>
      </c>
      <c r="B10" s="216" t="s">
        <v>1479</v>
      </c>
      <c r="C10" s="217">
        <f ca="1">ROUND(D10*E10/10000,0)</f>
        <v>131</v>
      </c>
      <c r="D10" s="795">
        <f ca="1">IF(B1="",'数据-汇总表'!E6,IF(INDIRECT("'数据-取费表'!c"&amp;$G$1)="住宅",INDIRECT("'数据-取费表'!s"&amp;$G$1),INDIRECT("'数据-取费表'!k"&amp;$G$1)+INDIRECT("'数据-取费表'!s"&amp;$G$1)))</f>
        <v>6547.83</v>
      </c>
      <c r="E10" s="217">
        <f>'数据-取费表'!B28</f>
        <v>200</v>
      </c>
      <c r="F10" s="213"/>
      <c r="G10" s="218"/>
    </row>
    <row r="11" spans="1:9" s="206" customFormat="1" ht="13.5" hidden="1" customHeight="1">
      <c r="A11" s="219" t="s">
        <v>4</v>
      </c>
      <c r="B11" s="207" t="s">
        <v>1480</v>
      </c>
      <c r="C11" s="203"/>
      <c r="D11" s="210"/>
      <c r="E11" s="210"/>
      <c r="F11" s="210"/>
      <c r="G11" s="211"/>
    </row>
    <row r="12" spans="1:9" s="206" customFormat="1" ht="13.5" hidden="1" customHeight="1">
      <c r="A12" s="219" t="s">
        <v>5</v>
      </c>
      <c r="B12" s="207" t="s">
        <v>1481</v>
      </c>
      <c r="C12" s="203">
        <v>0</v>
      </c>
      <c r="D12" s="210"/>
      <c r="E12" s="220"/>
      <c r="F12" s="213">
        <v>3.0499999999999999E-2</v>
      </c>
      <c r="G12" s="211"/>
    </row>
    <row r="13" spans="1:9" s="206" customFormat="1" ht="13.5" hidden="1" customHeight="1">
      <c r="A13" s="219" t="s">
        <v>6</v>
      </c>
      <c r="B13" s="207" t="s">
        <v>1482</v>
      </c>
      <c r="C13" s="203"/>
      <c r="D13" s="210"/>
      <c r="E13" s="210"/>
      <c r="F13" s="210"/>
      <c r="G13" s="211"/>
    </row>
    <row r="14" spans="1:9" s="206" customFormat="1" ht="13.5" hidden="1" customHeight="1">
      <c r="A14" s="219" t="s">
        <v>7</v>
      </c>
      <c r="B14" s="207" t="s">
        <v>1483</v>
      </c>
      <c r="C14" s="203"/>
      <c r="D14" s="210"/>
      <c r="E14" s="210"/>
      <c r="F14" s="210"/>
      <c r="G14" s="211" t="s">
        <v>1484</v>
      </c>
    </row>
    <row r="15" spans="1:9" s="206" customFormat="1" ht="13.5" hidden="1" customHeight="1">
      <c r="A15" s="219" t="s">
        <v>8</v>
      </c>
      <c r="B15" s="207" t="s">
        <v>1485</v>
      </c>
      <c r="C15" s="212"/>
      <c r="D15" s="210"/>
      <c r="E15" s="210"/>
      <c r="F15" s="210"/>
      <c r="G15" s="211" t="s">
        <v>1486</v>
      </c>
    </row>
    <row r="16" spans="1:9" s="206" customFormat="1" ht="13.5" hidden="1" customHeight="1">
      <c r="A16" s="219" t="s">
        <v>9</v>
      </c>
      <c r="B16" s="207" t="s">
        <v>1483</v>
      </c>
      <c r="C16" s="212"/>
      <c r="D16" s="210"/>
      <c r="E16" s="210"/>
      <c r="F16" s="210"/>
      <c r="G16" s="211"/>
    </row>
    <row r="17" spans="1:7" s="206" customFormat="1" ht="13.5" hidden="1" customHeight="1">
      <c r="A17" s="219" t="s">
        <v>10</v>
      </c>
      <c r="B17" s="207" t="s">
        <v>1487</v>
      </c>
      <c r="C17" s="221"/>
      <c r="D17" s="221"/>
      <c r="E17" s="221"/>
      <c r="F17" s="221"/>
      <c r="G17" s="211" t="s">
        <v>1486</v>
      </c>
    </row>
    <row r="18" spans="1:7" s="206" customFormat="1" ht="13.5" hidden="1" customHeight="1">
      <c r="A18" s="219" t="s">
        <v>11</v>
      </c>
      <c r="B18" s="207" t="s">
        <v>1488</v>
      </c>
      <c r="C18" s="212">
        <v>0</v>
      </c>
      <c r="D18" s="210"/>
      <c r="E18" s="210"/>
      <c r="F18" s="213">
        <v>3.0499999999999999E-2</v>
      </c>
      <c r="G18" s="211" t="s">
        <v>1489</v>
      </c>
    </row>
    <row r="19" spans="1:7" s="215" customFormat="1" ht="13.5" customHeight="1">
      <c r="A19" s="247" t="s">
        <v>1490</v>
      </c>
      <c r="B19" s="202" t="s">
        <v>1491</v>
      </c>
      <c r="C19" s="203" t="str">
        <f>IF(G19="已包含在土地取得成本中","0",ROUND(D19*E19/10000,0))</f>
        <v>0</v>
      </c>
      <c r="D19" s="204">
        <f ca="1">D9+D10</f>
        <v>6547.83</v>
      </c>
      <c r="E19" s="203">
        <f>'数据-取费表'!B31</f>
        <v>200</v>
      </c>
      <c r="F19" s="223"/>
      <c r="G19" s="1714" t="s">
        <v>3420</v>
      </c>
    </row>
    <row r="20" spans="1:7" s="206" customFormat="1" ht="13.5" customHeight="1">
      <c r="A20" s="247" t="s">
        <v>1492</v>
      </c>
      <c r="B20" s="202" t="s">
        <v>1493</v>
      </c>
      <c r="C20" s="224">
        <f>ROUND((C5+C19)*F20,0)</f>
        <v>353</v>
      </c>
      <c r="D20" s="224"/>
      <c r="E20" s="224"/>
      <c r="F20" s="225">
        <f>'数据-取费表'!B37</f>
        <v>0.03</v>
      </c>
      <c r="G20" s="226" t="s">
        <v>1494</v>
      </c>
    </row>
    <row r="21" spans="1:7" s="206" customFormat="1" ht="13.5" customHeight="1">
      <c r="A21" s="247" t="s">
        <v>1495</v>
      </c>
      <c r="B21" s="202" t="s">
        <v>1496</v>
      </c>
      <c r="C21" s="227">
        <f>F21</f>
        <v>0.03</v>
      </c>
      <c r="D21" s="228" t="s">
        <v>1497</v>
      </c>
      <c r="E21" s="224"/>
      <c r="F21" s="225">
        <f>'数据-取费表'!B38</f>
        <v>0.03</v>
      </c>
      <c r="G21" s="226" t="s">
        <v>1498</v>
      </c>
    </row>
    <row r="22" spans="1:7" s="206" customFormat="1" ht="13.5" customHeight="1">
      <c r="A22" s="247" t="s">
        <v>1499</v>
      </c>
      <c r="B22" s="202" t="s">
        <v>1500</v>
      </c>
      <c r="C22" s="1041">
        <f ca="1">ROUND(SUM(C23:C25),0)</f>
        <v>1550</v>
      </c>
      <c r="D22" s="227">
        <f ca="1">C26</f>
        <v>1.9E-3</v>
      </c>
      <c r="E22" s="228" t="s">
        <v>1497</v>
      </c>
      <c r="F22" s="229">
        <f ca="1">'数据-取费表'!B40</f>
        <v>4.1499999999999995E-2</v>
      </c>
      <c r="G22" s="226" t="str">
        <f>IF('数据-取费表'!B22&lt;=1,"单利计息","复利计息")</f>
        <v>复利计息</v>
      </c>
    </row>
    <row r="23" spans="1:7" s="206" customFormat="1" ht="13.5" customHeight="1">
      <c r="A23" s="734" t="s">
        <v>1501</v>
      </c>
      <c r="B23" s="207" t="s">
        <v>1502</v>
      </c>
      <c r="C23" s="1042">
        <f ca="1">ROUND(IF('数据-取费表'!B22&lt;=1,C5*F22*'数据-取费表'!B23,C5*(POWER((1+F22),'数据-取费表'!B23)-1)),0)</f>
        <v>1528</v>
      </c>
      <c r="D23" s="230"/>
      <c r="E23" s="230"/>
      <c r="F23" s="231"/>
      <c r="G23" s="232" t="s">
        <v>1503</v>
      </c>
    </row>
    <row r="24" spans="1:7" s="206" customFormat="1" ht="13.5" customHeight="1">
      <c r="A24" s="734" t="s">
        <v>1504</v>
      </c>
      <c r="B24" s="207" t="s">
        <v>1505</v>
      </c>
      <c r="C24" s="1042">
        <f ca="1">ROUND(IF('数据-取费表'!B22&lt;=1,C19*F22*('数据-取费表'!B19/2+'数据-取费表'!B21),C19*(POWER((1+F22),('数据-取费表'!B19/2+'数据-取费表'!B21))-1)),0)</f>
        <v>0</v>
      </c>
      <c r="D24" s="230"/>
      <c r="E24" s="230"/>
      <c r="F24" s="231"/>
      <c r="G24" s="232" t="s">
        <v>1506</v>
      </c>
    </row>
    <row r="25" spans="1:7" s="206" customFormat="1" ht="24">
      <c r="A25" s="734" t="s">
        <v>1507</v>
      </c>
      <c r="B25" s="207" t="s">
        <v>1508</v>
      </c>
      <c r="C25" s="1042">
        <f ca="1">ROUND(IF('数据-取费表'!B22&lt;=1,C20*F22*'数据-取费表'!B23/2,C20*(POWER((1+F22),'数据-取费表'!B23/2)-1)),0)</f>
        <v>22</v>
      </c>
      <c r="D25" s="230"/>
      <c r="E25" s="233"/>
      <c r="F25" s="231"/>
      <c r="G25" s="234" t="s">
        <v>1509</v>
      </c>
    </row>
    <row r="26" spans="1:7" s="206" customFormat="1">
      <c r="A26" s="734" t="s">
        <v>350</v>
      </c>
      <c r="B26" s="207" t="s">
        <v>1510</v>
      </c>
      <c r="C26" s="230">
        <f ca="1">ROUND(IF('数据-取费表'!B22&lt;=1,F21*F22*'数据-取费表'!B23/2,F21*(POWER((1+F22),'数据-取费表'!B23/2)-1)),4)</f>
        <v>1.9E-3</v>
      </c>
      <c r="D26" s="230"/>
      <c r="E26" s="233"/>
      <c r="F26" s="231"/>
      <c r="G26" s="235"/>
    </row>
    <row r="27" spans="1:7" s="206" customFormat="1" ht="24.75">
      <c r="A27" s="247" t="s">
        <v>1511</v>
      </c>
      <c r="B27" s="236" t="s">
        <v>1512</v>
      </c>
      <c r="C27" s="237">
        <f ca="1">C28</f>
        <v>2427</v>
      </c>
      <c r="D27" s="227">
        <f ca="1">C29</f>
        <v>6.0000000000000001E-3</v>
      </c>
      <c r="E27" s="228" t="s">
        <v>1513</v>
      </c>
      <c r="F27" s="238">
        <f ca="1">IF(B1="",'数据-取费表'!Q16,INDIRECT("'数据-取费表'!q"&amp;$G$1))</f>
        <v>0.2</v>
      </c>
      <c r="G27" s="239" t="s">
        <v>1514</v>
      </c>
    </row>
    <row r="28" spans="1:7" s="206" customFormat="1" ht="13.5" customHeight="1">
      <c r="A28" s="734" t="s">
        <v>346</v>
      </c>
      <c r="B28" s="240" t="s">
        <v>1515</v>
      </c>
      <c r="C28" s="241">
        <f ca="1">ROUND((C5+C19+C20)*F27*'数据-取费表'!B21/'数据-取费表'!B20,0)</f>
        <v>2427</v>
      </c>
      <c r="D28" s="227"/>
      <c r="E28" s="228"/>
      <c r="F28" s="238"/>
      <c r="G28" s="239"/>
    </row>
    <row r="29" spans="1:7" s="206" customFormat="1" ht="13.5" customHeight="1">
      <c r="A29" s="734" t="s">
        <v>347</v>
      </c>
      <c r="B29" s="240" t="s">
        <v>1516</v>
      </c>
      <c r="C29" s="230">
        <f ca="1">ROUND(C21*F27*'数据-取费表'!B21/'数据-取费表'!B20,4)</f>
        <v>6.0000000000000001E-3</v>
      </c>
      <c r="D29" s="227"/>
      <c r="E29" s="228"/>
      <c r="F29" s="238"/>
      <c r="G29" s="239"/>
    </row>
    <row r="30" spans="1:7" s="206" customFormat="1" ht="13.5" customHeight="1">
      <c r="A30" s="247" t="s">
        <v>1517</v>
      </c>
      <c r="B30" s="202" t="s">
        <v>1518</v>
      </c>
      <c r="C30" s="227">
        <f>ROUND(F30/(1+'数据-取费表'!C42),4)</f>
        <v>5.33E-2</v>
      </c>
      <c r="D30" s="228" t="s">
        <v>1513</v>
      </c>
      <c r="E30" s="233"/>
      <c r="F30" s="229">
        <f>'数据-取费表'!B41</f>
        <v>5.6000000000000001E-2</v>
      </c>
      <c r="G30" s="226" t="s">
        <v>1519</v>
      </c>
    </row>
    <row r="31" spans="1:7" ht="16.5" customHeight="1">
      <c r="A31" s="201">
        <v>1</v>
      </c>
      <c r="B31" s="202" t="s">
        <v>1520</v>
      </c>
      <c r="C31" s="203">
        <f ca="1">ROUND((C5+C19+C20+C22+C27)/(1-C21-D22-D27-C30),0)</f>
        <v>17727</v>
      </c>
      <c r="D31" s="222"/>
      <c r="E31" s="203"/>
      <c r="F31" s="242"/>
      <c r="G31" s="226" t="s">
        <v>1521</v>
      </c>
    </row>
    <row r="32" spans="1:7" s="200" customFormat="1" ht="15.75">
      <c r="A32" s="244" t="s">
        <v>1522</v>
      </c>
      <c r="B32" s="245"/>
      <c r="C32" s="245"/>
      <c r="D32" s="245"/>
      <c r="E32" s="245"/>
      <c r="F32" s="245"/>
      <c r="G32" s="246"/>
    </row>
    <row r="33" spans="1:7" s="206" customFormat="1" ht="13.5" customHeight="1">
      <c r="A33" s="247" t="s">
        <v>337</v>
      </c>
      <c r="B33" s="202" t="s">
        <v>1523</v>
      </c>
      <c r="C33" s="248">
        <f ca="1">SUM(C34:C38)</f>
        <v>4068</v>
      </c>
      <c r="D33" s="224"/>
      <c r="E33" s="204"/>
      <c r="F33" s="233"/>
      <c r="G33" s="226"/>
    </row>
    <row r="34" spans="1:7" s="250" customFormat="1" ht="13.5" customHeight="1">
      <c r="A34" s="734" t="s">
        <v>346</v>
      </c>
      <c r="B34" s="207" t="s">
        <v>1524</v>
      </c>
      <c r="C34" s="212">
        <f ca="1">IF(B1="",IF(F34=100%,'数据-取费表'!M16,'数据-取费表'!O16),IF(F34=100%,INDIRECT("'数据-取费表'!m"&amp;$G$1)+INDIRECT("'数据-取费表'!t"&amp;$G$1),INDIRECT("'数据-取费表'!o"&amp;$G$1)+INDIRECT("'数据-取费表'!aq"&amp;$G$1)))</f>
        <v>3732</v>
      </c>
      <c r="D34" s="209"/>
      <c r="E34" s="212"/>
      <c r="F34" s="249">
        <f ca="1">IF('数据-取费表'!B24=0,1,IF(B1="",'数据-取费表'!N16,INDIRECT("'数据-取费表'!n"&amp;$G$1)))</f>
        <v>1</v>
      </c>
      <c r="G34" s="211" t="s">
        <v>1525</v>
      </c>
    </row>
    <row r="35" spans="1:7" ht="13.5" customHeight="1">
      <c r="A35" s="734" t="s">
        <v>351</v>
      </c>
      <c r="B35" s="207" t="s">
        <v>1526</v>
      </c>
      <c r="C35" s="212">
        <f ca="1">ROUND(C34*F35,0)</f>
        <v>149</v>
      </c>
      <c r="D35" s="212"/>
      <c r="E35" s="212"/>
      <c r="F35" s="251">
        <f>'数据-取费表'!B33</f>
        <v>0.04</v>
      </c>
      <c r="G35" s="211" t="s">
        <v>1527</v>
      </c>
    </row>
    <row r="36" spans="1:7" ht="24">
      <c r="A36" s="734" t="s">
        <v>352</v>
      </c>
      <c r="B36" s="207" t="s">
        <v>1528</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1529</v>
      </c>
    </row>
    <row r="37" spans="1:7" s="250" customFormat="1" ht="13.5" customHeight="1">
      <c r="A37" s="734" t="s">
        <v>353</v>
      </c>
      <c r="B37" s="207" t="s">
        <v>1530</v>
      </c>
      <c r="C37" s="241">
        <f ca="1">ROUND(E37*D37*F34/10000,0)</f>
        <v>131</v>
      </c>
      <c r="D37" s="209">
        <f ca="1">D19</f>
        <v>6547.83</v>
      </c>
      <c r="E37" s="241">
        <f>'数据-取费表'!B35</f>
        <v>200</v>
      </c>
      <c r="F37" s="251"/>
      <c r="G37" s="253" t="s">
        <v>1531</v>
      </c>
    </row>
    <row r="38" spans="1:7" ht="13.5" customHeight="1">
      <c r="A38" s="734" t="s">
        <v>354</v>
      </c>
      <c r="B38" s="207" t="s">
        <v>1532</v>
      </c>
      <c r="C38" s="212">
        <f ca="1">ROUND(C34*F38,0)</f>
        <v>56</v>
      </c>
      <c r="D38" s="212"/>
      <c r="E38" s="212"/>
      <c r="F38" s="251">
        <f>'数据-取费表'!B36</f>
        <v>1.4999999999999999E-2</v>
      </c>
      <c r="G38" s="211" t="s">
        <v>1527</v>
      </c>
    </row>
    <row r="39" spans="1:7" s="206" customFormat="1" ht="13.5" customHeight="1">
      <c r="A39" s="247" t="s">
        <v>1533</v>
      </c>
      <c r="B39" s="202" t="s">
        <v>1534</v>
      </c>
      <c r="C39" s="224">
        <f ca="1">ROUND(C33*F20,0)</f>
        <v>122</v>
      </c>
      <c r="D39" s="224"/>
      <c r="E39" s="224"/>
      <c r="F39" s="225">
        <f>F20</f>
        <v>0.03</v>
      </c>
      <c r="G39" s="226" t="s">
        <v>1535</v>
      </c>
    </row>
    <row r="40" spans="1:7" s="206" customFormat="1" ht="13.5" customHeight="1">
      <c r="A40" s="247" t="s">
        <v>1536</v>
      </c>
      <c r="B40" s="202" t="s">
        <v>1537</v>
      </c>
      <c r="C40" s="227">
        <f>F21</f>
        <v>0.03</v>
      </c>
      <c r="D40" s="228" t="s">
        <v>1538</v>
      </c>
      <c r="E40" s="224"/>
      <c r="F40" s="225">
        <f>F21</f>
        <v>0.03</v>
      </c>
      <c r="G40" s="226" t="s">
        <v>1539</v>
      </c>
    </row>
    <row r="41" spans="1:7" s="206" customFormat="1" ht="13.5" customHeight="1">
      <c r="A41" s="247" t="s">
        <v>1540</v>
      </c>
      <c r="B41" s="202" t="s">
        <v>1541</v>
      </c>
      <c r="C41" s="224">
        <f ca="1">ROUND(SUM(C42:C43),0)</f>
        <v>264</v>
      </c>
      <c r="D41" s="227">
        <f ca="1">C44</f>
        <v>1.9E-3</v>
      </c>
      <c r="E41" s="228" t="s">
        <v>1538</v>
      </c>
      <c r="F41" s="229">
        <f ca="1">F22</f>
        <v>4.1499999999999995E-2</v>
      </c>
      <c r="G41" s="226" t="str">
        <f>IF('数据-取费表'!B22&lt;=1,"单利计息","复利计息")</f>
        <v>复利计息</v>
      </c>
    </row>
    <row r="42" spans="1:7" ht="13.5" customHeight="1">
      <c r="A42" s="734" t="s">
        <v>346</v>
      </c>
      <c r="B42" s="207" t="s">
        <v>1542</v>
      </c>
      <c r="C42" s="230">
        <f ca="1">ROUND(IF('数据-取费表'!B22&lt;=1,C33*F22*'数据-取费表'!B21/2,C33*(POWER((1+F22),'数据-取费表'!B21/2)-1)),0)</f>
        <v>256</v>
      </c>
      <c r="D42" s="230"/>
      <c r="E42" s="230"/>
      <c r="F42" s="231"/>
      <c r="G42" s="3405" t="s">
        <v>1543</v>
      </c>
    </row>
    <row r="43" spans="1:7" ht="13.5" customHeight="1">
      <c r="A43" s="734" t="s">
        <v>347</v>
      </c>
      <c r="B43" s="207" t="s">
        <v>1544</v>
      </c>
      <c r="C43" s="230">
        <f ca="1">ROUND(IF('数据-取费表'!B22&lt;=1,C39*F22*'数据-取费表'!B21/2,C39*(POWER((1+F22),'数据-取费表'!B21/2)-1)),0)</f>
        <v>8</v>
      </c>
      <c r="D43" s="230"/>
      <c r="E43" s="230"/>
      <c r="F43" s="231"/>
      <c r="G43" s="3406"/>
    </row>
    <row r="44" spans="1:7" ht="13.5" customHeight="1">
      <c r="A44" s="734" t="s">
        <v>348</v>
      </c>
      <c r="B44" s="207" t="s">
        <v>1545</v>
      </c>
      <c r="C44" s="230">
        <f ca="1">ROUND(IF('数据-取费表'!B22&lt;=1,C40*F22*'数据-取费表'!B21/2,C40*(POWER((1+F22),'数据-取费表'!B21/2)-1)),4)</f>
        <v>1.9E-3</v>
      </c>
      <c r="D44" s="230"/>
      <c r="E44" s="230"/>
      <c r="F44" s="231"/>
      <c r="G44" s="3407"/>
    </row>
    <row r="45" spans="1:7" s="206" customFormat="1" ht="13.5" customHeight="1">
      <c r="A45" s="247" t="s">
        <v>1546</v>
      </c>
      <c r="B45" s="236" t="s">
        <v>1512</v>
      </c>
      <c r="C45" s="237">
        <f ca="1">C46</f>
        <v>838</v>
      </c>
      <c r="D45" s="227">
        <f ca="1">C47</f>
        <v>6.0000000000000001E-3</v>
      </c>
      <c r="E45" s="228" t="s">
        <v>1538</v>
      </c>
      <c r="F45" s="238">
        <f ca="1">F27</f>
        <v>0.2</v>
      </c>
      <c r="G45" s="239" t="s">
        <v>1547</v>
      </c>
    </row>
    <row r="46" spans="1:7" s="206" customFormat="1" ht="13.5" customHeight="1">
      <c r="A46" s="734" t="s">
        <v>346</v>
      </c>
      <c r="B46" s="240" t="s">
        <v>1548</v>
      </c>
      <c r="C46" s="241">
        <f ca="1">ROUND((C33+C39)*F27,0)</f>
        <v>838</v>
      </c>
      <c r="D46" s="255"/>
      <c r="E46" s="228"/>
      <c r="F46" s="238"/>
      <c r="G46" s="239"/>
    </row>
    <row r="47" spans="1:7" s="206" customFormat="1" ht="13.5" customHeight="1">
      <c r="A47" s="734" t="s">
        <v>347</v>
      </c>
      <c r="B47" s="240" t="s">
        <v>1549</v>
      </c>
      <c r="C47" s="230">
        <f ca="1">ROUND(C40*F27,4)</f>
        <v>6.0000000000000001E-3</v>
      </c>
      <c r="D47" s="255"/>
      <c r="E47" s="228"/>
      <c r="F47" s="238"/>
      <c r="G47" s="239"/>
    </row>
    <row r="48" spans="1:7" s="206" customFormat="1" ht="13.5" customHeight="1">
      <c r="A48" s="247" t="s">
        <v>1511</v>
      </c>
      <c r="B48" s="202" t="s">
        <v>1550</v>
      </c>
      <c r="C48" s="227">
        <f>ROUND(F30/(1+'数据-取费表'!C42),4)</f>
        <v>5.33E-2</v>
      </c>
      <c r="D48" s="228" t="s">
        <v>1538</v>
      </c>
      <c r="E48" s="224"/>
      <c r="F48" s="229">
        <f>F30</f>
        <v>5.6000000000000001E-2</v>
      </c>
      <c r="G48" s="226" t="s">
        <v>1551</v>
      </c>
    </row>
    <row r="49" spans="1:7" ht="16.5" customHeight="1">
      <c r="A49" s="247" t="s">
        <v>1517</v>
      </c>
      <c r="B49" s="202" t="s">
        <v>1552</v>
      </c>
      <c r="C49" s="224">
        <f ca="1">ROUND((C33+C39+C41+C45)/(1-C40-D41-D45-C48),0)</f>
        <v>5823</v>
      </c>
      <c r="D49" s="224"/>
      <c r="E49" s="224"/>
      <c r="F49" s="256"/>
      <c r="G49" s="226" t="s">
        <v>1553</v>
      </c>
    </row>
    <row r="50" spans="1:7" s="250" customFormat="1" ht="24">
      <c r="A50" s="247" t="s">
        <v>1554</v>
      </c>
      <c r="B50" s="202" t="s">
        <v>1555</v>
      </c>
      <c r="C50" s="224"/>
      <c r="D50" s="224"/>
      <c r="E50" s="224"/>
      <c r="F50" s="256">
        <f>IF('数据-取费表'!B24=0,'数据-取费表'!N16,1)</f>
        <v>0.85</v>
      </c>
      <c r="G50" s="239" t="s">
        <v>1556</v>
      </c>
    </row>
    <row r="51" spans="1:7" ht="16.5" customHeight="1">
      <c r="A51" s="247" t="s">
        <v>1557</v>
      </c>
      <c r="B51" s="202" t="s">
        <v>1558</v>
      </c>
      <c r="C51" s="224">
        <f ca="1">ROUND(C49*F50,0)</f>
        <v>4950</v>
      </c>
      <c r="D51" s="224"/>
      <c r="E51" s="224"/>
      <c r="F51" s="256"/>
      <c r="G51" s="226" t="s">
        <v>1559</v>
      </c>
    </row>
    <row r="52" spans="1:7" s="200" customFormat="1" ht="16.5" thickBot="1">
      <c r="A52" s="257" t="s">
        <v>1560</v>
      </c>
      <c r="B52" s="258"/>
      <c r="C52" s="259">
        <f ca="1">C31+C51</f>
        <v>22677</v>
      </c>
      <c r="D52" s="258"/>
      <c r="E52" s="258"/>
      <c r="F52" s="258"/>
      <c r="G52" s="260"/>
    </row>
    <row r="55" spans="1:7" ht="15">
      <c r="B55" s="262" t="s">
        <v>1561</v>
      </c>
      <c r="C55" s="263"/>
    </row>
    <row r="56" spans="1:7">
      <c r="B56" s="265" t="s">
        <v>802</v>
      </c>
      <c r="C56" s="267">
        <f ca="1">1-C57</f>
        <v>0.78200000000000003</v>
      </c>
    </row>
    <row r="57" spans="1:7">
      <c r="B57" s="265" t="s">
        <v>803</v>
      </c>
      <c r="C57" s="266">
        <f ca="1">ROUND(C51/C52,3)</f>
        <v>0.218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1460</v>
      </c>
      <c r="B1" s="1374"/>
      <c r="C1" s="1717" t="s">
        <v>1562</v>
      </c>
      <c r="D1" s="190"/>
      <c r="E1" s="190"/>
      <c r="F1" s="190"/>
      <c r="G1" s="1062">
        <f>MATCH(B1,'数据-取费表'!A6:A16,0)+5</f>
        <v>8</v>
      </c>
      <c r="H1" s="998" t="str">
        <f>IF(ISERROR(FIND("住宅",B1)),"非住宅","住宅")</f>
        <v>非住宅</v>
      </c>
    </row>
    <row r="2" spans="1:8" s="192" customFormat="1" ht="18" customHeight="1">
      <c r="A2" s="193" t="s">
        <v>1461</v>
      </c>
      <c r="B2" s="3121">
        <f ca="1">ROUND(IF(D2="——",C52/10000,C52/10000-E2),4)</f>
        <v>5343.9439000000002</v>
      </c>
      <c r="C2" s="191" t="s">
        <v>1462</v>
      </c>
      <c r="D2" s="1711" t="s">
        <v>43</v>
      </c>
      <c r="E2" s="1089" t="e">
        <f ca="1">SUMIF(INDIRECT("'"&amp;G2&amp;"'"&amp;"!A:A"),"承租人权益价值",INDIRECT("'"&amp;G2&amp;"'"&amp;"!c:c"))</f>
        <v>#REF!</v>
      </c>
      <c r="F2" s="1712" t="s">
        <v>1462</v>
      </c>
      <c r="G2" s="1713"/>
    </row>
    <row r="3" spans="1:8" s="192" customFormat="1" ht="18" customHeight="1" thickBot="1">
      <c r="A3" s="195" t="s">
        <v>1463</v>
      </c>
      <c r="B3" s="196">
        <f ca="1">ROUND(B2*10000/(IF(B1="",'数据-汇总表'!E3,INDIRECT("'数据-取费表'!k"&amp;$G$1))),0)</f>
        <v>8161</v>
      </c>
      <c r="C3" s="191" t="s">
        <v>1464</v>
      </c>
      <c r="D3" s="191"/>
      <c r="E3" s="191"/>
      <c r="F3" s="191"/>
      <c r="G3" s="191"/>
    </row>
    <row r="4" spans="1:8" s="200" customFormat="1" ht="15.75">
      <c r="A4" s="197" t="s">
        <v>1465</v>
      </c>
      <c r="B4" s="198"/>
      <c r="C4" s="198"/>
      <c r="D4" s="198"/>
      <c r="E4" s="198"/>
      <c r="F4" s="198"/>
      <c r="G4" s="199"/>
    </row>
    <row r="5" spans="1:8" s="206" customFormat="1" ht="13.5" customHeight="1">
      <c r="A5" s="247" t="s">
        <v>1466</v>
      </c>
      <c r="B5" s="202" t="s">
        <v>1467</v>
      </c>
      <c r="C5" s="203">
        <f ca="1">C6+C7+C8</f>
        <v>1309566</v>
      </c>
      <c r="D5" s="203" t="s">
        <v>1468</v>
      </c>
      <c r="E5" s="204" t="s">
        <v>1469</v>
      </c>
      <c r="F5" s="204" t="s">
        <v>1470</v>
      </c>
      <c r="G5" s="205"/>
    </row>
    <row r="6" spans="1:8" s="206" customFormat="1" ht="13.5" customHeight="1">
      <c r="A6" s="732" t="s">
        <v>1471</v>
      </c>
      <c r="B6" s="207" t="s">
        <v>1472</v>
      </c>
      <c r="C6" s="208"/>
      <c r="D6" s="209"/>
      <c r="E6" s="210"/>
      <c r="F6" s="210"/>
      <c r="G6" s="211"/>
    </row>
    <row r="7" spans="1:8" s="206" customFormat="1" ht="13.5" customHeight="1">
      <c r="A7" s="732" t="s">
        <v>1473</v>
      </c>
      <c r="B7" s="207" t="s">
        <v>1474</v>
      </c>
      <c r="C7" s="212">
        <f>ROUND(C6*F7,0)</f>
        <v>0</v>
      </c>
      <c r="D7" s="212"/>
      <c r="E7" s="210"/>
      <c r="F7" s="213">
        <f>IF(项目基本情况!B8="出让",0,'数据-取费表'!B48+'数据-取费表'!B49)</f>
        <v>3.0499999999999999E-2</v>
      </c>
      <c r="G7" s="211"/>
    </row>
    <row r="8" spans="1:8" s="215" customFormat="1">
      <c r="A8" s="732" t="s">
        <v>1475</v>
      </c>
      <c r="B8" s="207" t="s">
        <v>1476</v>
      </c>
      <c r="C8" s="212">
        <f ca="1">IF(G8="已包含在土地购买价格中",0,C9+C10)</f>
        <v>1309566</v>
      </c>
      <c r="D8" s="214"/>
      <c r="E8" s="212"/>
      <c r="F8" s="213"/>
      <c r="G8" s="1714"/>
    </row>
    <row r="9" spans="1:8" s="206" customFormat="1" ht="13.5" customHeight="1">
      <c r="A9" s="733" t="s">
        <v>355</v>
      </c>
      <c r="B9" s="216" t="s">
        <v>1477</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1479</v>
      </c>
      <c r="C10" s="217">
        <f ca="1">ROUND(D10*E10,0)</f>
        <v>1309566</v>
      </c>
      <c r="D10" s="795">
        <f ca="1">IF(B1="",'数据-汇总表'!E6,IF(INDIRECT("'数据-取费表'!c"&amp;$G$1)="住宅",INDIRECT("'数据-取费表'!s"&amp;$G$1),INDIRECT("'数据-取费表'!k"&amp;$G$1)+INDIRECT("'数据-取费表'!s"&amp;$G$1)))</f>
        <v>6547.83</v>
      </c>
      <c r="E10" s="217">
        <f>'数据-取费表'!B28</f>
        <v>200</v>
      </c>
      <c r="F10" s="213"/>
      <c r="G10" s="218"/>
    </row>
    <row r="11" spans="1:8" s="206" customFormat="1" ht="13.5" hidden="1" customHeight="1">
      <c r="A11" s="219" t="s">
        <v>4</v>
      </c>
      <c r="B11" s="207" t="s">
        <v>1480</v>
      </c>
      <c r="C11" s="203"/>
      <c r="D11" s="210"/>
      <c r="E11" s="210"/>
      <c r="F11" s="210"/>
      <c r="G11" s="211"/>
    </row>
    <row r="12" spans="1:8" s="206" customFormat="1" ht="13.5" hidden="1" customHeight="1">
      <c r="A12" s="219" t="s">
        <v>5</v>
      </c>
      <c r="B12" s="207" t="s">
        <v>1563</v>
      </c>
      <c r="C12" s="203">
        <v>0</v>
      </c>
      <c r="D12" s="210"/>
      <c r="E12" s="220"/>
      <c r="F12" s="213">
        <v>3.0499999999999999E-2</v>
      </c>
      <c r="G12" s="211"/>
    </row>
    <row r="13" spans="1:8" s="206" customFormat="1" ht="13.5" hidden="1" customHeight="1">
      <c r="A13" s="219" t="s">
        <v>6</v>
      </c>
      <c r="B13" s="207" t="s">
        <v>1564</v>
      </c>
      <c r="C13" s="203"/>
      <c r="D13" s="210"/>
      <c r="E13" s="210"/>
      <c r="F13" s="210"/>
      <c r="G13" s="211"/>
    </row>
    <row r="14" spans="1:8" s="206" customFormat="1" ht="13.5" hidden="1" customHeight="1">
      <c r="A14" s="219" t="s">
        <v>7</v>
      </c>
      <c r="B14" s="207" t="s">
        <v>1476</v>
      </c>
      <c r="C14" s="203"/>
      <c r="D14" s="210"/>
      <c r="E14" s="210"/>
      <c r="F14" s="210"/>
      <c r="G14" s="211" t="s">
        <v>1565</v>
      </c>
    </row>
    <row r="15" spans="1:8" s="206" customFormat="1" ht="13.5" hidden="1" customHeight="1">
      <c r="A15" s="219" t="s">
        <v>8</v>
      </c>
      <c r="B15" s="207" t="s">
        <v>1566</v>
      </c>
      <c r="C15" s="212"/>
      <c r="D15" s="210"/>
      <c r="E15" s="210"/>
      <c r="F15" s="210"/>
      <c r="G15" s="211" t="s">
        <v>1567</v>
      </c>
    </row>
    <row r="16" spans="1:8" s="206" customFormat="1" ht="13.5" hidden="1" customHeight="1">
      <c r="A16" s="219" t="s">
        <v>9</v>
      </c>
      <c r="B16" s="207" t="s">
        <v>1476</v>
      </c>
      <c r="C16" s="212"/>
      <c r="D16" s="210"/>
      <c r="E16" s="210"/>
      <c r="F16" s="210"/>
      <c r="G16" s="211"/>
    </row>
    <row r="17" spans="1:7" s="206" customFormat="1" ht="13.5" hidden="1" customHeight="1">
      <c r="A17" s="219" t="s">
        <v>10</v>
      </c>
      <c r="B17" s="207" t="s">
        <v>1568</v>
      </c>
      <c r="C17" s="221"/>
      <c r="D17" s="221"/>
      <c r="E17" s="221"/>
      <c r="F17" s="221"/>
      <c r="G17" s="211" t="s">
        <v>1567</v>
      </c>
    </row>
    <row r="18" spans="1:7" s="206" customFormat="1" ht="13.5" hidden="1" customHeight="1">
      <c r="A18" s="219" t="s">
        <v>11</v>
      </c>
      <c r="B18" s="207" t="s">
        <v>1569</v>
      </c>
      <c r="C18" s="212">
        <v>0</v>
      </c>
      <c r="D18" s="210"/>
      <c r="E18" s="210"/>
      <c r="F18" s="213">
        <v>3.0499999999999999E-2</v>
      </c>
      <c r="G18" s="211" t="s">
        <v>1570</v>
      </c>
    </row>
    <row r="19" spans="1:7" s="215" customFormat="1" ht="13.5" customHeight="1">
      <c r="A19" s="247" t="s">
        <v>1571</v>
      </c>
      <c r="B19" s="202" t="s">
        <v>1572</v>
      </c>
      <c r="C19" s="203">
        <f ca="1">IF(G19="已包含在土地取得成本中","0",ROUND(D19*E19,0))</f>
        <v>1309566</v>
      </c>
      <c r="D19" s="204">
        <f ca="1">D9+D10</f>
        <v>6547.83</v>
      </c>
      <c r="E19" s="203">
        <f>'数据-取费表'!B31</f>
        <v>200</v>
      </c>
      <c r="F19" s="223"/>
      <c r="G19" s="1714"/>
    </row>
    <row r="20" spans="1:7" s="206" customFormat="1" ht="13.5" customHeight="1">
      <c r="A20" s="247" t="s">
        <v>1573</v>
      </c>
      <c r="B20" s="202" t="s">
        <v>1574</v>
      </c>
      <c r="C20" s="224">
        <f ca="1">ROUND((C5+C19)*F20,0)</f>
        <v>78574</v>
      </c>
      <c r="D20" s="224"/>
      <c r="E20" s="224"/>
      <c r="F20" s="225">
        <f>'数据-取费表'!B37</f>
        <v>0.03</v>
      </c>
      <c r="G20" s="226" t="s">
        <v>1575</v>
      </c>
    </row>
    <row r="21" spans="1:7" s="206" customFormat="1" ht="13.5" customHeight="1">
      <c r="A21" s="247" t="s">
        <v>1576</v>
      </c>
      <c r="B21" s="202" t="s">
        <v>1577</v>
      </c>
      <c r="C21" s="227">
        <f>F21</f>
        <v>0.03</v>
      </c>
      <c r="D21" s="228" t="s">
        <v>1578</v>
      </c>
      <c r="E21" s="224"/>
      <c r="F21" s="225">
        <f>'数据-取费表'!B38</f>
        <v>0.03</v>
      </c>
      <c r="G21" s="226" t="s">
        <v>1579</v>
      </c>
    </row>
    <row r="22" spans="1:7" s="206" customFormat="1" ht="13.5" customHeight="1">
      <c r="A22" s="247" t="s">
        <v>1580</v>
      </c>
      <c r="B22" s="202" t="s">
        <v>1581</v>
      </c>
      <c r="C22" s="224">
        <f ca="1">ROUND(SUM(C23:C25),0)</f>
        <v>344744</v>
      </c>
      <c r="D22" s="227">
        <f ca="1">C26</f>
        <v>1.9E-3</v>
      </c>
      <c r="E22" s="228" t="s">
        <v>1578</v>
      </c>
      <c r="F22" s="229">
        <f ca="1">'数据-取费表'!B40</f>
        <v>4.1499999999999995E-2</v>
      </c>
      <c r="G22" s="226" t="str">
        <f>IF('数据-取费表'!B22&lt;=1,"单利计息","复利计息")</f>
        <v>复利计息</v>
      </c>
    </row>
    <row r="23" spans="1:7" s="206" customFormat="1" ht="13.5" customHeight="1">
      <c r="A23" s="734" t="s">
        <v>1471</v>
      </c>
      <c r="B23" s="207" t="s">
        <v>1582</v>
      </c>
      <c r="C23" s="230">
        <f ca="1">ROUND(IF('数据-取费表'!B22&lt;=1,C5*F22*'数据-取费表'!B22,C5*(POWER((1+F22),'数据-取费表'!B22)-1)),0)</f>
        <v>169901</v>
      </c>
      <c r="D23" s="230"/>
      <c r="E23" s="230"/>
      <c r="F23" s="231"/>
      <c r="G23" s="232" t="s">
        <v>1583</v>
      </c>
    </row>
    <row r="24" spans="1:7" s="206" customFormat="1" ht="13.5" customHeight="1">
      <c r="A24" s="734" t="s">
        <v>1473</v>
      </c>
      <c r="B24" s="207" t="s">
        <v>1584</v>
      </c>
      <c r="C24" s="230">
        <f ca="1">ROUND(IF('数据-取费表'!B22&lt;=1,C19*F22*('数据-取费表'!B19/2+'数据-取费表'!B20),C19*(POWER((1+F22),('数据-取费表'!B19/2+'数据-取费表'!B20))-1)),0)</f>
        <v>169901</v>
      </c>
      <c r="D24" s="230"/>
      <c r="E24" s="230"/>
      <c r="F24" s="231"/>
      <c r="G24" s="232" t="s">
        <v>1585</v>
      </c>
    </row>
    <row r="25" spans="1:7" s="206" customFormat="1" ht="24">
      <c r="A25" s="734" t="s">
        <v>1475</v>
      </c>
      <c r="B25" s="207" t="s">
        <v>1586</v>
      </c>
      <c r="C25" s="230">
        <f ca="1">ROUND(IF('数据-取费表'!B22&lt;=1,C20*F22*'数据-取费表'!B22/2,C20*(POWER((1+F22),'数据-取费表'!B22/2)-1)),0)</f>
        <v>4942</v>
      </c>
      <c r="D25" s="230"/>
      <c r="E25" s="233"/>
      <c r="F25" s="231"/>
      <c r="G25" s="234" t="s">
        <v>1587</v>
      </c>
    </row>
    <row r="26" spans="1:7" s="206" customFormat="1">
      <c r="A26" s="734" t="s">
        <v>350</v>
      </c>
      <c r="B26" s="207" t="s">
        <v>1510</v>
      </c>
      <c r="C26" s="230">
        <f ca="1">ROUND(IF('数据-取费表'!B22&lt;=1,F21*F22*'数据-取费表'!B22/2,F21*(POWER((1+F22),'数据-取费表'!B22/2)-1)),4)</f>
        <v>1.9E-3</v>
      </c>
      <c r="D26" s="230"/>
      <c r="E26" s="233"/>
      <c r="F26" s="231"/>
      <c r="G26" s="235"/>
    </row>
    <row r="27" spans="1:7" s="206" customFormat="1" ht="24.75">
      <c r="A27" s="247" t="s">
        <v>1511</v>
      </c>
      <c r="B27" s="236" t="s">
        <v>1512</v>
      </c>
      <c r="C27" s="237">
        <f ca="1">C28</f>
        <v>539541</v>
      </c>
      <c r="D27" s="227">
        <f ca="1">C29</f>
        <v>6.0000000000000001E-3</v>
      </c>
      <c r="E27" s="228" t="s">
        <v>1513</v>
      </c>
      <c r="F27" s="238">
        <f ca="1">IF(B1="",'数据-取费表'!Q16,INDIRECT("'数据-取费表'!q"&amp;$G$1))</f>
        <v>0.2</v>
      </c>
      <c r="G27" s="239" t="s">
        <v>1514</v>
      </c>
    </row>
    <row r="28" spans="1:7" s="206" customFormat="1" ht="13.5" customHeight="1">
      <c r="A28" s="734" t="s">
        <v>346</v>
      </c>
      <c r="B28" s="240" t="s">
        <v>1515</v>
      </c>
      <c r="C28" s="241">
        <f ca="1">ROUND((C5+C19+C20)*F27,0)</f>
        <v>539541</v>
      </c>
      <c r="D28" s="227"/>
      <c r="E28" s="228"/>
      <c r="F28" s="238"/>
      <c r="G28" s="239"/>
    </row>
    <row r="29" spans="1:7" s="206" customFormat="1" ht="13.5" customHeight="1">
      <c r="A29" s="734" t="s">
        <v>347</v>
      </c>
      <c r="B29" s="240" t="s">
        <v>1516</v>
      </c>
      <c r="C29" s="230">
        <f ca="1">ROUND(C21*F27,4)</f>
        <v>6.0000000000000001E-3</v>
      </c>
      <c r="D29" s="227"/>
      <c r="E29" s="228"/>
      <c r="F29" s="238"/>
      <c r="G29" s="239"/>
    </row>
    <row r="30" spans="1:7" s="206" customFormat="1" ht="13.5" customHeight="1">
      <c r="A30" s="247" t="s">
        <v>1517</v>
      </c>
      <c r="B30" s="202" t="s">
        <v>1518</v>
      </c>
      <c r="C30" s="227">
        <f>ROUND(F30/(1+'数据-取费表'!C42),4)</f>
        <v>5.33E-2</v>
      </c>
      <c r="D30" s="228" t="s">
        <v>1513</v>
      </c>
      <c r="E30" s="233"/>
      <c r="F30" s="229">
        <f>'数据-取费表'!B41</f>
        <v>5.6000000000000001E-2</v>
      </c>
      <c r="G30" s="226" t="s">
        <v>1519</v>
      </c>
    </row>
    <row r="31" spans="1:7" ht="16.5" customHeight="1">
      <c r="A31" s="201">
        <v>1</v>
      </c>
      <c r="B31" s="202" t="s">
        <v>1520</v>
      </c>
      <c r="C31" s="203">
        <f ca="1">ROUND((C5+C19+C20+C22+C27)/(1-C21-D22-D27-C30),0)</f>
        <v>3941451</v>
      </c>
      <c r="D31" s="222"/>
      <c r="E31" s="203"/>
      <c r="F31" s="242"/>
      <c r="G31" s="226" t="s">
        <v>1521</v>
      </c>
    </row>
    <row r="32" spans="1:7" s="200" customFormat="1" ht="15.75">
      <c r="A32" s="244" t="s">
        <v>1588</v>
      </c>
      <c r="B32" s="245"/>
      <c r="C32" s="245"/>
      <c r="D32" s="245"/>
      <c r="E32" s="245"/>
      <c r="F32" s="245"/>
      <c r="G32" s="246"/>
    </row>
    <row r="33" spans="1:7" s="206" customFormat="1" ht="13.5" customHeight="1">
      <c r="A33" s="247" t="s">
        <v>337</v>
      </c>
      <c r="B33" s="202" t="s">
        <v>1589</v>
      </c>
      <c r="C33" s="248">
        <f ca="1">SUM(C34:C38)</f>
        <v>40684941</v>
      </c>
      <c r="D33" s="224"/>
      <c r="E33" s="204"/>
      <c r="F33" s="233"/>
      <c r="G33" s="226"/>
    </row>
    <row r="34" spans="1:7" s="250" customFormat="1" ht="13.5" customHeight="1">
      <c r="A34" s="734" t="s">
        <v>346</v>
      </c>
      <c r="B34" s="207" t="s">
        <v>1524</v>
      </c>
      <c r="C34" s="212">
        <f ca="1">ROUND(IF(B1="",SUMPRODUCT('数据-取费表'!K6:K14,'数据-取费表'!L6:L14),INDIRECT("'数据-取费表'!l"&amp;$G$1)*INDIRECT("'数据-取费表'!k"&amp;$G$1)+'数据-取费表'!L14*INDIRECT("'数据-取费表'!S"&amp;$G$1)),0)</f>
        <v>37322631</v>
      </c>
      <c r="D34" s="209"/>
      <c r="E34" s="212"/>
      <c r="F34" s="249"/>
      <c r="G34" s="211"/>
    </row>
    <row r="35" spans="1:7" ht="13.5" customHeight="1">
      <c r="A35" s="734" t="s">
        <v>351</v>
      </c>
      <c r="B35" s="207" t="s">
        <v>1526</v>
      </c>
      <c r="C35" s="212">
        <f ca="1">ROUND(C34*F35,0)</f>
        <v>1492905</v>
      </c>
      <c r="D35" s="212"/>
      <c r="E35" s="212"/>
      <c r="F35" s="251">
        <f>'数据-取费表'!B33</f>
        <v>0.04</v>
      </c>
      <c r="G35" s="211" t="s">
        <v>1527</v>
      </c>
    </row>
    <row r="36" spans="1:7" ht="24">
      <c r="A36" s="734" t="s">
        <v>352</v>
      </c>
      <c r="B36" s="207" t="s">
        <v>1528</v>
      </c>
      <c r="C36" s="212">
        <f ca="1">ROUND(IF(B1="",SUM('数据-取费表'!AP6:AP13)*F36,IF(INDIRECT("'数据-取费表'!c"&amp;$G$1)="住宅",INDIRECT("'数据-取费表'!k"&amp;$G$1)*INDIRECT("'数据-取费表'!l"&amp;$G$1)*F36,0)),0)</f>
        <v>0</v>
      </c>
      <c r="D36" s="212"/>
      <c r="E36" s="212"/>
      <c r="F36" s="251">
        <f>'数据-取费表'!B34</f>
        <v>0</v>
      </c>
      <c r="G36" s="252" t="s">
        <v>1529</v>
      </c>
    </row>
    <row r="37" spans="1:7" s="250" customFormat="1" ht="13.5" customHeight="1">
      <c r="A37" s="734" t="s">
        <v>353</v>
      </c>
      <c r="B37" s="207" t="s">
        <v>1530</v>
      </c>
      <c r="C37" s="241">
        <f ca="1">ROUND(E37*D37,0)</f>
        <v>1309566</v>
      </c>
      <c r="D37" s="209">
        <f ca="1">D19</f>
        <v>6547.83</v>
      </c>
      <c r="E37" s="241">
        <f>'数据-取费表'!B35</f>
        <v>200</v>
      </c>
      <c r="F37" s="251"/>
      <c r="G37" s="253"/>
    </row>
    <row r="38" spans="1:7" ht="13.5" customHeight="1">
      <c r="A38" s="734" t="s">
        <v>354</v>
      </c>
      <c r="B38" s="207" t="s">
        <v>1532</v>
      </c>
      <c r="C38" s="212">
        <f ca="1">ROUND(C34*F38,0)</f>
        <v>559839</v>
      </c>
      <c r="D38" s="212"/>
      <c r="E38" s="212"/>
      <c r="F38" s="251">
        <f>'数据-取费表'!B36</f>
        <v>1.4999999999999999E-2</v>
      </c>
      <c r="G38" s="211" t="s">
        <v>1527</v>
      </c>
    </row>
    <row r="39" spans="1:7" s="206" customFormat="1" ht="13.5" customHeight="1">
      <c r="A39" s="247" t="s">
        <v>1533</v>
      </c>
      <c r="B39" s="202" t="s">
        <v>1534</v>
      </c>
      <c r="C39" s="224">
        <f ca="1">ROUND(C33*F20,0)</f>
        <v>1220548</v>
      </c>
      <c r="D39" s="224"/>
      <c r="E39" s="224"/>
      <c r="F39" s="225">
        <f>F20</f>
        <v>0.03</v>
      </c>
      <c r="G39" s="226" t="s">
        <v>1535</v>
      </c>
    </row>
    <row r="40" spans="1:7" s="206" customFormat="1" ht="13.5" customHeight="1">
      <c r="A40" s="247" t="s">
        <v>1536</v>
      </c>
      <c r="B40" s="202" t="s">
        <v>1537</v>
      </c>
      <c r="C40" s="227">
        <f>F21</f>
        <v>0.03</v>
      </c>
      <c r="D40" s="228" t="s">
        <v>1538</v>
      </c>
      <c r="E40" s="224"/>
      <c r="F40" s="225">
        <f>F21</f>
        <v>0.03</v>
      </c>
      <c r="G40" s="226" t="s">
        <v>1539</v>
      </c>
    </row>
    <row r="41" spans="1:7" s="206" customFormat="1" ht="13.5" customHeight="1">
      <c r="A41" s="247" t="s">
        <v>1540</v>
      </c>
      <c r="B41" s="202" t="s">
        <v>1541</v>
      </c>
      <c r="C41" s="224">
        <f ca="1">ROUND(SUM(C42:C43),0)</f>
        <v>2635497</v>
      </c>
      <c r="D41" s="227">
        <f ca="1">C44</f>
        <v>1.9E-3</v>
      </c>
      <c r="E41" s="228" t="s">
        <v>1538</v>
      </c>
      <c r="F41" s="229">
        <f ca="1">F22</f>
        <v>4.1499999999999995E-2</v>
      </c>
      <c r="G41" s="226" t="str">
        <f>IF('数据-取费表'!B22&lt;=1,"单利计息","复利计息")</f>
        <v>复利计息</v>
      </c>
    </row>
    <row r="42" spans="1:7" ht="13.5" customHeight="1">
      <c r="A42" s="734" t="s">
        <v>346</v>
      </c>
      <c r="B42" s="207" t="s">
        <v>1542</v>
      </c>
      <c r="C42" s="230">
        <f ca="1">ROUND(IF('数据-取费表'!B22&lt;=1,C33*F22*'数据-取费表'!B20/2,C33*(POWER((1+F22),'数据-取费表'!B20/2)-1)),0)</f>
        <v>2558735</v>
      </c>
      <c r="D42" s="230"/>
      <c r="E42" s="230"/>
      <c r="F42" s="231"/>
      <c r="G42" s="3405" t="s">
        <v>1590</v>
      </c>
    </row>
    <row r="43" spans="1:7" ht="13.5" customHeight="1">
      <c r="A43" s="734" t="s">
        <v>347</v>
      </c>
      <c r="B43" s="207" t="s">
        <v>1544</v>
      </c>
      <c r="C43" s="230">
        <f ca="1">ROUND(IF('数据-取费表'!B22&lt;=1,C39*F22*'数据-取费表'!B20/2,C39*(POWER((1+F22),'数据-取费表'!B20/2)-1)),0)</f>
        <v>76762</v>
      </c>
      <c r="D43" s="230"/>
      <c r="E43" s="230"/>
      <c r="F43" s="231"/>
      <c r="G43" s="3406"/>
    </row>
    <row r="44" spans="1:7" ht="13.5" customHeight="1">
      <c r="A44" s="734" t="s">
        <v>348</v>
      </c>
      <c r="B44" s="207" t="s">
        <v>1545</v>
      </c>
      <c r="C44" s="230">
        <f ca="1">ROUND(IF('数据-取费表'!B22&lt;=1,C40*F22*'数据-取费表'!B20/2,C40*(POWER((1+F22),'数据-取费表'!B20/2)-1)),4)</f>
        <v>1.9E-3</v>
      </c>
      <c r="D44" s="230"/>
      <c r="E44" s="230"/>
      <c r="F44" s="231"/>
      <c r="G44" s="3407"/>
    </row>
    <row r="45" spans="1:7" s="206" customFormat="1" ht="13.5" customHeight="1">
      <c r="A45" s="247" t="s">
        <v>1546</v>
      </c>
      <c r="B45" s="236" t="s">
        <v>1512</v>
      </c>
      <c r="C45" s="237">
        <f ca="1">C46</f>
        <v>8381098</v>
      </c>
      <c r="D45" s="227">
        <f ca="1">C47</f>
        <v>6.0000000000000001E-3</v>
      </c>
      <c r="E45" s="228" t="s">
        <v>1538</v>
      </c>
      <c r="F45" s="238">
        <f ca="1">F27</f>
        <v>0.2</v>
      </c>
      <c r="G45" s="239" t="s">
        <v>1547</v>
      </c>
    </row>
    <row r="46" spans="1:7" s="206" customFormat="1" ht="13.5" customHeight="1">
      <c r="A46" s="734" t="s">
        <v>346</v>
      </c>
      <c r="B46" s="240" t="s">
        <v>1548</v>
      </c>
      <c r="C46" s="241">
        <f ca="1">ROUND((C33+C39)*F27,0)</f>
        <v>8381098</v>
      </c>
      <c r="D46" s="255"/>
      <c r="E46" s="228"/>
      <c r="F46" s="238"/>
      <c r="G46" s="239"/>
    </row>
    <row r="47" spans="1:7" s="206" customFormat="1" ht="13.5" customHeight="1">
      <c r="A47" s="734" t="s">
        <v>347</v>
      </c>
      <c r="B47" s="240" t="s">
        <v>1549</v>
      </c>
      <c r="C47" s="230">
        <f ca="1">ROUND(C40*F27,4)</f>
        <v>6.0000000000000001E-3</v>
      </c>
      <c r="D47" s="255"/>
      <c r="E47" s="228"/>
      <c r="F47" s="238"/>
      <c r="G47" s="239"/>
    </row>
    <row r="48" spans="1:7" s="206" customFormat="1" ht="13.5" customHeight="1">
      <c r="A48" s="247" t="s">
        <v>1511</v>
      </c>
      <c r="B48" s="202" t="s">
        <v>1550</v>
      </c>
      <c r="C48" s="254">
        <f>ROUND(F30/(1+'数据-取费表'!C42),4)</f>
        <v>5.33E-2</v>
      </c>
      <c r="D48" s="228" t="s">
        <v>1538</v>
      </c>
      <c r="E48" s="224"/>
      <c r="F48" s="229">
        <f>F30</f>
        <v>5.6000000000000001E-2</v>
      </c>
      <c r="G48" s="226" t="s">
        <v>1551</v>
      </c>
    </row>
    <row r="49" spans="1:7" ht="16.5" customHeight="1">
      <c r="A49" s="247" t="s">
        <v>1517</v>
      </c>
      <c r="B49" s="202" t="s">
        <v>1591</v>
      </c>
      <c r="C49" s="224">
        <f ca="1">ROUND((C33+C39+C41+C45)/(1-C40-D41-D45-C48),0)</f>
        <v>58232927</v>
      </c>
      <c r="D49" s="224"/>
      <c r="E49" s="224"/>
      <c r="F49" s="256"/>
      <c r="G49" s="226" t="s">
        <v>1553</v>
      </c>
    </row>
    <row r="50" spans="1:7" s="250" customFormat="1">
      <c r="A50" s="247" t="s">
        <v>1554</v>
      </c>
      <c r="B50" s="202" t="s">
        <v>1555</v>
      </c>
      <c r="C50" s="224"/>
      <c r="D50" s="224"/>
      <c r="E50" s="224"/>
      <c r="F50" s="256">
        <f>IF('数据-取费表'!B24=0,'数据-取费表'!N16,1)</f>
        <v>0.85</v>
      </c>
      <c r="G50" s="239"/>
    </row>
    <row r="51" spans="1:7" ht="16.5" customHeight="1">
      <c r="A51" s="247" t="s">
        <v>1557</v>
      </c>
      <c r="B51" s="202" t="s">
        <v>1592</v>
      </c>
      <c r="C51" s="224">
        <f ca="1">ROUND(C49*F50,0)</f>
        <v>49497988</v>
      </c>
      <c r="D51" s="224"/>
      <c r="E51" s="224"/>
      <c r="F51" s="256"/>
      <c r="G51" s="226" t="s">
        <v>1559</v>
      </c>
    </row>
    <row r="52" spans="1:7" s="200" customFormat="1" ht="16.5" thickBot="1">
      <c r="A52" s="257" t="s">
        <v>1560</v>
      </c>
      <c r="B52" s="258"/>
      <c r="C52" s="259">
        <f ca="1">C31+C51</f>
        <v>53439439</v>
      </c>
      <c r="D52" s="258"/>
      <c r="E52" s="258"/>
      <c r="F52" s="258"/>
      <c r="G52" s="260"/>
    </row>
    <row r="55" spans="1:7" ht="15">
      <c r="B55" s="262" t="s">
        <v>1561</v>
      </c>
      <c r="C55" s="263"/>
    </row>
    <row r="56" spans="1:7">
      <c r="B56" s="265" t="s">
        <v>802</v>
      </c>
      <c r="C56" s="267">
        <f ca="1">1-C57</f>
        <v>7.3999999999999955E-2</v>
      </c>
    </row>
    <row r="57" spans="1:7">
      <c r="B57" s="265" t="s">
        <v>803</v>
      </c>
      <c r="C57" s="266">
        <f ca="1">ROUND(C51/C52,3)</f>
        <v>0.92600000000000005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1593</v>
      </c>
      <c r="B1" s="121"/>
      <c r="C1" s="1110"/>
      <c r="D1" s="1109"/>
      <c r="E1" s="2566"/>
      <c r="F1" s="2566"/>
      <c r="G1" s="2447"/>
      <c r="H1" s="2566"/>
      <c r="I1" s="2566"/>
      <c r="J1" s="2566"/>
      <c r="K1" s="2567">
        <f>MATCH(C1,'数据-取费表'!A6:A16,0)+5</f>
        <v>8</v>
      </c>
    </row>
    <row r="2" spans="1:33" ht="18" customHeight="1">
      <c r="A2" s="193" t="s">
        <v>1461</v>
      </c>
      <c r="B2" s="196">
        <f ca="1">C32</f>
        <v>0</v>
      </c>
      <c r="C2" s="268" t="s">
        <v>1594</v>
      </c>
      <c r="D2" s="268"/>
      <c r="E2" s="2566"/>
      <c r="F2" s="2566"/>
      <c r="G2" s="2566"/>
      <c r="H2" s="2566"/>
      <c r="I2" s="2566"/>
      <c r="J2" s="2566"/>
      <c r="K2" s="2566"/>
    </row>
    <row r="3" spans="1:33" ht="18" customHeight="1" thickBot="1">
      <c r="A3" s="195" t="s">
        <v>1463</v>
      </c>
      <c r="B3" s="196">
        <f ca="1">ROUND(B2*10000/IF(C1="",'数据-汇总表'!E3,INDIRECT("'数据-取费表'!K"&amp;$K$1)),0)</f>
        <v>0</v>
      </c>
      <c r="C3" s="268" t="s">
        <v>1595</v>
      </c>
      <c r="D3" s="268"/>
      <c r="E3" s="2566"/>
      <c r="F3" s="2566"/>
      <c r="G3" s="2566"/>
      <c r="H3" s="2566"/>
      <c r="I3" s="2566"/>
      <c r="J3" s="2566"/>
      <c r="K3" s="2566"/>
    </row>
    <row r="4" spans="1:33" s="739" customFormat="1" ht="16.5" customHeight="1">
      <c r="A4" s="736" t="s">
        <v>1596</v>
      </c>
      <c r="B4" s="737"/>
      <c r="C4" s="775">
        <f>SUM(C8:K8)</f>
        <v>0</v>
      </c>
      <c r="D4" s="737"/>
      <c r="E4" s="737"/>
      <c r="F4" s="737"/>
      <c r="G4" s="737"/>
      <c r="H4" s="737"/>
      <c r="I4" s="737"/>
      <c r="J4" s="737"/>
      <c r="K4" s="738"/>
    </row>
    <row r="5" spans="1:33" s="743" customFormat="1" ht="15">
      <c r="A5" s="740" t="s">
        <v>1597</v>
      </c>
      <c r="B5" s="741" t="s">
        <v>1598</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1599</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1600</v>
      </c>
      <c r="B7" s="123" t="s">
        <v>1601</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1602</v>
      </c>
      <c r="B8" s="156" t="s">
        <v>1603</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1604</v>
      </c>
      <c r="B9" s="737"/>
      <c r="C9" s="737"/>
      <c r="D9" s="737"/>
      <c r="E9" s="737"/>
      <c r="F9" s="737"/>
      <c r="G9" s="737"/>
      <c r="H9" s="737"/>
      <c r="I9" s="737"/>
      <c r="J9" s="737"/>
      <c r="K9" s="738"/>
    </row>
    <row r="10" spans="1:33" s="751" customFormat="1" ht="13.5" customHeight="1">
      <c r="A10" s="740" t="s">
        <v>1605</v>
      </c>
      <c r="B10" s="5" t="s">
        <v>1606</v>
      </c>
      <c r="C10" s="747" t="s">
        <v>1607</v>
      </c>
      <c r="D10" s="748" t="s">
        <v>1608</v>
      </c>
      <c r="E10" s="748" t="s">
        <v>1609</v>
      </c>
      <c r="F10" s="748" t="s">
        <v>1610</v>
      </c>
      <c r="G10" s="5"/>
      <c r="H10" s="749"/>
      <c r="I10" s="749"/>
      <c r="J10" s="749"/>
      <c r="K10" s="750"/>
    </row>
    <row r="11" spans="1:33" s="755" customFormat="1" ht="13.5" customHeight="1">
      <c r="A11" s="752" t="s">
        <v>635</v>
      </c>
      <c r="B11" s="753" t="s">
        <v>1611</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1612</v>
      </c>
      <c r="C12" s="21">
        <f ca="1">ROUND(C11*F12,0)</f>
        <v>0</v>
      </c>
      <c r="D12" s="754"/>
      <c r="E12" s="138"/>
      <c r="F12" s="764">
        <f>'数据-取费表'!B33</f>
        <v>0.04</v>
      </c>
      <c r="G12" s="5" t="s">
        <v>1613</v>
      </c>
      <c r="H12" s="749"/>
      <c r="I12" s="749"/>
      <c r="J12" s="749"/>
      <c r="K12" s="750"/>
    </row>
    <row r="13" spans="1:33" s="755" customFormat="1" ht="13.5" customHeight="1">
      <c r="A13" s="752" t="s">
        <v>637</v>
      </c>
      <c r="B13" s="753" t="s">
        <v>1614</v>
      </c>
      <c r="C13" s="21">
        <f ca="1">ROUND(IF(C1="",SUMIF('数据-取费表'!C:C,"住宅",'数据-取费表'!P:P)*F13,IF(INDIRECT("'数据-取费表'!c"&amp;$K$1)="住宅",INDIRECT("'数据-取费表'!P"&amp;$K$1)*F13,0)),0)</f>
        <v>0</v>
      </c>
      <c r="D13" s="796"/>
      <c r="E13" s="138"/>
      <c r="F13" s="764">
        <f>'数据-取费表'!B34</f>
        <v>0</v>
      </c>
      <c r="G13" s="5" t="s">
        <v>1615</v>
      </c>
      <c r="H13" s="749"/>
      <c r="I13" s="749"/>
      <c r="J13" s="749"/>
      <c r="K13" s="750"/>
    </row>
    <row r="14" spans="1:33" s="757" customFormat="1" ht="13.5" customHeight="1">
      <c r="A14" s="752" t="s">
        <v>638</v>
      </c>
      <c r="B14" s="753" t="s">
        <v>1616</v>
      </c>
      <c r="C14" s="21">
        <f ca="1">ROUND(D14*E14*F11/10000,0)</f>
        <v>0</v>
      </c>
      <c r="D14" s="796">
        <f ca="1">IF(C1="",'数据-汇总表'!E3,INDIRECT("'数据-取费表'!K"&amp;$K$1)+INDIRECT("'数据-取费表'!S"&amp;$K$1))</f>
        <v>6547.83</v>
      </c>
      <c r="E14" s="21">
        <f>'数据-取费表'!B35</f>
        <v>200</v>
      </c>
      <c r="F14" s="756"/>
      <c r="G14" s="5" t="s">
        <v>1617</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1618</v>
      </c>
      <c r="C15" s="763">
        <f ca="1">ROUND(C11*F15,0)</f>
        <v>0</v>
      </c>
      <c r="D15" s="758"/>
      <c r="E15" s="763"/>
      <c r="F15" s="764">
        <f>'数据-取费表'!B36</f>
        <v>1.4999999999999999E-2</v>
      </c>
      <c r="G15" s="123" t="s">
        <v>1619</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1620</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1621</v>
      </c>
      <c r="C17" s="21">
        <f ca="1">ROUND(D17*E17/10000,0)</f>
        <v>0</v>
      </c>
      <c r="D17" s="796">
        <f ca="1">D14</f>
        <v>6547.83</v>
      </c>
      <c r="E17" s="21">
        <f>'数据-取费表'!B32</f>
        <v>0</v>
      </c>
      <c r="F17" s="758"/>
      <c r="G17" s="123" t="s">
        <v>1622</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1623</v>
      </c>
      <c r="C18" s="21">
        <f ca="1">C19+C20-IF(C1="",'数据-取费表'!B29,IF(G18="已全部缴纳",C19+C20,H18))</f>
        <v>0</v>
      </c>
      <c r="D18" s="796"/>
      <c r="E18" s="21"/>
      <c r="F18" s="756"/>
      <c r="G18" s="1720"/>
      <c r="H18" s="1106"/>
      <c r="I18" s="1721" t="s">
        <v>1624</v>
      </c>
      <c r="J18" s="759"/>
      <c r="K18" s="760"/>
    </row>
    <row r="19" spans="1:33" s="755" customFormat="1" ht="13.5" customHeight="1">
      <c r="A19" s="752" t="s">
        <v>360</v>
      </c>
      <c r="B19" s="753" t="s">
        <v>1625</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1626</v>
      </c>
      <c r="C20" s="21">
        <f ca="1">ROUND(D20*E20/10000,0)</f>
        <v>131</v>
      </c>
      <c r="D20" s="796">
        <f ca="1">IF(C1="",'数据-汇总表'!E6,IF(INDIRECT("'数据-取费表'!c"&amp;$K$1)="住宅",INDIRECT("'数据-取费表'!s"&amp;$K$1),INDIRECT("'数据-取费表'!k"&amp;$K$1)+INDIRECT("'数据-取费表'!s"&amp;$K$1)))</f>
        <v>6547.83</v>
      </c>
      <c r="E20" s="21">
        <f>'数据-取费表'!B28</f>
        <v>200</v>
      </c>
      <c r="F20" s="756"/>
      <c r="G20" s="12"/>
      <c r="H20" s="761"/>
      <c r="I20" s="761"/>
      <c r="J20" s="761"/>
      <c r="K20" s="762"/>
    </row>
    <row r="21" spans="1:33" s="755" customFormat="1" ht="13.5" customHeight="1">
      <c r="A21" s="744" t="s">
        <v>357</v>
      </c>
      <c r="B21" s="765" t="s">
        <v>1627</v>
      </c>
      <c r="C21" s="766">
        <f ca="1">C16+C17+C18</f>
        <v>0</v>
      </c>
      <c r="D21" s="767"/>
      <c r="E21" s="273"/>
      <c r="F21" s="273"/>
      <c r="G21" s="123" t="s">
        <v>1628</v>
      </c>
      <c r="H21" s="759"/>
      <c r="I21" s="759"/>
      <c r="J21" s="759"/>
      <c r="K21" s="760"/>
    </row>
    <row r="22" spans="1:33" s="755" customFormat="1" ht="13.5" customHeight="1">
      <c r="A22" s="744" t="s">
        <v>1600</v>
      </c>
      <c r="B22" s="765" t="s">
        <v>1629</v>
      </c>
      <c r="C22" s="766">
        <f ca="1">ROUND(C21*F22,0)</f>
        <v>0</v>
      </c>
      <c r="D22" s="273"/>
      <c r="E22" s="273"/>
      <c r="F22" s="768">
        <f>'数据-取费表'!B37</f>
        <v>0.03</v>
      </c>
      <c r="G22" s="5" t="s">
        <v>1630</v>
      </c>
      <c r="H22" s="749"/>
      <c r="I22" s="749"/>
      <c r="J22" s="749"/>
      <c r="K22" s="750"/>
    </row>
    <row r="23" spans="1:33" s="755" customFormat="1" ht="13.5" customHeight="1">
      <c r="A23" s="744" t="s">
        <v>1602</v>
      </c>
      <c r="B23" s="765" t="s">
        <v>1631</v>
      </c>
      <c r="C23" s="766">
        <f ca="1">ROUND(C4*F23*F11,0)</f>
        <v>0</v>
      </c>
      <c r="D23" s="273"/>
      <c r="E23" s="273"/>
      <c r="F23" s="768">
        <f>'数据-取费表'!B38</f>
        <v>0.03</v>
      </c>
      <c r="G23" s="5" t="s">
        <v>1632</v>
      </c>
      <c r="H23" s="749"/>
      <c r="I23" s="749"/>
      <c r="J23" s="749"/>
      <c r="K23" s="750"/>
    </row>
    <row r="24" spans="1:33" s="755" customFormat="1" ht="13.5" customHeight="1">
      <c r="A24" s="744" t="s">
        <v>1633</v>
      </c>
      <c r="B24" s="765" t="s">
        <v>1634</v>
      </c>
      <c r="C24" s="272">
        <f>ROUND(F24/(1+'数据-取费表'!C42),4)</f>
        <v>2.9000000000000001E-2</v>
      </c>
      <c r="D24" s="273" t="s">
        <v>12</v>
      </c>
      <c r="E24" s="273"/>
      <c r="F24" s="768">
        <f>IF(项目基本情况!B8="出让",0,'数据-取费表'!B48+'数据-取费表'!B49)</f>
        <v>3.0499999999999999E-2</v>
      </c>
      <c r="G24" s="5" t="s">
        <v>1635</v>
      </c>
      <c r="H24" s="770"/>
      <c r="I24" s="770"/>
      <c r="J24" s="770"/>
      <c r="K24" s="55"/>
    </row>
    <row r="25" spans="1:33" s="755" customFormat="1" ht="13.5" customHeight="1">
      <c r="A25" s="744" t="s">
        <v>1636</v>
      </c>
      <c r="B25" s="767" t="s">
        <v>1637</v>
      </c>
      <c r="C25" s="1043">
        <f ca="1">C27</f>
        <v>0</v>
      </c>
      <c r="D25" s="272">
        <f ca="1">C26</f>
        <v>0</v>
      </c>
      <c r="E25" s="274" t="s">
        <v>12</v>
      </c>
      <c r="F25" s="275">
        <f ca="1">'数据-取费表'!B40</f>
        <v>4.1499999999999995E-2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1638</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1639</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1640</v>
      </c>
      <c r="B28" s="1723" t="s">
        <v>1641</v>
      </c>
      <c r="C28" s="279">
        <f ca="1">C30</f>
        <v>0</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1642</v>
      </c>
      <c r="C29" s="276">
        <f ca="1">ROUND((1+C24)*F28*'数据-取费表'!B24/'数据-取费表'!B20,4)</f>
        <v>0</v>
      </c>
      <c r="D29" s="276"/>
      <c r="E29" s="277"/>
      <c r="F29" s="282"/>
      <c r="G29" s="123" t="s">
        <v>1643</v>
      </c>
      <c r="H29" s="759"/>
      <c r="I29" s="759"/>
      <c r="J29" s="759"/>
      <c r="K29" s="760"/>
    </row>
    <row r="30" spans="1:33" s="283" customFormat="1" ht="13.5" customHeight="1">
      <c r="A30" s="752" t="s">
        <v>359</v>
      </c>
      <c r="B30" s="773" t="s">
        <v>1644</v>
      </c>
      <c r="C30" s="284">
        <f ca="1">ROUND((C21+C22+C23)*F28,0)</f>
        <v>0</v>
      </c>
      <c r="D30" s="276"/>
      <c r="E30" s="277"/>
      <c r="F30" s="282"/>
      <c r="G30" s="123"/>
      <c r="H30" s="759"/>
      <c r="I30" s="759"/>
      <c r="J30" s="759"/>
      <c r="K30" s="760"/>
    </row>
    <row r="31" spans="1:33" s="755" customFormat="1" ht="13.5" customHeight="1" thickBot="1">
      <c r="A31" s="1724" t="s">
        <v>1645</v>
      </c>
      <c r="B31" s="783" t="s">
        <v>1646</v>
      </c>
      <c r="C31" s="784">
        <f>ROUND(C4*F31/(1+'数据-取费表'!C42),0)</f>
        <v>0</v>
      </c>
      <c r="D31" s="785"/>
      <c r="E31" s="786"/>
      <c r="F31" s="787">
        <f>'数据-取费表'!B41</f>
        <v>5.6000000000000001E-2</v>
      </c>
      <c r="G31" s="788" t="s">
        <v>1647</v>
      </c>
      <c r="H31" s="789"/>
      <c r="I31" s="789"/>
      <c r="J31" s="789"/>
      <c r="K31" s="790"/>
    </row>
    <row r="32" spans="1:33" s="751" customFormat="1" ht="13.5" customHeight="1" thickBot="1">
      <c r="A32" s="449" t="s">
        <v>1648</v>
      </c>
      <c r="B32" s="779"/>
      <c r="C32" s="780">
        <f ca="1">ROUND((C4-C21-C22-C23-C25-C28-C31)/(1+C24+D25+D28),0)</f>
        <v>0</v>
      </c>
      <c r="D32" s="779"/>
      <c r="E32" s="779"/>
      <c r="F32" s="779"/>
      <c r="G32" s="781" t="s">
        <v>1649</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Normal="70" zoomScaleSheetLayoutView="100" workbookViewId="0">
      <selection activeCell="D21" sqref="D2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3459</v>
      </c>
      <c r="D1" s="1271" t="s">
        <v>43</v>
      </c>
      <c r="E1" s="1272" t="s">
        <v>678</v>
      </c>
      <c r="F1" s="999">
        <f ca="1">J53</f>
        <v>10.75</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4033</v>
      </c>
      <c r="C2" s="1289" t="s">
        <v>805</v>
      </c>
      <c r="D2" s="1289"/>
      <c r="E2" s="1295"/>
      <c r="F2" s="1296"/>
      <c r="G2" s="2477"/>
      <c r="H2" s="2467"/>
      <c r="I2" s="2467"/>
      <c r="J2" s="2467"/>
      <c r="K2" s="2468"/>
      <c r="L2" s="2467"/>
      <c r="M2" s="2467"/>
    </row>
    <row r="3" spans="1:37" ht="18" customHeight="1" thickBot="1">
      <c r="A3" s="1297" t="s">
        <v>806</v>
      </c>
      <c r="B3" s="1298">
        <f ca="1">IF(ISERROR(B2*10000/F43),0,ROUND(B2*10000/F43,0))</f>
        <v>15883</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501</v>
      </c>
      <c r="D5" s="1273" t="s">
        <v>693</v>
      </c>
      <c r="E5" s="1008"/>
      <c r="F5" s="1009"/>
      <c r="G5" s="1292"/>
      <c r="H5" s="291">
        <v>1</v>
      </c>
      <c r="I5" s="292" t="s">
        <v>692</v>
      </c>
      <c r="J5" s="1007">
        <f ca="1">J6+J10+J12</f>
        <v>0</v>
      </c>
      <c r="K5" s="1273" t="s">
        <v>693</v>
      </c>
      <c r="L5" s="1008"/>
      <c r="M5" s="1009"/>
    </row>
    <row r="6" spans="1:37" ht="18" customHeight="1">
      <c r="A6" s="1006" t="s">
        <v>398</v>
      </c>
      <c r="B6" s="3408" t="s">
        <v>694</v>
      </c>
      <c r="C6" s="1011">
        <f ca="1">ROUND(F6*F8*F7*(1-F9)/10000,0)</f>
        <v>500</v>
      </c>
      <c r="D6" s="147" t="s">
        <v>2108</v>
      </c>
      <c r="E6" s="294" t="s">
        <v>696</v>
      </c>
      <c r="F6" s="295">
        <f ca="1">INDIRECT("'数据-取费表'!u"&amp;$G$1)</f>
        <v>6</v>
      </c>
      <c r="G6" s="1292"/>
      <c r="H6" s="1006" t="s">
        <v>398</v>
      </c>
      <c r="I6" s="3408" t="s">
        <v>694</v>
      </c>
      <c r="J6" s="293">
        <f ca="1">ROUND(M6*M8*M7*(1-M9)/10000,0)</f>
        <v>0</v>
      </c>
      <c r="K6" s="147" t="s">
        <v>2107</v>
      </c>
      <c r="L6" s="294" t="s">
        <v>696</v>
      </c>
      <c r="M6" s="295">
        <f ca="1">INDIRECT("'数据-取费表'!z"&amp;$G$1)</f>
        <v>0</v>
      </c>
    </row>
    <row r="7" spans="1:37" ht="18" customHeight="1">
      <c r="A7" s="1010"/>
      <c r="B7" s="3409"/>
      <c r="C7" s="1012"/>
      <c r="D7" s="299"/>
      <c r="E7" s="1013" t="s">
        <v>697</v>
      </c>
      <c r="F7" s="295">
        <f ca="1">IF(INDIRECT("'数据-取费表'!ah"&amp;$G$1)="",INDIRECT("'数据-取费表'!k"&amp;$G$1),INDIRECT("'数据-取费表'!ah"&amp;$G$1))</f>
        <v>2539.2599999999998</v>
      </c>
      <c r="G7" s="1292"/>
      <c r="H7" s="296"/>
      <c r="I7" s="3409"/>
      <c r="J7" s="298"/>
      <c r="K7" s="299"/>
      <c r="L7" s="294" t="s">
        <v>697</v>
      </c>
      <c r="M7" s="295">
        <f ca="1">F7</f>
        <v>2539.2599999999998</v>
      </c>
    </row>
    <row r="8" spans="1:37" ht="18" customHeight="1">
      <c r="A8" s="296"/>
      <c r="B8" s="3409"/>
      <c r="C8" s="298"/>
      <c r="D8" s="299"/>
      <c r="E8" s="294" t="s">
        <v>698</v>
      </c>
      <c r="F8" s="295">
        <f ca="1">INDIRECT("'数据-取费表'!ai"&amp;$G$1)</f>
        <v>365</v>
      </c>
      <c r="G8" s="1292"/>
      <c r="H8" s="296"/>
      <c r="I8" s="3409"/>
      <c r="J8" s="298"/>
      <c r="K8" s="299"/>
      <c r="L8" s="294" t="s">
        <v>698</v>
      </c>
      <c r="M8" s="295">
        <f ca="1">INDIRECT("'数据-取费表'!ai"&amp;$G$1)</f>
        <v>365</v>
      </c>
    </row>
    <row r="9" spans="1:37" ht="18" customHeight="1">
      <c r="A9" s="296"/>
      <c r="B9" s="3410"/>
      <c r="C9" s="298"/>
      <c r="D9" s="299"/>
      <c r="E9" s="294" t="s">
        <v>699</v>
      </c>
      <c r="F9" s="304">
        <f ca="1">INDIRECT("'数据-取费表'!w"&amp;$G$1)</f>
        <v>0.1</v>
      </c>
      <c r="G9" s="1292"/>
      <c r="H9" s="296"/>
      <c r="I9" s="3410"/>
      <c r="J9" s="298"/>
      <c r="K9" s="299"/>
      <c r="L9" s="305" t="s">
        <v>699</v>
      </c>
      <c r="M9" s="306">
        <f ca="1">INDIRECT("'数据-取费表'!ab"&amp;$G$1)</f>
        <v>0</v>
      </c>
    </row>
    <row r="10" spans="1:37" ht="18" customHeight="1">
      <c r="A10" s="1006" t="s">
        <v>402</v>
      </c>
      <c r="B10" s="1274" t="s">
        <v>700</v>
      </c>
      <c r="C10" s="308">
        <f ca="1">ROUND(IF(F10="押一",C6/12*F11,IF(F10="押二",C6/12*2*F11,IF(F10="押三",C6/12*3*F11,C11*F11))),0)</f>
        <v>1</v>
      </c>
      <c r="D10" s="150" t="s">
        <v>2115</v>
      </c>
      <c r="E10" s="305" t="s">
        <v>701</v>
      </c>
      <c r="F10" s="1053" t="s">
        <v>3411</v>
      </c>
      <c r="G10" s="1292"/>
      <c r="H10" s="1006" t="s">
        <v>402</v>
      </c>
      <c r="I10" s="1274" t="s">
        <v>700</v>
      </c>
      <c r="J10" s="293">
        <f ca="1">ROUND(IF(M10="押一",J6/12*M11,IF(M10="押二",J6/12*2*M11,IF(M10="押三",J6/12*3*M11,J11*M11))),0)</f>
        <v>0</v>
      </c>
      <c r="K10" s="150" t="s">
        <v>2115</v>
      </c>
      <c r="L10" s="305" t="s">
        <v>701</v>
      </c>
      <c r="M10" s="1053" t="s">
        <v>3411</v>
      </c>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1919</v>
      </c>
      <c r="D13" s="1018" t="s">
        <v>705</v>
      </c>
      <c r="E13" s="1018" t="s">
        <v>706</v>
      </c>
      <c r="F13" s="1019">
        <f ca="1">INDIRECT("'数据-取费表'!y"&amp;$G$1)</f>
        <v>0.85</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1447</v>
      </c>
      <c r="D14" s="1257" t="s">
        <v>708</v>
      </c>
      <c r="E14" s="1255"/>
      <c r="F14" s="311"/>
      <c r="G14" s="1292"/>
      <c r="H14" s="928" t="s">
        <v>398</v>
      </c>
      <c r="I14" s="294" t="s">
        <v>709</v>
      </c>
      <c r="J14" s="21">
        <f ca="1">C29</f>
        <v>2258</v>
      </c>
      <c r="K14" s="12"/>
      <c r="L14" s="759"/>
      <c r="M14" s="760"/>
    </row>
    <row r="15" spans="1:37" s="1304" customFormat="1" ht="18" customHeight="1" thickBot="1">
      <c r="A15" s="928" t="s">
        <v>399</v>
      </c>
      <c r="B15" s="294" t="s">
        <v>710</v>
      </c>
      <c r="C15" s="21">
        <f ca="1">ROUND(C14*F15,0)</f>
        <v>58</v>
      </c>
      <c r="D15" s="312" t="s">
        <v>711</v>
      </c>
      <c r="E15" s="312" t="s">
        <v>712</v>
      </c>
      <c r="F15" s="313">
        <f>'数据-取费表'!B33</f>
        <v>0.04</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12</v>
      </c>
      <c r="K16" s="1024" t="s">
        <v>715</v>
      </c>
      <c r="L16" s="1025"/>
      <c r="M16" s="1009"/>
    </row>
    <row r="17" spans="1:37" s="1304" customFormat="1" ht="18" customHeight="1">
      <c r="A17" s="928" t="s">
        <v>681</v>
      </c>
      <c r="B17" s="294" t="s">
        <v>716</v>
      </c>
      <c r="C17" s="21">
        <f ca="1">ROUND(F17*(F43+INDIRECT("'数据-取费表'!S"&amp;$G$1))/10000,0)</f>
        <v>51</v>
      </c>
      <c r="D17" s="294" t="s">
        <v>717</v>
      </c>
      <c r="E17" s="294" t="s">
        <v>718</v>
      </c>
      <c r="F17" s="23">
        <f>'数据-取费表'!B35</f>
        <v>200</v>
      </c>
      <c r="G17" s="1303"/>
      <c r="H17" s="928" t="s">
        <v>398</v>
      </c>
      <c r="I17" s="294" t="s">
        <v>719</v>
      </c>
      <c r="J17" s="2140">
        <f ca="1">ROUND(IF(AND(项目基本情况!B11="自然人",项目基本情况!B10="北京市"),J6*M17/(1+'数据-取费表'!C42),J18+J19+J20),2)</f>
        <v>0.87</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22</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1578</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47</v>
      </c>
      <c r="D20" s="315" t="s">
        <v>729</v>
      </c>
      <c r="E20" s="294" t="s">
        <v>712</v>
      </c>
      <c r="F20" s="314">
        <f>'数据-取费表'!B37</f>
        <v>0.03</v>
      </c>
      <c r="G20" s="1303"/>
      <c r="H20" s="928" t="s">
        <v>680</v>
      </c>
      <c r="I20" s="147" t="s">
        <v>730</v>
      </c>
      <c r="J20" s="22">
        <f ca="1">ROUND(M20*M21/10000,2)</f>
        <v>0.87</v>
      </c>
      <c r="K20" s="316" t="s">
        <v>731</v>
      </c>
      <c r="L20" s="294" t="s">
        <v>732</v>
      </c>
      <c r="M20" s="317">
        <f>'数据-取费表'!B52</f>
        <v>30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290.99</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11.29</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102</v>
      </c>
      <c r="D23" s="138" t="str">
        <f>IF(F23&lt;=1,"(建造成本+管理费用)×利率×(建设周期÷2)","(建造成本+管理费用)×((1+利率)^(建设周期÷2)-1)")</f>
        <v>(建造成本+管理费用)×((1+利率)^(建设周期÷2)-1)</v>
      </c>
      <c r="E23" s="294" t="s">
        <v>741</v>
      </c>
      <c r="F23" s="317">
        <f>'数据-取费表'!B20</f>
        <v>3</v>
      </c>
      <c r="G23" s="1303"/>
      <c r="H23" s="928" t="s">
        <v>437</v>
      </c>
      <c r="I23" s="294" t="s">
        <v>742</v>
      </c>
      <c r="J23" s="21">
        <f ca="1">ROUND(J13*M23,2)</f>
        <v>0</v>
      </c>
      <c r="K23" s="1256" t="s">
        <v>743</v>
      </c>
      <c r="L23" s="294" t="s">
        <v>712</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1.9E-3</v>
      </c>
      <c r="D24" s="138" t="str">
        <f>IF(F23&lt;=1,"销售费用×利率×(建设周期÷2)","销售费用×((1+利率)^(建设周期÷2)-1)")</f>
        <v>销售费用×((1+利率)^(建设周期÷2)-1)</v>
      </c>
      <c r="E24" s="294" t="s">
        <v>747</v>
      </c>
      <c r="F24" s="322">
        <f ca="1">'数据-取费表'!B40</f>
        <v>4.1499999999999995E-2</v>
      </c>
      <c r="G24" s="1303"/>
      <c r="H24" s="1026" t="s">
        <v>683</v>
      </c>
      <c r="I24" s="1027" t="s">
        <v>728</v>
      </c>
      <c r="J24" s="1028">
        <f ca="1">ROUND(J5*M24,2)</f>
        <v>0</v>
      </c>
      <c r="K24" s="1029" t="s">
        <v>748</v>
      </c>
      <c r="L24" s="1027" t="s">
        <v>712</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-12</v>
      </c>
      <c r="K25" s="1032" t="s">
        <v>753</v>
      </c>
      <c r="L25" s="1033"/>
      <c r="M25" s="1034"/>
    </row>
    <row r="26" spans="1:37">
      <c r="A26" s="928" t="s">
        <v>397</v>
      </c>
      <c r="B26" s="294" t="s">
        <v>754</v>
      </c>
      <c r="C26" s="21">
        <f ca="1">ROUND((C19+C20)*F26,0)</f>
        <v>325</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6.0000000000000001E-3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2258</v>
      </c>
      <c r="D29" s="1029"/>
      <c r="E29" s="1027"/>
      <c r="F29" s="1030"/>
      <c r="G29" s="1303"/>
      <c r="H29" s="325" t="s">
        <v>396</v>
      </c>
      <c r="I29" s="326" t="s">
        <v>768</v>
      </c>
      <c r="J29" s="327">
        <f ca="1">ROUND(J26/(1+F40)^F41,0)</f>
        <v>0</v>
      </c>
      <c r="K29" s="328" t="s">
        <v>769</v>
      </c>
      <c r="L29" s="329"/>
      <c r="M29" s="330">
        <f ca="1">INDIRECT("'数据-取费表'!k"&amp;$G$1)</f>
        <v>2539.2599999999998</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103</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84.68</v>
      </c>
      <c r="D31" s="1257" t="s">
        <v>720</v>
      </c>
      <c r="E31" s="1256" t="s">
        <v>770</v>
      </c>
      <c r="F31" s="2139" t="str">
        <f>IF(项目基本情况!B11="企业","——",IF(M47="住宅",IF(F6*F7*F8/12/(1+'数据-取费表'!F30)&gt;100000,4%,2.5%),IF(F6*F7*F8/12/(1+'数据-取费表'!F30)&gt;100000,12%,7%)))</f>
        <v>——</v>
      </c>
      <c r="G31" s="1292"/>
      <c r="H31" s="2568" t="s">
        <v>2305</v>
      </c>
      <c r="I31" s="1305"/>
      <c r="J31" s="1306"/>
      <c r="K31" s="121"/>
      <c r="L31" s="2470"/>
      <c r="M31" s="2471"/>
    </row>
    <row r="32" spans="1:37" ht="18" customHeight="1">
      <c r="A32" s="928" t="s">
        <v>397</v>
      </c>
      <c r="B32" s="294" t="s">
        <v>723</v>
      </c>
      <c r="C32" s="21">
        <f ca="1">IF(项目基本情况!B11="自然人","——",ROUND(C6*F32/(1+'数据-取费表'!C42),2))</f>
        <v>26.67</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57.14</v>
      </c>
      <c r="D33" s="1278" t="s">
        <v>3335</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IF(项目基本情况!B11="自然人","——",ROUND(F34*F35/10000,2))</f>
        <v>0.87</v>
      </c>
      <c r="D34" s="316" t="s">
        <v>731</v>
      </c>
      <c r="E34" s="294" t="s">
        <v>732</v>
      </c>
      <c r="F34" s="317">
        <f>'数据-取费表'!B52</f>
        <v>30</v>
      </c>
      <c r="G34" s="1292"/>
      <c r="H34" s="2469"/>
      <c r="I34" s="1305"/>
      <c r="J34" s="1306"/>
      <c r="K34" s="2474"/>
      <c r="L34" s="2475"/>
      <c r="M34" s="2475"/>
    </row>
    <row r="35" spans="1:18" ht="18" customHeight="1">
      <c r="A35" s="1040"/>
      <c r="B35" s="1038"/>
      <c r="C35" s="26"/>
      <c r="D35" s="319"/>
      <c r="E35" s="294" t="s">
        <v>736</v>
      </c>
      <c r="F35" s="295">
        <f ca="1">INDIRECT("'数据-取费表'!r"&amp;$G$1)</f>
        <v>290.99</v>
      </c>
      <c r="G35" s="1292"/>
      <c r="H35" s="2469"/>
      <c r="I35" s="1305"/>
      <c r="J35" s="1306"/>
      <c r="K35" s="2473"/>
      <c r="L35" s="2472"/>
      <c r="M35" s="2472"/>
    </row>
    <row r="36" spans="1:18" ht="18" customHeight="1">
      <c r="A36" s="1039" t="s">
        <v>402</v>
      </c>
      <c r="B36" s="294" t="s">
        <v>738</v>
      </c>
      <c r="C36" s="21">
        <f ca="1">ROUND(C29*F36,2)</f>
        <v>11.29</v>
      </c>
      <c r="D36" s="1256" t="s">
        <v>771</v>
      </c>
      <c r="E36" s="294" t="s">
        <v>712</v>
      </c>
      <c r="F36" s="320">
        <f ca="1">INDIRECT("'数据-取费表'!Ak"&amp;$G$1)</f>
        <v>5.0000000000000001E-3</v>
      </c>
      <c r="G36" s="1292"/>
      <c r="H36" s="2472"/>
      <c r="I36" s="1305"/>
      <c r="J36" s="1306"/>
      <c r="K36" s="2329"/>
      <c r="L36" s="2472"/>
      <c r="M36" s="2472"/>
    </row>
    <row r="37" spans="1:18" ht="18" customHeight="1">
      <c r="A37" s="928" t="s">
        <v>437</v>
      </c>
      <c r="B37" s="294" t="s">
        <v>742</v>
      </c>
      <c r="C37" s="21">
        <f ca="1">ROUND(C13*F37,2)</f>
        <v>1.92</v>
      </c>
      <c r="D37" s="1256" t="s">
        <v>743</v>
      </c>
      <c r="E37" s="294" t="s">
        <v>712</v>
      </c>
      <c r="F37" s="321">
        <f ca="1">INDIRECT("'数据-取费表'!Al"&amp;$G$1)</f>
        <v>1E-3</v>
      </c>
      <c r="G37" s="1292"/>
      <c r="H37" s="2472"/>
      <c r="I37" s="1305"/>
      <c r="J37" s="1306"/>
      <c r="K37" s="2329"/>
      <c r="L37" s="2472"/>
      <c r="M37" s="2472"/>
    </row>
    <row r="38" spans="1:18" ht="18" customHeight="1" thickBot="1">
      <c r="A38" s="1026" t="s">
        <v>683</v>
      </c>
      <c r="B38" s="1027" t="s">
        <v>728</v>
      </c>
      <c r="C38" s="1028">
        <f ca="1">ROUND(C5*F38,2)</f>
        <v>5.01</v>
      </c>
      <c r="D38" s="1029" t="s">
        <v>748</v>
      </c>
      <c r="E38" s="1027" t="s">
        <v>712</v>
      </c>
      <c r="F38" s="1023">
        <f ca="1">INDIRECT("'数据-取费表'!Am"&amp;$G$1)</f>
        <v>0.01</v>
      </c>
      <c r="G38" s="1292"/>
      <c r="H38" s="2472"/>
      <c r="I38" s="1305"/>
      <c r="J38" s="1306"/>
      <c r="K38" s="2470"/>
      <c r="L38" s="2472"/>
      <c r="M38" s="2472"/>
    </row>
    <row r="39" spans="1:18" ht="24.6" customHeight="1" thickTop="1">
      <c r="A39" s="1016" t="s">
        <v>394</v>
      </c>
      <c r="B39" s="1031" t="s">
        <v>752</v>
      </c>
      <c r="C39" s="302">
        <f ca="1">C5-C30</f>
        <v>398</v>
      </c>
      <c r="D39" s="1032" t="s">
        <v>753</v>
      </c>
      <c r="E39" s="1033"/>
      <c r="F39" s="1034"/>
      <c r="G39" s="1292"/>
      <c r="H39" s="2472"/>
      <c r="I39" s="1305"/>
      <c r="J39" s="1306"/>
      <c r="K39" s="2470"/>
      <c r="L39" s="2472"/>
      <c r="M39" s="2472"/>
    </row>
    <row r="40" spans="1:18" ht="18" customHeight="1">
      <c r="A40" s="291" t="s">
        <v>395</v>
      </c>
      <c r="B40" s="292" t="s">
        <v>774</v>
      </c>
      <c r="C40" s="293">
        <f ca="1">ROUND(C39*(1-((1+F42)/(1+F40))^F41)/(F40-F42),0)</f>
        <v>3618</v>
      </c>
      <c r="D40" s="316" t="s">
        <v>758</v>
      </c>
      <c r="E40" s="294" t="s">
        <v>759</v>
      </c>
      <c r="F40" s="304">
        <f ca="1">INDIRECT("'数据-取费表'!I"&amp;$G$1)</f>
        <v>5.5E-2</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10.75</v>
      </c>
      <c r="G41" s="1292"/>
      <c r="H41" s="121"/>
      <c r="I41" s="1305"/>
      <c r="J41" s="1306"/>
      <c r="K41" s="2329"/>
      <c r="L41" s="121"/>
      <c r="M41" s="121"/>
    </row>
    <row r="42" spans="1:18" ht="18" customHeight="1">
      <c r="A42" s="300"/>
      <c r="B42" s="301"/>
      <c r="C42" s="302"/>
      <c r="D42" s="319"/>
      <c r="E42" s="294" t="s">
        <v>766</v>
      </c>
      <c r="F42" s="304">
        <f ca="1">INDIRECT("'数据-取费表'!v"&amp;$G$1)</f>
        <v>0.03</v>
      </c>
      <c r="G42" s="1292"/>
      <c r="H42" s="121"/>
      <c r="I42" s="1305"/>
      <c r="J42" s="1306"/>
      <c r="K42" s="2329"/>
      <c r="L42" s="121"/>
      <c r="M42" s="121"/>
    </row>
    <row r="43" spans="1:18" ht="18" customHeight="1" thickBot="1">
      <c r="A43" s="325" t="s">
        <v>396</v>
      </c>
      <c r="B43" s="326" t="s">
        <v>776</v>
      </c>
      <c r="C43" s="327">
        <f ca="1">ROUND(C40*10000/F43,0)</f>
        <v>14248</v>
      </c>
      <c r="D43" s="328" t="s">
        <v>777</v>
      </c>
      <c r="E43" s="329" t="s">
        <v>778</v>
      </c>
      <c r="F43" s="330">
        <f ca="1">INDIRECT("'数据-取费表'!k"&amp;$G$1)</f>
        <v>2539.2599999999998</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5" thickBot="1">
      <c r="A46" s="1311" t="s">
        <v>809</v>
      </c>
      <c r="C46" s="1312">
        <f ca="1">C68-C40</f>
        <v>-3729</v>
      </c>
      <c r="D46" s="1313" t="str">
        <f>C2</f>
        <v>万元</v>
      </c>
      <c r="E46" s="1307"/>
      <c r="F46" s="1307"/>
      <c r="I46" s="1314" t="s">
        <v>810</v>
      </c>
      <c r="J46" s="1315"/>
      <c r="K46" s="1316"/>
      <c r="L46" s="1317">
        <f ca="1">IF(M47="住宅",0,IF(L48&gt;J51,L60,J60))</f>
        <v>415</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3412</v>
      </c>
      <c r="K47" s="1323" t="s">
        <v>816</v>
      </c>
      <c r="L47" s="1324">
        <f ca="1">INDIRECT("'数据-取费表'!d"&amp;$G$1)</f>
        <v>40</v>
      </c>
      <c r="M47" s="1288" t="str">
        <f>IF(ISNUMBER(FIND("住宅",C1)),"住宅","非住宅")</f>
        <v>非住宅</v>
      </c>
      <c r="O47" s="1325" t="s">
        <v>403</v>
      </c>
      <c r="P47" s="1326" t="s">
        <v>817</v>
      </c>
      <c r="Q47" s="1327">
        <f ca="1">C40+J29</f>
        <v>3618</v>
      </c>
      <c r="R47" s="1327" t="s">
        <v>818</v>
      </c>
    </row>
    <row r="48" spans="1:18" s="1292" customFormat="1" ht="28.5" thickBot="1">
      <c r="A48" s="1047" t="s">
        <v>438</v>
      </c>
      <c r="B48" s="292" t="s">
        <v>692</v>
      </c>
      <c r="C48" s="1268">
        <f ca="1">C49+C53+C55</f>
        <v>0</v>
      </c>
      <c r="D48" s="1049"/>
      <c r="E48" s="1050"/>
      <c r="F48" s="908"/>
      <c r="G48" s="681"/>
      <c r="H48" s="682"/>
      <c r="I48" s="1328" t="s">
        <v>819</v>
      </c>
      <c r="J48" s="1329" t="s">
        <v>3413</v>
      </c>
      <c r="K48" s="1330" t="s">
        <v>820</v>
      </c>
      <c r="L48" s="1331">
        <f ca="1">INDIRECT("'数据-取费表'!f"&amp;$G$1)</f>
        <v>10.75</v>
      </c>
      <c r="O48" s="1325" t="s">
        <v>404</v>
      </c>
      <c r="P48" s="1326" t="s">
        <v>821</v>
      </c>
      <c r="Q48" s="1327">
        <f ca="1">J60</f>
        <v>415</v>
      </c>
      <c r="R48" s="1327" t="s">
        <v>822</v>
      </c>
    </row>
    <row r="49" spans="1:18" s="1292" customFormat="1" ht="13.5" thickBot="1">
      <c r="A49" s="921" t="s">
        <v>439</v>
      </c>
      <c r="B49" s="1279" t="s">
        <v>779</v>
      </c>
      <c r="C49" s="1051">
        <f ca="1">ROUND(F49*F51*F50*(1-F52)/10000,0)</f>
        <v>0</v>
      </c>
      <c r="D49" s="992" t="s">
        <v>2107</v>
      </c>
      <c r="E49" s="1280" t="s">
        <v>780</v>
      </c>
      <c r="F49" s="997"/>
      <c r="H49" s="682"/>
      <c r="I49" s="1328" t="s">
        <v>823</v>
      </c>
      <c r="J49" s="1332">
        <v>1996</v>
      </c>
      <c r="K49" s="1330" t="s">
        <v>824</v>
      </c>
      <c r="L49" s="1333"/>
      <c r="O49" s="1334" t="s">
        <v>405</v>
      </c>
      <c r="P49" s="1326" t="s">
        <v>825</v>
      </c>
      <c r="Q49" s="1327">
        <f ca="1">C29</f>
        <v>2258</v>
      </c>
      <c r="R49" s="1327" t="s">
        <v>818</v>
      </c>
    </row>
    <row r="50" spans="1:18" s="1292" customFormat="1" ht="13.5" thickBot="1">
      <c r="A50" s="922"/>
      <c r="B50" s="925"/>
      <c r="C50" s="1055"/>
      <c r="D50" s="899"/>
      <c r="E50" s="993" t="s">
        <v>697</v>
      </c>
      <c r="F50" s="994">
        <f ca="1">F7</f>
        <v>2539.2599999999998</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33</v>
      </c>
      <c r="K51" s="1339" t="s">
        <v>830</v>
      </c>
      <c r="L51" s="1340">
        <f ca="1">ROUND(-PV(INDIRECT("'数据-取费表'!h"&amp;$G$1),J51,(C39-C13*C76),0),0)</f>
        <v>4219</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10.75</v>
      </c>
      <c r="R52" s="1327" t="s">
        <v>835</v>
      </c>
    </row>
    <row r="53" spans="1:18" s="1292" customFormat="1" ht="24.75" thickBot="1">
      <c r="A53" s="1079" t="s">
        <v>440</v>
      </c>
      <c r="B53" s="1281" t="s">
        <v>700</v>
      </c>
      <c r="C53" s="308">
        <f ca="1">ROUND(IF(F53="押一",C49/12*F11,IF(F53="押二",C49/12*2*F11,IF(F53="押三",C49/12*3*F11,C54*F11))),0)</f>
        <v>0</v>
      </c>
      <c r="D53" s="150" t="s">
        <v>2115</v>
      </c>
      <c r="E53" s="305" t="s">
        <v>701</v>
      </c>
      <c r="F53" s="1053"/>
      <c r="I53" s="1344" t="s">
        <v>836</v>
      </c>
      <c r="J53" s="2006">
        <f ca="1">IF(M47="住宅",IF(D1="——",MAX(J51,L48),MAX(J51,L48-'数据-取费表'!B24)),IF(D1="——",MIN(J51,L48),MIN(J51,L48-'数据-取费表'!B24)))</f>
        <v>10.75</v>
      </c>
      <c r="K53" s="3411" t="s">
        <v>837</v>
      </c>
      <c r="L53" s="3412"/>
      <c r="O53" s="1325" t="s">
        <v>409</v>
      </c>
      <c r="P53" s="1326" t="s">
        <v>838</v>
      </c>
      <c r="Q53" s="1327">
        <f ca="1">Q47+Q48</f>
        <v>4033</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0.371</v>
      </c>
      <c r="K55" s="1350" t="s">
        <v>841</v>
      </c>
      <c r="L55" s="1351"/>
      <c r="O55" s="1318" t="s">
        <v>811</v>
      </c>
      <c r="P55" s="1319" t="s">
        <v>812</v>
      </c>
      <c r="Q55" s="1320" t="s">
        <v>813</v>
      </c>
      <c r="R55" s="1320" t="s">
        <v>814</v>
      </c>
    </row>
    <row r="56" spans="1:18" s="1292" customFormat="1" ht="25.5" thickTop="1" thickBot="1">
      <c r="A56" s="903">
        <v>2</v>
      </c>
      <c r="B56" s="904" t="s">
        <v>704</v>
      </c>
      <c r="C56" s="224">
        <f ca="1">C13</f>
        <v>1919</v>
      </c>
      <c r="D56" s="1352"/>
      <c r="E56" s="1353"/>
      <c r="F56" s="1345"/>
      <c r="I56" s="1354" t="s">
        <v>842</v>
      </c>
      <c r="J56" s="1355" t="s">
        <v>3381</v>
      </c>
      <c r="K56" s="1328" t="s">
        <v>843</v>
      </c>
      <c r="L56" s="1331" t="str">
        <f ca="1">IF(L48&lt;J51,"——",L48-J53)</f>
        <v>——</v>
      </c>
      <c r="O56" s="1325" t="s">
        <v>403</v>
      </c>
      <c r="P56" s="1326" t="s">
        <v>817</v>
      </c>
      <c r="Q56" s="1327">
        <f ca="1">C40+J29</f>
        <v>3618</v>
      </c>
      <c r="R56" s="1327" t="s">
        <v>818</v>
      </c>
    </row>
    <row r="57" spans="1:18" s="1292" customFormat="1" ht="24.75" thickBot="1">
      <c r="A57" s="1356"/>
      <c r="B57" s="896" t="s">
        <v>767</v>
      </c>
      <c r="C57" s="230">
        <f ca="1">C29</f>
        <v>2258</v>
      </c>
      <c r="D57" s="1357"/>
      <c r="E57" s="1358"/>
      <c r="F57" s="1359"/>
      <c r="I57" s="1360" t="s">
        <v>844</v>
      </c>
      <c r="J57" s="1361">
        <f ca="1">IF(OR(M47="住宅",J51&lt;L48,J56="是"),"——",J51-L48)</f>
        <v>22.25</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14</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1</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903</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415</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727</v>
      </c>
      <c r="C61" s="21">
        <f ca="1">IF(项目基本情况!B11="自然人","——",IF(D61="按租金收入计税",ROUND(C49*F61/(1+'数据-取费表'!C42),2),IF(D61="按房产原值计税",ROUND(C57*F61*0.7,2),INDIRECT("'数据-取费表'!Aj"&amp;$G$1))))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730</v>
      </c>
      <c r="C62" s="22">
        <f ca="1">IF(项目基本情况!B11="自然人","——",ROUND(F62*F63/10000,2))</f>
        <v>0.87</v>
      </c>
      <c r="D62" s="911" t="s">
        <v>786</v>
      </c>
      <c r="E62" s="896" t="s">
        <v>732</v>
      </c>
      <c r="F62" s="317">
        <f t="shared" si="0"/>
        <v>30</v>
      </c>
      <c r="I62" s="1367" t="s">
        <v>858</v>
      </c>
      <c r="J62" s="610" t="s">
        <v>859</v>
      </c>
      <c r="K62" s="610" t="s">
        <v>860</v>
      </c>
      <c r="L62" s="610" t="s">
        <v>861</v>
      </c>
      <c r="M62" s="1368" t="s">
        <v>862</v>
      </c>
      <c r="O62" s="1325" t="s">
        <v>409</v>
      </c>
      <c r="P62" s="1326" t="s">
        <v>863</v>
      </c>
      <c r="Q62" s="1327">
        <f ca="1">Q56+Q57</f>
        <v>3618</v>
      </c>
      <c r="R62" s="1327" t="s">
        <v>410</v>
      </c>
    </row>
    <row r="63" spans="1:18" s="1292" customFormat="1" ht="13.5" thickBot="1">
      <c r="A63" s="318"/>
      <c r="B63" s="902"/>
      <c r="C63" s="26"/>
      <c r="D63" s="912"/>
      <c r="E63" s="896" t="s">
        <v>736</v>
      </c>
      <c r="F63" s="295">
        <f t="shared" ca="1" si="0"/>
        <v>290.99</v>
      </c>
      <c r="I63" s="1367" t="s">
        <v>864</v>
      </c>
      <c r="J63" s="610">
        <v>70</v>
      </c>
      <c r="K63" s="610">
        <v>50</v>
      </c>
      <c r="L63" s="610">
        <v>80</v>
      </c>
      <c r="M63" s="1369">
        <v>0.02</v>
      </c>
      <c r="O63" s="1310" t="s">
        <v>865</v>
      </c>
      <c r="P63" s="1289"/>
      <c r="Q63" s="1289"/>
      <c r="R63" s="1289"/>
    </row>
    <row r="64" spans="1:18" s="1292" customFormat="1" ht="13.5" thickBot="1">
      <c r="A64" s="928" t="s">
        <v>789</v>
      </c>
      <c r="B64" s="896" t="s">
        <v>738</v>
      </c>
      <c r="C64" s="21">
        <f ca="1">ROUND(C57*F64,2)</f>
        <v>11.29</v>
      </c>
      <c r="D64" s="910" t="s">
        <v>771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1.92</v>
      </c>
      <c r="D65" s="910" t="s">
        <v>743</v>
      </c>
      <c r="E65" s="896" t="s">
        <v>712</v>
      </c>
      <c r="F65" s="321">
        <f t="shared" ca="1" si="0"/>
        <v>1E-3</v>
      </c>
      <c r="I65" s="1367" t="s">
        <v>867</v>
      </c>
      <c r="J65" s="610">
        <v>40</v>
      </c>
      <c r="K65" s="610">
        <v>30</v>
      </c>
      <c r="L65" s="610">
        <v>50</v>
      </c>
      <c r="M65" s="1369">
        <v>0.02</v>
      </c>
      <c r="O65" s="1325" t="s">
        <v>403</v>
      </c>
      <c r="P65" s="1326" t="s">
        <v>868</v>
      </c>
      <c r="Q65" s="1327">
        <f ca="1">C40+J29</f>
        <v>3618</v>
      </c>
      <c r="R65" s="1327" t="s">
        <v>818</v>
      </c>
    </row>
    <row r="66" spans="1:18" s="1292" customFormat="1" ht="16.5" thickBot="1">
      <c r="A66" s="928" t="s">
        <v>793</v>
      </c>
      <c r="B66" s="896" t="s">
        <v>728</v>
      </c>
      <c r="C66" s="21">
        <f ca="1">ROUND(C48*F66,2)</f>
        <v>0</v>
      </c>
      <c r="D66" s="910" t="s">
        <v>748</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-14</v>
      </c>
      <c r="D67" s="909" t="s">
        <v>753</v>
      </c>
      <c r="E67" s="914"/>
      <c r="F67" s="915"/>
      <c r="O67" s="1334" t="s">
        <v>405</v>
      </c>
      <c r="P67" s="1326" t="s">
        <v>850</v>
      </c>
      <c r="Q67" s="1370">
        <f ca="1">L51</f>
        <v>4219</v>
      </c>
      <c r="R67" s="1327" t="s">
        <v>870</v>
      </c>
    </row>
    <row r="68" spans="1:18" s="1292" customFormat="1" ht="16.5" thickBot="1">
      <c r="A68" s="893" t="s">
        <v>395</v>
      </c>
      <c r="B68" s="894" t="s">
        <v>774</v>
      </c>
      <c r="C68" s="293">
        <f ca="1">ROUND(C67*(1-((1+F70)/(1+F68))^F69)/(F68-F70),0)</f>
        <v>-111</v>
      </c>
      <c r="D68" s="911" t="s">
        <v>758</v>
      </c>
      <c r="E68" s="896" t="s">
        <v>759</v>
      </c>
      <c r="F68" s="304">
        <f ca="1">F40</f>
        <v>5.5E-2</v>
      </c>
      <c r="O68" s="1334" t="s">
        <v>406</v>
      </c>
      <c r="P68" s="1371" t="s">
        <v>871</v>
      </c>
      <c r="Q68" s="1327">
        <f ca="1">ROUND(Q69-Q70*Q71,0)</f>
        <v>264</v>
      </c>
      <c r="R68" s="1327" t="s">
        <v>414</v>
      </c>
    </row>
    <row r="69" spans="1:18" s="1292" customFormat="1" ht="13.5" thickBot="1">
      <c r="A69" s="897"/>
      <c r="B69" s="898"/>
      <c r="C69" s="298"/>
      <c r="D69" s="916" t="s">
        <v>762</v>
      </c>
      <c r="E69" s="896" t="s">
        <v>763</v>
      </c>
      <c r="F69" s="324">
        <f ca="1">F41</f>
        <v>10.75</v>
      </c>
      <c r="O69" s="1334" t="s">
        <v>411</v>
      </c>
      <c r="P69" s="1371" t="s">
        <v>872</v>
      </c>
      <c r="Q69" s="1327">
        <f ca="1">C39</f>
        <v>398</v>
      </c>
      <c r="R69" s="1327" t="s">
        <v>818</v>
      </c>
    </row>
    <row r="70" spans="1:18" s="1292" customFormat="1" ht="13.5" thickBot="1">
      <c r="A70" s="900"/>
      <c r="B70" s="901"/>
      <c r="C70" s="302"/>
      <c r="D70" s="912"/>
      <c r="E70" s="896" t="s">
        <v>766</v>
      </c>
      <c r="F70" s="991"/>
      <c r="O70" s="1334" t="s">
        <v>412</v>
      </c>
      <c r="P70" s="1371" t="s">
        <v>873</v>
      </c>
      <c r="Q70" s="1327">
        <f ca="1">C13</f>
        <v>1919</v>
      </c>
      <c r="R70" s="1327" t="s">
        <v>818</v>
      </c>
    </row>
    <row r="71" spans="1:18" s="1292" customFormat="1" ht="13.5" thickBot="1">
      <c r="A71" s="917" t="s">
        <v>396</v>
      </c>
      <c r="B71" s="918" t="s">
        <v>776</v>
      </c>
      <c r="C71" s="327">
        <f ca="1">ROUND(C68*10000/F71,0)</f>
        <v>-437</v>
      </c>
      <c r="D71" s="919" t="s">
        <v>777</v>
      </c>
      <c r="E71" s="920" t="s">
        <v>778</v>
      </c>
      <c r="F71" s="330">
        <f ca="1">F43</f>
        <v>2539.2599999999998</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134</v>
      </c>
      <c r="D75" s="1292"/>
      <c r="E75" s="1292"/>
      <c r="F75" s="1292"/>
      <c r="K75" s="1309"/>
      <c r="L75" s="1292"/>
      <c r="O75" s="1325" t="s">
        <v>409</v>
      </c>
      <c r="P75" s="1326" t="s">
        <v>838</v>
      </c>
      <c r="Q75" s="1327">
        <f ca="1">Q65+Q66</f>
        <v>3618</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0.66300000000000003</v>
      </c>
    </row>
    <row r="80" spans="1:18">
      <c r="B80" s="331" t="s">
        <v>800</v>
      </c>
      <c r="C80" s="266">
        <f ca="1">ROUND(C75/C39,3)</f>
        <v>0.33700000000000002</v>
      </c>
    </row>
    <row r="81" spans="2:3">
      <c r="B81" s="262" t="s">
        <v>801</v>
      </c>
      <c r="C81" s="230"/>
    </row>
    <row r="82" spans="2:3">
      <c r="B82" s="265" t="s">
        <v>802</v>
      </c>
      <c r="C82" s="267">
        <f ca="1">1-C83</f>
        <v>0.47</v>
      </c>
    </row>
    <row r="83" spans="2:3">
      <c r="B83" s="265" t="s">
        <v>803</v>
      </c>
      <c r="C83" s="266">
        <f ca="1">ROUND(C13/C40,3)</f>
        <v>0.53</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30" priority="3">
      <formula>$F$10="自定义"</formula>
    </cfRule>
  </conditionalFormatting>
  <conditionalFormatting sqref="C54">
    <cfRule type="expression" dxfId="129" priority="1">
      <formula>$F$53="自定义"</formula>
    </cfRule>
  </conditionalFormatting>
  <conditionalFormatting sqref="I55 I60">
    <cfRule type="expression" dxfId="128" priority="5">
      <formula>$J$51&gt;$L$48</formula>
    </cfRule>
  </conditionalFormatting>
  <conditionalFormatting sqref="J11">
    <cfRule type="expression" dxfId="127" priority="2">
      <formula>$M$10="自定义"</formula>
    </cfRule>
  </conditionalFormatting>
  <conditionalFormatting sqref="K55 K60">
    <cfRule type="expression" dxfId="126"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Normal="70" zoomScaleSheetLayoutView="100" workbookViewId="0">
      <selection activeCell="J22" sqref="J22:J2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3457</v>
      </c>
      <c r="D1" s="1271" t="s">
        <v>43</v>
      </c>
      <c r="E1" s="1272" t="s">
        <v>678</v>
      </c>
      <c r="F1" s="999">
        <f ca="1">J53</f>
        <v>10.75</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4170</v>
      </c>
      <c r="C2" s="1289" t="s">
        <v>805</v>
      </c>
      <c r="D2" s="1289"/>
      <c r="E2" s="1295"/>
      <c r="F2" s="1296"/>
      <c r="G2" s="2477"/>
      <c r="H2" s="2467"/>
      <c r="I2" s="2467"/>
      <c r="J2" s="2467"/>
      <c r="K2" s="2468"/>
      <c r="L2" s="2467"/>
      <c r="M2" s="2467"/>
    </row>
    <row r="3" spans="1:37" ht="18" customHeight="1" thickBot="1">
      <c r="A3" s="1297" t="s">
        <v>806</v>
      </c>
      <c r="B3" s="1298">
        <f ca="1">IF(ISERROR(B2*10000/F43),0,ROUND(B2*10000/F43,0))</f>
        <v>10403</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462</v>
      </c>
      <c r="D5" s="1273" t="s">
        <v>693</v>
      </c>
      <c r="E5" s="1008"/>
      <c r="F5" s="1009"/>
      <c r="G5" s="1292"/>
      <c r="H5" s="291">
        <v>1</v>
      </c>
      <c r="I5" s="292" t="s">
        <v>692</v>
      </c>
      <c r="J5" s="1007">
        <f ca="1">J6+J10+J12</f>
        <v>1011</v>
      </c>
      <c r="K5" s="1273" t="s">
        <v>693</v>
      </c>
      <c r="L5" s="1008"/>
      <c r="M5" s="1009"/>
    </row>
    <row r="6" spans="1:37" ht="18" customHeight="1">
      <c r="A6" s="1006" t="s">
        <v>398</v>
      </c>
      <c r="B6" s="3408" t="s">
        <v>694</v>
      </c>
      <c r="C6" s="1011">
        <f ca="1">ROUND(F6*F8*F7*(1-F9)/10000,0)</f>
        <v>461</v>
      </c>
      <c r="D6" s="147" t="s">
        <v>2108</v>
      </c>
      <c r="E6" s="294" t="s">
        <v>696</v>
      </c>
      <c r="F6" s="295">
        <f ca="1">INDIRECT("'数据-取费表'!u"&amp;$G$1)</f>
        <v>3.15</v>
      </c>
      <c r="G6" s="1292"/>
      <c r="H6" s="1006" t="s">
        <v>398</v>
      </c>
      <c r="I6" s="3408" t="s">
        <v>694</v>
      </c>
      <c r="J6" s="293">
        <f ca="1">ROUND(M6*M8*M7*(1-M9)/10000,0)</f>
        <v>1010</v>
      </c>
      <c r="K6" s="147" t="s">
        <v>2107</v>
      </c>
      <c r="L6" s="294" t="s">
        <v>696</v>
      </c>
      <c r="M6" s="295">
        <f ca="1">INDIRECT("'数据-取费表'!z"&amp;$G$1)</f>
        <v>7.67</v>
      </c>
    </row>
    <row r="7" spans="1:37" ht="18" customHeight="1">
      <c r="A7" s="1010"/>
      <c r="B7" s="3409"/>
      <c r="C7" s="1012"/>
      <c r="D7" s="299"/>
      <c r="E7" s="1013" t="s">
        <v>697</v>
      </c>
      <c r="F7" s="295">
        <f ca="1">IF(INDIRECT("'数据-取费表'!ah"&amp;$G$1)="",INDIRECT("'数据-取费表'!k"&amp;$G$1),INDIRECT("'数据-取费表'!ah"&amp;$G$1))</f>
        <v>4008.57</v>
      </c>
      <c r="G7" s="1292"/>
      <c r="H7" s="296"/>
      <c r="I7" s="3409"/>
      <c r="J7" s="298"/>
      <c r="K7" s="299"/>
      <c r="L7" s="294" t="s">
        <v>697</v>
      </c>
      <c r="M7" s="295">
        <f ca="1">F7</f>
        <v>4008.57</v>
      </c>
    </row>
    <row r="8" spans="1:37" ht="18" customHeight="1">
      <c r="A8" s="296"/>
      <c r="B8" s="3409"/>
      <c r="C8" s="298"/>
      <c r="D8" s="299"/>
      <c r="E8" s="294" t="s">
        <v>698</v>
      </c>
      <c r="F8" s="295">
        <f ca="1">INDIRECT("'数据-取费表'!ai"&amp;$G$1)</f>
        <v>365</v>
      </c>
      <c r="G8" s="1292"/>
      <c r="H8" s="296"/>
      <c r="I8" s="3409"/>
      <c r="J8" s="298"/>
      <c r="K8" s="299"/>
      <c r="L8" s="294" t="s">
        <v>698</v>
      </c>
      <c r="M8" s="295">
        <f ca="1">INDIRECT("'数据-取费表'!ai"&amp;$G$1)</f>
        <v>365</v>
      </c>
    </row>
    <row r="9" spans="1:37" ht="18" customHeight="1">
      <c r="A9" s="296"/>
      <c r="B9" s="3410"/>
      <c r="C9" s="298"/>
      <c r="D9" s="299"/>
      <c r="E9" s="294" t="s">
        <v>699</v>
      </c>
      <c r="F9" s="304">
        <f ca="1">INDIRECT("'数据-取费表'!w"&amp;$G$1)</f>
        <v>0</v>
      </c>
      <c r="G9" s="1292"/>
      <c r="H9" s="296"/>
      <c r="I9" s="3410"/>
      <c r="J9" s="298"/>
      <c r="K9" s="299"/>
      <c r="L9" s="305" t="s">
        <v>699</v>
      </c>
      <c r="M9" s="306">
        <f ca="1">INDIRECT("'数据-取费表'!ab"&amp;$G$1)</f>
        <v>0.1</v>
      </c>
    </row>
    <row r="10" spans="1:37" ht="18" customHeight="1">
      <c r="A10" s="1006" t="s">
        <v>402</v>
      </c>
      <c r="B10" s="1274" t="s">
        <v>700</v>
      </c>
      <c r="C10" s="308">
        <f ca="1">ROUND(IF(F10="押一",C6/12*F11,IF(F10="押二",C6/12*2*F11,IF(F10="押三",C6/12*3*F11,C11*F11))),0)</f>
        <v>1</v>
      </c>
      <c r="D10" s="150" t="s">
        <v>2116</v>
      </c>
      <c r="E10" s="305" t="s">
        <v>701</v>
      </c>
      <c r="F10" s="1053" t="s">
        <v>3411</v>
      </c>
      <c r="G10" s="1292"/>
      <c r="H10" s="1006" t="s">
        <v>402</v>
      </c>
      <c r="I10" s="1274" t="s">
        <v>700</v>
      </c>
      <c r="J10" s="293">
        <f ca="1">ROUND(IF(M10="押一",J6/12*M11,IF(M10="押二",J6/12*2*M11,IF(M10="押三",J6/12*3*M11,J11*M11))),0)</f>
        <v>1</v>
      </c>
      <c r="K10" s="150" t="s">
        <v>2115</v>
      </c>
      <c r="L10" s="305" t="s">
        <v>701</v>
      </c>
      <c r="M10" s="1053" t="s">
        <v>3411</v>
      </c>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3030</v>
      </c>
      <c r="D13" s="1018" t="s">
        <v>705</v>
      </c>
      <c r="E13" s="1018" t="s">
        <v>706</v>
      </c>
      <c r="F13" s="1019">
        <f ca="1">INDIRECT("'数据-取费表'!y"&amp;$G$1)</f>
        <v>0.85</v>
      </c>
      <c r="G13" s="1292"/>
      <c r="H13" s="1016">
        <v>2</v>
      </c>
      <c r="I13" s="1017" t="s">
        <v>704</v>
      </c>
      <c r="J13" s="1005">
        <f ca="1">ROUND(J14*J15,0)</f>
        <v>2674</v>
      </c>
      <c r="K13" s="1024" t="s">
        <v>705</v>
      </c>
      <c r="L13" s="1299"/>
      <c r="M13" s="1300"/>
    </row>
    <row r="14" spans="1:37" ht="18" customHeight="1">
      <c r="A14" s="928" t="s">
        <v>397</v>
      </c>
      <c r="B14" s="294" t="s">
        <v>707</v>
      </c>
      <c r="C14" s="310">
        <f ca="1">INDIRECT("'数据-取费表'!m"&amp;$G$1)+INDIRECT("'数据-取费表'!t"&amp;$G$1)</f>
        <v>2285</v>
      </c>
      <c r="D14" s="1257" t="s">
        <v>708</v>
      </c>
      <c r="E14" s="1255"/>
      <c r="F14" s="311"/>
      <c r="G14" s="1292"/>
      <c r="H14" s="928" t="s">
        <v>398</v>
      </c>
      <c r="I14" s="294" t="s">
        <v>709</v>
      </c>
      <c r="J14" s="21">
        <f ca="1">C29</f>
        <v>3565</v>
      </c>
      <c r="K14" s="12"/>
      <c r="L14" s="759"/>
      <c r="M14" s="760"/>
    </row>
    <row r="15" spans="1:37" s="1304" customFormat="1" ht="18" customHeight="1" thickBot="1">
      <c r="A15" s="928" t="s">
        <v>399</v>
      </c>
      <c r="B15" s="294" t="s">
        <v>710</v>
      </c>
      <c r="C15" s="21">
        <f ca="1">ROUND(C14*F15,0)</f>
        <v>91</v>
      </c>
      <c r="D15" s="312" t="s">
        <v>711</v>
      </c>
      <c r="E15" s="312" t="s">
        <v>712</v>
      </c>
      <c r="F15" s="313">
        <f>'数据-取费表'!B33</f>
        <v>0.04</v>
      </c>
      <c r="G15" s="1303"/>
      <c r="H15" s="1026" t="s">
        <v>402</v>
      </c>
      <c r="I15" s="1027" t="s">
        <v>706</v>
      </c>
      <c r="J15" s="1036">
        <f ca="1">INDIRECT("'数据-取费表'!ad"&amp;$G$1)</f>
        <v>0.75</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201</v>
      </c>
      <c r="K16" s="1024" t="s">
        <v>715</v>
      </c>
      <c r="L16" s="1025"/>
      <c r="M16" s="1009"/>
    </row>
    <row r="17" spans="1:37" s="1304" customFormat="1" ht="18" customHeight="1">
      <c r="A17" s="928" t="s">
        <v>681</v>
      </c>
      <c r="B17" s="294" t="s">
        <v>716</v>
      </c>
      <c r="C17" s="21">
        <f ca="1">ROUND(F17*(F43+INDIRECT("'数据-取费表'!S"&amp;$G$1))/10000,0)</f>
        <v>80</v>
      </c>
      <c r="D17" s="294" t="s">
        <v>717</v>
      </c>
      <c r="E17" s="294" t="s">
        <v>718</v>
      </c>
      <c r="F17" s="23">
        <f>'数据-取费表'!B35</f>
        <v>200</v>
      </c>
      <c r="G17" s="1303"/>
      <c r="H17" s="928" t="s">
        <v>398</v>
      </c>
      <c r="I17" s="294" t="s">
        <v>719</v>
      </c>
      <c r="J17" s="2140">
        <f ca="1">ROUND(IF(AND(项目基本情况!B11="自然人",项目基本情况!B10="北京市"),J6*M17/(1+'数据-取费表'!C42),J18+J19+J20),2)</f>
        <v>170.68</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34</v>
      </c>
      <c r="D18" s="294" t="s">
        <v>711</v>
      </c>
      <c r="E18" s="294" t="s">
        <v>712</v>
      </c>
      <c r="F18" s="314">
        <f>'数据-取费表'!B36</f>
        <v>1.4999999999999999E-2</v>
      </c>
      <c r="G18" s="1303"/>
      <c r="H18" s="928" t="s">
        <v>397</v>
      </c>
      <c r="I18" s="294" t="s">
        <v>723</v>
      </c>
      <c r="J18" s="21">
        <f ca="1">ROUND(J6*M18/(1+'数据-取费表'!C42),2)</f>
        <v>53.87</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2490</v>
      </c>
      <c r="D19" s="123" t="s">
        <v>726</v>
      </c>
      <c r="E19" s="1269"/>
      <c r="F19" s="23"/>
      <c r="G19" s="1292"/>
      <c r="H19" s="928" t="s">
        <v>399</v>
      </c>
      <c r="I19" s="294" t="s">
        <v>727</v>
      </c>
      <c r="J19" s="21">
        <f ca="1">IF(K19="按租金收入计税",ROUND(J6*M19/(1+'数据-取费表'!C42),2),ROUND(C29*M19*0.7,2))</f>
        <v>115.43</v>
      </c>
      <c r="K19" s="1278" t="s">
        <v>3335</v>
      </c>
      <c r="L19" s="294" t="s">
        <v>712</v>
      </c>
      <c r="M19" s="314">
        <f>IF(K19="按租金收入计税",'数据-取费表'!B51,'数据-取费表'!B50)</f>
        <v>0.12</v>
      </c>
    </row>
    <row r="20" spans="1:37" s="1304" customFormat="1" ht="18" customHeight="1">
      <c r="A20" s="928" t="s">
        <v>402</v>
      </c>
      <c r="B20" s="294" t="s">
        <v>728</v>
      </c>
      <c r="C20" s="21">
        <f ca="1">ROUND(C19*F20,0)</f>
        <v>75</v>
      </c>
      <c r="D20" s="315" t="s">
        <v>729</v>
      </c>
      <c r="E20" s="294" t="s">
        <v>712</v>
      </c>
      <c r="F20" s="314">
        <f>'数据-取费表'!B37</f>
        <v>0.03</v>
      </c>
      <c r="G20" s="1303"/>
      <c r="H20" s="928" t="s">
        <v>680</v>
      </c>
      <c r="I20" s="147" t="s">
        <v>730</v>
      </c>
      <c r="J20" s="22">
        <f ca="1">ROUND(M20*M21/10000,2)</f>
        <v>1.38</v>
      </c>
      <c r="K20" s="316" t="s">
        <v>731</v>
      </c>
      <c r="L20" s="294" t="s">
        <v>732</v>
      </c>
      <c r="M20" s="317">
        <f>'数据-取费表'!B52</f>
        <v>30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459.36</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17.829999999999998</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162</v>
      </c>
      <c r="D23" s="138" t="str">
        <f>IF(F23&lt;=1,"(建造成本+管理费用)×利率×(建设周期÷2)","(建造成本+管理费用)×((1+利率)^(建设周期÷2)-1)")</f>
        <v>(建造成本+管理费用)×((1+利率)^(建设周期÷2)-1)</v>
      </c>
      <c r="E23" s="294" t="s">
        <v>741</v>
      </c>
      <c r="F23" s="317">
        <f>'数据-取费表'!B20</f>
        <v>3</v>
      </c>
      <c r="G23" s="1303"/>
      <c r="H23" s="928" t="s">
        <v>437</v>
      </c>
      <c r="I23" s="294" t="s">
        <v>742</v>
      </c>
      <c r="J23" s="21">
        <f ca="1">ROUND(J13*M23,2)</f>
        <v>2.67</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1.9E-3</v>
      </c>
      <c r="D24" s="138" t="str">
        <f>IF(F23&lt;=1,"销售费用×利率×(建设周期÷2)","销售费用×((1+利率)^(建设周期÷2)-1)")</f>
        <v>销售费用×((1+利率)^(建设周期÷2)-1)</v>
      </c>
      <c r="E24" s="294" t="s">
        <v>747</v>
      </c>
      <c r="F24" s="322">
        <f ca="1">'数据-取费表'!B40</f>
        <v>4.1499999999999995E-2</v>
      </c>
      <c r="G24" s="1303"/>
      <c r="H24" s="1026" t="s">
        <v>684</v>
      </c>
      <c r="I24" s="1027" t="s">
        <v>728</v>
      </c>
      <c r="J24" s="1028">
        <f ca="1">ROUND(J5*M24,2)</f>
        <v>10.11</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810</v>
      </c>
      <c r="K25" s="1032" t="s">
        <v>753</v>
      </c>
      <c r="L25" s="1033"/>
      <c r="M25" s="1034"/>
    </row>
    <row r="26" spans="1:37">
      <c r="A26" s="928" t="s">
        <v>397</v>
      </c>
      <c r="B26" s="294" t="s">
        <v>754</v>
      </c>
      <c r="C26" s="21">
        <f ca="1">ROUND((C19+C20)*F26,0)</f>
        <v>513</v>
      </c>
      <c r="D26" s="315" t="s">
        <v>755</v>
      </c>
      <c r="E26" s="305" t="s">
        <v>756</v>
      </c>
      <c r="F26" s="304">
        <f ca="1">INDIRECT("'数据-取费表'!q"&amp;$G$1)</f>
        <v>0.2</v>
      </c>
      <c r="G26" s="1292"/>
      <c r="H26" s="291" t="s">
        <v>395</v>
      </c>
      <c r="I26" s="292" t="s">
        <v>757</v>
      </c>
      <c r="J26" s="293">
        <f ca="1">IF(J5&lt;&gt;0,ROUND(J25*(1-((1+M28)/(1+M26))^M27)/(M26-M28),0),0)</f>
        <v>1834</v>
      </c>
      <c r="K26" s="316" t="s">
        <v>758</v>
      </c>
      <c r="L26" s="294" t="s">
        <v>759</v>
      </c>
      <c r="M26" s="304">
        <f ca="1">INDIRECT("'数据-取费表'!I"&amp;$G$1)</f>
        <v>5.5E-2</v>
      </c>
    </row>
    <row r="27" spans="1:37" ht="18" customHeight="1">
      <c r="A27" s="928" t="s">
        <v>399</v>
      </c>
      <c r="B27" s="294" t="s">
        <v>760</v>
      </c>
      <c r="C27" s="21">
        <f ca="1">ROUND(F21*F26,4)</f>
        <v>6.0000000000000001E-3</v>
      </c>
      <c r="D27" s="315" t="s">
        <v>761</v>
      </c>
      <c r="E27" s="312"/>
      <c r="F27" s="313"/>
      <c r="G27" s="1292"/>
      <c r="H27" s="296"/>
      <c r="I27" s="297"/>
      <c r="J27" s="298"/>
      <c r="K27" s="323" t="s">
        <v>762</v>
      </c>
      <c r="L27" s="294" t="s">
        <v>763</v>
      </c>
      <c r="M27" s="324">
        <f ca="1">INDIRECT("'数据-取费表'!ag"&amp;$G$1)</f>
        <v>2.4299999999999997</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0.03</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3565</v>
      </c>
      <c r="D29" s="1029"/>
      <c r="E29" s="1027"/>
      <c r="F29" s="1030"/>
      <c r="G29" s="1303"/>
      <c r="H29" s="325" t="s">
        <v>396</v>
      </c>
      <c r="I29" s="326" t="s">
        <v>768</v>
      </c>
      <c r="J29" s="327">
        <f ca="1">ROUND(J26/(1+F40)^F41,0)</f>
        <v>1175</v>
      </c>
      <c r="K29" s="328" t="s">
        <v>769</v>
      </c>
      <c r="L29" s="329"/>
      <c r="M29" s="330">
        <f ca="1">INDIRECT("'数据-取费表'!k"&amp;$G$1)</f>
        <v>4008.57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104</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78.66</v>
      </c>
      <c r="D31" s="1257" t="s">
        <v>720</v>
      </c>
      <c r="E31" s="1256" t="s">
        <v>770</v>
      </c>
      <c r="F31" s="2139" t="str">
        <f>IF(项目基本情况!B11="企业","——",IF(M47="住宅",IF(F6*F7*F8/12/(1+'数据-取费表'!F30)&gt;100000,4%,2.5%),IF(F6*F7*F8/12/(1+'数据-取费表'!F30)&gt;100000,12%,7%)))</f>
        <v>——</v>
      </c>
      <c r="G31" s="1292"/>
      <c r="H31" s="2568" t="s">
        <v>2305</v>
      </c>
      <c r="I31" s="1305"/>
      <c r="J31" s="1306"/>
      <c r="K31" s="121"/>
      <c r="L31" s="2470"/>
      <c r="M31" s="2471"/>
    </row>
    <row r="32" spans="1:37" ht="18" customHeight="1">
      <c r="A32" s="928" t="s">
        <v>397</v>
      </c>
      <c r="B32" s="294" t="s">
        <v>723</v>
      </c>
      <c r="C32" s="21">
        <f ca="1">IF(项目基本情况!B11="自然人","——",ROUND(C6*F32/(1+'数据-取费表'!C42),2))</f>
        <v>24.59</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52.69</v>
      </c>
      <c r="D33" s="1278" t="s">
        <v>3335</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IF(项目基本情况!B11="自然人","——",ROUND(F34*F35/10000,2))</f>
        <v>1.38</v>
      </c>
      <c r="D34" s="316" t="s">
        <v>731</v>
      </c>
      <c r="E34" s="294" t="s">
        <v>732</v>
      </c>
      <c r="F34" s="317">
        <f>'数据-取费表'!B52</f>
        <v>30</v>
      </c>
      <c r="G34" s="1292"/>
      <c r="H34" s="2469"/>
      <c r="I34" s="1305"/>
      <c r="J34" s="1306"/>
      <c r="K34" s="2474"/>
      <c r="L34" s="2475"/>
      <c r="M34" s="2475"/>
    </row>
    <row r="35" spans="1:18" ht="18" customHeight="1">
      <c r="A35" s="1040"/>
      <c r="B35" s="1038"/>
      <c r="C35" s="26"/>
      <c r="D35" s="319"/>
      <c r="E35" s="294" t="s">
        <v>736</v>
      </c>
      <c r="F35" s="295">
        <f ca="1">INDIRECT("'数据-取费表'!r"&amp;$G$1)</f>
        <v>459.36</v>
      </c>
      <c r="G35" s="1292"/>
      <c r="H35" s="2469"/>
      <c r="I35" s="1305"/>
      <c r="J35" s="1306"/>
      <c r="K35" s="2473"/>
      <c r="L35" s="2472"/>
      <c r="M35" s="2472"/>
    </row>
    <row r="36" spans="1:18" ht="18" customHeight="1">
      <c r="A36" s="1039" t="s">
        <v>402</v>
      </c>
      <c r="B36" s="294" t="s">
        <v>738</v>
      </c>
      <c r="C36" s="21">
        <f ca="1">ROUND(C29*F36,2)</f>
        <v>17.829999999999998</v>
      </c>
      <c r="D36" s="1256" t="s">
        <v>771</v>
      </c>
      <c r="E36" s="294" t="s">
        <v>712</v>
      </c>
      <c r="F36" s="320">
        <f ca="1">INDIRECT("'数据-取费表'!Ak"&amp;$G$1)</f>
        <v>5.0000000000000001E-3</v>
      </c>
      <c r="G36" s="1292"/>
      <c r="H36" s="2472"/>
      <c r="I36" s="1305"/>
      <c r="J36" s="1306"/>
      <c r="K36" s="2329"/>
      <c r="L36" s="2472"/>
      <c r="M36" s="2472"/>
    </row>
    <row r="37" spans="1:18" ht="18" customHeight="1">
      <c r="A37" s="928" t="s">
        <v>437</v>
      </c>
      <c r="B37" s="294" t="s">
        <v>742</v>
      </c>
      <c r="C37" s="21">
        <f ca="1">ROUND(C13*F37,2)</f>
        <v>3.03</v>
      </c>
      <c r="D37" s="1256" t="s">
        <v>743</v>
      </c>
      <c r="E37" s="294" t="s">
        <v>744</v>
      </c>
      <c r="F37" s="321">
        <f ca="1">INDIRECT("'数据-取费表'!Al"&amp;$G$1)</f>
        <v>1E-3</v>
      </c>
      <c r="G37" s="1292"/>
      <c r="H37" s="2472"/>
      <c r="I37" s="1305"/>
      <c r="J37" s="1306"/>
      <c r="K37" s="2329"/>
      <c r="L37" s="2472"/>
      <c r="M37" s="2472"/>
    </row>
    <row r="38" spans="1:18" ht="18" customHeight="1" thickBot="1">
      <c r="A38" s="1026" t="s">
        <v>684</v>
      </c>
      <c r="B38" s="1027" t="s">
        <v>728</v>
      </c>
      <c r="C38" s="1028">
        <f ca="1">ROUND(C5*F38,2)</f>
        <v>4.62</v>
      </c>
      <c r="D38" s="1029" t="s">
        <v>748</v>
      </c>
      <c r="E38" s="1027" t="s">
        <v>744</v>
      </c>
      <c r="F38" s="1023">
        <f ca="1">INDIRECT("'数据-取费表'!Am"&amp;$G$1)</f>
        <v>0.01</v>
      </c>
      <c r="G38" s="1292"/>
      <c r="H38" s="2472"/>
      <c r="I38" s="1305"/>
      <c r="J38" s="1306"/>
      <c r="K38" s="2470"/>
      <c r="L38" s="2472"/>
      <c r="M38" s="2472"/>
    </row>
    <row r="39" spans="1:18" ht="24.6" customHeight="1" thickTop="1">
      <c r="A39" s="1016" t="s">
        <v>394</v>
      </c>
      <c r="B39" s="1031" t="s">
        <v>772</v>
      </c>
      <c r="C39" s="302">
        <f ca="1">C5-C30</f>
        <v>358</v>
      </c>
      <c r="D39" s="1032" t="s">
        <v>773</v>
      </c>
      <c r="E39" s="1033"/>
      <c r="F39" s="1034"/>
      <c r="G39" s="1292"/>
      <c r="H39" s="2472"/>
      <c r="I39" s="1305"/>
      <c r="J39" s="1306"/>
      <c r="K39" s="2470"/>
      <c r="L39" s="2472"/>
      <c r="M39" s="2472"/>
    </row>
    <row r="40" spans="1:18" ht="18" customHeight="1">
      <c r="A40" s="291" t="s">
        <v>395</v>
      </c>
      <c r="B40" s="292" t="s">
        <v>774</v>
      </c>
      <c r="C40" s="293">
        <f ca="1">ROUND(C39*(1-((1+F42)/(1+F40))^F41)/(F40-F42),0)</f>
        <v>2340</v>
      </c>
      <c r="D40" s="316" t="s">
        <v>758</v>
      </c>
      <c r="E40" s="294" t="s">
        <v>759</v>
      </c>
      <c r="F40" s="304">
        <f ca="1">INDIRECT("'数据-取费表'!I"&amp;$G$1)</f>
        <v>5.5E-2</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8.32</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f ca="1">ROUND(C40*10000/F43,0)</f>
        <v>5837</v>
      </c>
      <c r="D43" s="328" t="s">
        <v>777</v>
      </c>
      <c r="E43" s="329" t="s">
        <v>778</v>
      </c>
      <c r="F43" s="330">
        <f ca="1">INDIRECT("'数据-取费表'!k"&amp;$G$1)</f>
        <v>4008.57</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5" thickBot="1">
      <c r="A46" s="1311" t="s">
        <v>809</v>
      </c>
      <c r="C46" s="1312">
        <f ca="1">C68-C40</f>
        <v>2204</v>
      </c>
      <c r="D46" s="1313" t="str">
        <f>C2</f>
        <v>万元</v>
      </c>
      <c r="E46" s="1307"/>
      <c r="F46" s="1307"/>
      <c r="I46" s="1314" t="s">
        <v>810</v>
      </c>
      <c r="J46" s="1315"/>
      <c r="K46" s="1316"/>
      <c r="L46" s="1317">
        <f ca="1">IF(M47="住宅",0,IF(L48&gt;J51,L60,J60))</f>
        <v>655</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3412</v>
      </c>
      <c r="K47" s="1323" t="s">
        <v>816</v>
      </c>
      <c r="L47" s="1324">
        <f ca="1">INDIRECT("'数据-取费表'!d"&amp;$G$1)</f>
        <v>40</v>
      </c>
      <c r="M47" s="1288" t="str">
        <f>IF(ISNUMBER(FIND("住宅",C1)),"住宅","非住宅")</f>
        <v>非住宅</v>
      </c>
      <c r="O47" s="1325" t="s">
        <v>403</v>
      </c>
      <c r="P47" s="1326" t="s">
        <v>817</v>
      </c>
      <c r="Q47" s="1327">
        <f ca="1">C40+J29</f>
        <v>3515</v>
      </c>
      <c r="R47" s="1327" t="s">
        <v>818</v>
      </c>
    </row>
    <row r="48" spans="1:18" s="1292" customFormat="1" ht="28.5" thickBot="1">
      <c r="A48" s="1047" t="s">
        <v>438</v>
      </c>
      <c r="B48" s="292" t="s">
        <v>692</v>
      </c>
      <c r="C48" s="1268">
        <f ca="1">C49+C53+C55</f>
        <v>791</v>
      </c>
      <c r="D48" s="1049"/>
      <c r="E48" s="1050"/>
      <c r="F48" s="908"/>
      <c r="G48" s="681"/>
      <c r="H48" s="682"/>
      <c r="I48" s="1328" t="s">
        <v>819</v>
      </c>
      <c r="J48" s="1329" t="s">
        <v>3413</v>
      </c>
      <c r="K48" s="1330" t="s">
        <v>820</v>
      </c>
      <c r="L48" s="1331">
        <f ca="1">INDIRECT("'数据-取费表'!f"&amp;$G$1)</f>
        <v>10.75</v>
      </c>
      <c r="O48" s="1325" t="s">
        <v>404</v>
      </c>
      <c r="P48" s="1326" t="s">
        <v>821</v>
      </c>
      <c r="Q48" s="1327">
        <f ca="1">J60</f>
        <v>655</v>
      </c>
      <c r="R48" s="1327" t="s">
        <v>822</v>
      </c>
    </row>
    <row r="49" spans="1:18" s="1292" customFormat="1" ht="13.5" thickBot="1">
      <c r="A49" s="921" t="s">
        <v>439</v>
      </c>
      <c r="B49" s="1279" t="s">
        <v>779</v>
      </c>
      <c r="C49" s="1051">
        <f ca="1">ROUND(F49*F51*F50*(1-F52)/10000,0)</f>
        <v>790</v>
      </c>
      <c r="D49" s="992" t="s">
        <v>2109</v>
      </c>
      <c r="E49" s="1280" t="s">
        <v>780</v>
      </c>
      <c r="F49" s="997">
        <v>6</v>
      </c>
      <c r="H49" s="682"/>
      <c r="I49" s="1328" t="s">
        <v>823</v>
      </c>
      <c r="J49" s="1332">
        <v>1996</v>
      </c>
      <c r="K49" s="1330" t="s">
        <v>824</v>
      </c>
      <c r="L49" s="1333"/>
      <c r="O49" s="1334" t="s">
        <v>405</v>
      </c>
      <c r="P49" s="1326" t="s">
        <v>825</v>
      </c>
      <c r="Q49" s="1327">
        <f ca="1">C29</f>
        <v>3565</v>
      </c>
      <c r="R49" s="1327" t="s">
        <v>818</v>
      </c>
    </row>
    <row r="50" spans="1:18" s="1292" customFormat="1" ht="13.5" thickBot="1">
      <c r="A50" s="922"/>
      <c r="B50" s="925"/>
      <c r="C50" s="1055"/>
      <c r="D50" s="899"/>
      <c r="E50" s="993" t="s">
        <v>697</v>
      </c>
      <c r="F50" s="994">
        <f ca="1">F7</f>
        <v>4008.57</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33</v>
      </c>
      <c r="K51" s="1339" t="s">
        <v>830</v>
      </c>
      <c r="L51" s="1340">
        <f ca="1">ROUND(-PV(INDIRECT("'数据-取费表'!h"&amp;$G$1),J51,(C39-C13*C76),0),0)</f>
        <v>2335</v>
      </c>
      <c r="M51" s="1341"/>
      <c r="O51" s="1334" t="s">
        <v>407</v>
      </c>
      <c r="P51" s="1326" t="s">
        <v>831</v>
      </c>
      <c r="Q51" s="1337">
        <f>J52</f>
        <v>7.4999999999999997E-2</v>
      </c>
      <c r="R51" s="1327"/>
    </row>
    <row r="52" spans="1:18" s="1292" customFormat="1" ht="13.5" thickBot="1">
      <c r="A52" s="923"/>
      <c r="B52" s="925"/>
      <c r="C52" s="926"/>
      <c r="D52" s="899"/>
      <c r="E52" s="927" t="s">
        <v>699</v>
      </c>
      <c r="F52" s="991">
        <v>0.1</v>
      </c>
      <c r="I52" s="1342" t="s">
        <v>832</v>
      </c>
      <c r="J52" s="1343">
        <v>7.4999999999999997E-2</v>
      </c>
      <c r="K52" s="1342" t="s">
        <v>833</v>
      </c>
      <c r="L52" s="1343"/>
      <c r="O52" s="1334" t="s">
        <v>408</v>
      </c>
      <c r="P52" s="1326" t="s">
        <v>834</v>
      </c>
      <c r="Q52" s="1327">
        <f ca="1">J53</f>
        <v>10.75</v>
      </c>
      <c r="R52" s="1327" t="s">
        <v>835</v>
      </c>
    </row>
    <row r="53" spans="1:18" s="1292" customFormat="1" ht="24.75" thickBot="1">
      <c r="A53" s="1079" t="s">
        <v>440</v>
      </c>
      <c r="B53" s="1281" t="s">
        <v>700</v>
      </c>
      <c r="C53" s="308">
        <f ca="1">ROUND(IF(F53="押一",C49/12*F11,IF(F53="押二",C49/12*2*F11,IF(F53="押三",C49/12*3*F11,C54*F11))),0)</f>
        <v>1</v>
      </c>
      <c r="D53" s="150" t="s">
        <v>2115</v>
      </c>
      <c r="E53" s="305" t="s">
        <v>701</v>
      </c>
      <c r="F53" s="1053" t="s">
        <v>3411</v>
      </c>
      <c r="I53" s="1344" t="s">
        <v>836</v>
      </c>
      <c r="J53" s="2006">
        <f ca="1">IF(M47="住宅",IF(D1="——",MAX(J51,L48),MAX(J51,L48-'数据-取费表'!B24)),IF(D1="——",MIN(J51,L48),MIN(J51,L48-'数据-取费表'!B24)))</f>
        <v>10.75</v>
      </c>
      <c r="K53" s="3411" t="s">
        <v>837</v>
      </c>
      <c r="L53" s="3412"/>
      <c r="O53" s="1325" t="s">
        <v>409</v>
      </c>
      <c r="P53" s="1326" t="s">
        <v>838</v>
      </c>
      <c r="Q53" s="1327">
        <f ca="1">Q47+Q48</f>
        <v>4170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0.371</v>
      </c>
      <c r="K55" s="1350" t="s">
        <v>841</v>
      </c>
      <c r="L55" s="1351"/>
      <c r="O55" s="1318" t="s">
        <v>811</v>
      </c>
      <c r="P55" s="1319" t="s">
        <v>812</v>
      </c>
      <c r="Q55" s="1320" t="s">
        <v>813</v>
      </c>
      <c r="R55" s="1320" t="s">
        <v>814</v>
      </c>
    </row>
    <row r="56" spans="1:18" s="1292" customFormat="1" ht="25.5" thickTop="1" thickBot="1">
      <c r="A56" s="903">
        <v>2</v>
      </c>
      <c r="B56" s="904" t="s">
        <v>704</v>
      </c>
      <c r="C56" s="224">
        <f ca="1">C13</f>
        <v>3030</v>
      </c>
      <c r="D56" s="1352"/>
      <c r="E56" s="1353"/>
      <c r="F56" s="1345"/>
      <c r="I56" s="1354" t="s">
        <v>842</v>
      </c>
      <c r="J56" s="1355" t="s">
        <v>3381</v>
      </c>
      <c r="K56" s="1328" t="s">
        <v>843</v>
      </c>
      <c r="L56" s="1331" t="str">
        <f ca="1">IF(L48&lt;J51,"——",L48-J53)</f>
        <v>——</v>
      </c>
      <c r="O56" s="1325" t="s">
        <v>403</v>
      </c>
      <c r="P56" s="1326" t="s">
        <v>817</v>
      </c>
      <c r="Q56" s="1327">
        <f ca="1">C40+J29</f>
        <v>3515</v>
      </c>
      <c r="R56" s="1327" t="s">
        <v>818</v>
      </c>
    </row>
    <row r="57" spans="1:18" s="1292" customFormat="1" ht="24.75" thickBot="1">
      <c r="A57" s="1356"/>
      <c r="B57" s="896" t="s">
        <v>767</v>
      </c>
      <c r="C57" s="230">
        <f ca="1">C29</f>
        <v>3565</v>
      </c>
      <c r="D57" s="1357"/>
      <c r="E57" s="1358"/>
      <c r="F57" s="1359"/>
      <c r="I57" s="1360" t="s">
        <v>844</v>
      </c>
      <c r="J57" s="1361">
        <f ca="1">IF(OR(M47="住宅",J51&lt;L48,J56="是"),"——",J51-L48)</f>
        <v>22.25</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163</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134</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1426</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42.19</v>
      </c>
      <c r="D60" s="910" t="s">
        <v>724</v>
      </c>
      <c r="E60" s="896" t="s">
        <v>712</v>
      </c>
      <c r="F60" s="322">
        <f t="shared" ref="F60:F66" si="0">F32</f>
        <v>5.6000000000000001E-2</v>
      </c>
      <c r="I60" s="1363" t="s">
        <v>853</v>
      </c>
      <c r="J60" s="1364">
        <f ca="1">IF(OR(M47="住宅",J51&lt;L48,J56="是"),"0",ROUND(J59/(1+J52)^J53,0))</f>
        <v>655</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90.29</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1.38</v>
      </c>
      <c r="D62" s="911" t="s">
        <v>786</v>
      </c>
      <c r="E62" s="896" t="s">
        <v>787</v>
      </c>
      <c r="F62" s="317">
        <f t="shared" si="0"/>
        <v>30</v>
      </c>
      <c r="I62" s="1367" t="s">
        <v>858</v>
      </c>
      <c r="J62" s="610" t="s">
        <v>859</v>
      </c>
      <c r="K62" s="610" t="s">
        <v>860</v>
      </c>
      <c r="L62" s="610" t="s">
        <v>861</v>
      </c>
      <c r="M62" s="1368" t="s">
        <v>862</v>
      </c>
      <c r="O62" s="1325" t="s">
        <v>409</v>
      </c>
      <c r="P62" s="1326" t="s">
        <v>863</v>
      </c>
      <c r="Q62" s="1327">
        <f ca="1">Q56+Q57</f>
        <v>3515</v>
      </c>
      <c r="R62" s="1327" t="s">
        <v>410</v>
      </c>
    </row>
    <row r="63" spans="1:18" s="1292" customFormat="1" ht="13.5" thickBot="1">
      <c r="A63" s="318"/>
      <c r="B63" s="902"/>
      <c r="C63" s="26"/>
      <c r="D63" s="912"/>
      <c r="E63" s="896" t="s">
        <v>788</v>
      </c>
      <c r="F63" s="295">
        <f t="shared" ca="1" si="0"/>
        <v>459.36</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17.829999999999998</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3.03</v>
      </c>
      <c r="D65" s="910" t="s">
        <v>743</v>
      </c>
      <c r="E65" s="896" t="s">
        <v>744</v>
      </c>
      <c r="F65" s="321">
        <f t="shared" ca="1" si="0"/>
        <v>1E-3</v>
      </c>
      <c r="I65" s="1367" t="s">
        <v>867</v>
      </c>
      <c r="J65" s="610">
        <v>40</v>
      </c>
      <c r="K65" s="610">
        <v>30</v>
      </c>
      <c r="L65" s="610">
        <v>50</v>
      </c>
      <c r="M65" s="1369">
        <v>0.02</v>
      </c>
      <c r="O65" s="1325" t="s">
        <v>403</v>
      </c>
      <c r="P65" s="1326" t="s">
        <v>868</v>
      </c>
      <c r="Q65" s="1327">
        <f ca="1">C40+J29</f>
        <v>3515</v>
      </c>
      <c r="R65" s="1327" t="s">
        <v>818</v>
      </c>
    </row>
    <row r="66" spans="1:18" s="1292" customFormat="1" ht="16.5" thickBot="1">
      <c r="A66" s="928" t="s">
        <v>793</v>
      </c>
      <c r="B66" s="896" t="s">
        <v>728</v>
      </c>
      <c r="C66" s="21">
        <f ca="1">ROUND(C48*F66,2)</f>
        <v>7.91</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628</v>
      </c>
      <c r="D67" s="909" t="s">
        <v>753</v>
      </c>
      <c r="E67" s="914"/>
      <c r="F67" s="915"/>
      <c r="O67" s="1334" t="s">
        <v>405</v>
      </c>
      <c r="P67" s="1326" t="s">
        <v>850</v>
      </c>
      <c r="Q67" s="1370">
        <f ca="1">L51</f>
        <v>2335</v>
      </c>
      <c r="R67" s="1327" t="s">
        <v>870</v>
      </c>
    </row>
    <row r="68" spans="1:18" s="1292" customFormat="1" ht="16.5" thickBot="1">
      <c r="A68" s="893" t="s">
        <v>395</v>
      </c>
      <c r="B68" s="894" t="s">
        <v>774</v>
      </c>
      <c r="C68" s="293">
        <f ca="1">ROUND(C67*(1-((1+F70)/(1+F68))^F69)/(F68-F70),0)</f>
        <v>4544</v>
      </c>
      <c r="D68" s="911" t="s">
        <v>758</v>
      </c>
      <c r="E68" s="896" t="s">
        <v>759</v>
      </c>
      <c r="F68" s="304">
        <f ca="1">F40</f>
        <v>5.5E-2</v>
      </c>
      <c r="O68" s="1334" t="s">
        <v>406</v>
      </c>
      <c r="P68" s="1371" t="s">
        <v>871</v>
      </c>
      <c r="Q68" s="1327">
        <f ca="1">ROUND(Q69-Q70*Q71,0)</f>
        <v>146</v>
      </c>
      <c r="R68" s="1327" t="s">
        <v>414</v>
      </c>
    </row>
    <row r="69" spans="1:18" s="1292" customFormat="1" ht="13.5" thickBot="1">
      <c r="A69" s="897"/>
      <c r="B69" s="898"/>
      <c r="C69" s="298"/>
      <c r="D69" s="916" t="s">
        <v>762</v>
      </c>
      <c r="E69" s="896" t="s">
        <v>763</v>
      </c>
      <c r="F69" s="324">
        <f ca="1">F41</f>
        <v>8.32</v>
      </c>
      <c r="O69" s="1334" t="s">
        <v>411</v>
      </c>
      <c r="P69" s="1371" t="s">
        <v>872</v>
      </c>
      <c r="Q69" s="1327">
        <f ca="1">C39</f>
        <v>358</v>
      </c>
      <c r="R69" s="1327" t="s">
        <v>818</v>
      </c>
    </row>
    <row r="70" spans="1:18" s="1292" customFormat="1" ht="13.5" thickBot="1">
      <c r="A70" s="900"/>
      <c r="B70" s="901"/>
      <c r="C70" s="302"/>
      <c r="D70" s="912"/>
      <c r="E70" s="896" t="s">
        <v>766</v>
      </c>
      <c r="F70" s="991">
        <v>0.03</v>
      </c>
      <c r="O70" s="1334" t="s">
        <v>412</v>
      </c>
      <c r="P70" s="1371" t="s">
        <v>873</v>
      </c>
      <c r="Q70" s="1327">
        <f ca="1">C13</f>
        <v>3030</v>
      </c>
      <c r="R70" s="1327" t="s">
        <v>818</v>
      </c>
    </row>
    <row r="71" spans="1:18" s="1292" customFormat="1" ht="13.5" thickBot="1">
      <c r="A71" s="917" t="s">
        <v>396</v>
      </c>
      <c r="B71" s="918" t="s">
        <v>776</v>
      </c>
      <c r="C71" s="327">
        <f ca="1">ROUND(C68*10000/F71,0)</f>
        <v>11336</v>
      </c>
      <c r="D71" s="919" t="s">
        <v>777</v>
      </c>
      <c r="E71" s="920" t="s">
        <v>778</v>
      </c>
      <c r="F71" s="330">
        <f ca="1">F43</f>
        <v>4008.57</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212</v>
      </c>
      <c r="D75" s="1292"/>
      <c r="E75" s="1292"/>
      <c r="F75" s="1292"/>
      <c r="K75" s="1309"/>
      <c r="L75" s="1292"/>
      <c r="O75" s="1325" t="s">
        <v>409</v>
      </c>
      <c r="P75" s="1326" t="s">
        <v>838</v>
      </c>
      <c r="Q75" s="1327">
        <f ca="1">Q65+Q66</f>
        <v>3515</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0.40800000000000003</v>
      </c>
    </row>
    <row r="80" spans="1:18">
      <c r="B80" s="331" t="s">
        <v>800</v>
      </c>
      <c r="C80" s="266">
        <f ca="1">ROUND(C75/C39,3)</f>
        <v>0.59199999999999997</v>
      </c>
    </row>
    <row r="81" spans="2:3">
      <c r="B81" s="262" t="s">
        <v>801</v>
      </c>
      <c r="C81" s="230"/>
    </row>
    <row r="82" spans="2:3">
      <c r="B82" s="265" t="s">
        <v>802</v>
      </c>
      <c r="C82" s="267">
        <f ca="1">1-C83</f>
        <v>-0.29499999999999993</v>
      </c>
    </row>
    <row r="83" spans="2:3">
      <c r="B83" s="265" t="s">
        <v>803</v>
      </c>
      <c r="C83" s="266">
        <f ca="1">ROUND(C13/C40,3)</f>
        <v>1.2949999999999999</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8</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t="e">
        <f ca="1">ROUND(D2/10000,4)</f>
        <v>#DIV/0!</v>
      </c>
      <c r="C2" s="1289" t="s">
        <v>879</v>
      </c>
      <c r="D2" s="1375" t="e">
        <f ca="1">C40+J29+L46</f>
        <v>#DIV/0!</v>
      </c>
      <c r="E2" s="1295" t="s">
        <v>880</v>
      </c>
      <c r="F2" s="1296"/>
      <c r="G2" s="2477"/>
      <c r="H2" s="2467"/>
      <c r="I2" s="2467"/>
      <c r="J2" s="2467"/>
      <c r="K2" s="2468"/>
      <c r="L2" s="2467"/>
      <c r="M2" s="2467"/>
    </row>
    <row r="3" spans="1:37" ht="18" customHeight="1" thickBot="1">
      <c r="A3" s="1297" t="s">
        <v>881</v>
      </c>
      <c r="B3" s="1298">
        <f ca="1">IF(ISERROR(D2/F43),0,ROUND(D2/F43,0))</f>
        <v>0</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408" t="s">
        <v>694</v>
      </c>
      <c r="C6" s="1011">
        <f ca="1">ROUND(F6*F8*F7*(1-F9),0)</f>
        <v>0</v>
      </c>
      <c r="D6" s="147" t="s">
        <v>2105</v>
      </c>
      <c r="E6" s="294" t="s">
        <v>696</v>
      </c>
      <c r="F6" s="295">
        <f ca="1">INDIRECT("'数据-取费表'!u"&amp;$G$1)</f>
        <v>0</v>
      </c>
      <c r="G6" s="1292"/>
      <c r="H6" s="1006" t="s">
        <v>398</v>
      </c>
      <c r="I6" s="3408" t="s">
        <v>694</v>
      </c>
      <c r="J6" s="293">
        <f ca="1">ROUND(M6*M8*M7*(1-M9),0)</f>
        <v>0</v>
      </c>
      <c r="K6" s="1284" t="s">
        <v>2106</v>
      </c>
      <c r="L6" s="294" t="s">
        <v>696</v>
      </c>
      <c r="M6" s="295">
        <f ca="1">INDIRECT("'数据-取费表'!z"&amp;$G$1)</f>
        <v>0</v>
      </c>
    </row>
    <row r="7" spans="1:37" ht="18" customHeight="1">
      <c r="A7" s="1010"/>
      <c r="B7" s="3409"/>
      <c r="C7" s="1012"/>
      <c r="D7" s="299"/>
      <c r="E7" s="1013" t="s">
        <v>697</v>
      </c>
      <c r="F7" s="295">
        <f ca="1">IF(INDIRECT("'数据-取费表'!ah"&amp;$G$1)="",INDIRECT("'数据-取费表'!k"&amp;$G$1),INDIRECT("'数据-取费表'!ah"&amp;$G$1))</f>
        <v>0</v>
      </c>
      <c r="G7" s="1292"/>
      <c r="H7" s="296"/>
      <c r="I7" s="3409"/>
      <c r="J7" s="298"/>
      <c r="K7" s="299"/>
      <c r="L7" s="294" t="s">
        <v>697</v>
      </c>
      <c r="M7" s="295">
        <f ca="1">F7</f>
        <v>0</v>
      </c>
    </row>
    <row r="8" spans="1:37" ht="18" customHeight="1">
      <c r="A8" s="296"/>
      <c r="B8" s="3409"/>
      <c r="C8" s="298"/>
      <c r="D8" s="299"/>
      <c r="E8" s="294" t="s">
        <v>698</v>
      </c>
      <c r="F8" s="295">
        <f ca="1">INDIRECT("'数据-取费表'!ai"&amp;$G$1)</f>
        <v>0</v>
      </c>
      <c r="G8" s="1292"/>
      <c r="H8" s="296"/>
      <c r="I8" s="3409"/>
      <c r="J8" s="298"/>
      <c r="K8" s="299"/>
      <c r="L8" s="294" t="s">
        <v>698</v>
      </c>
      <c r="M8" s="295">
        <f ca="1">INDIRECT("'数据-取费表'!ai"&amp;$G$1)</f>
        <v>0</v>
      </c>
    </row>
    <row r="9" spans="1:37" ht="18" customHeight="1">
      <c r="A9" s="296"/>
      <c r="B9" s="3410"/>
      <c r="C9" s="298"/>
      <c r="D9" s="299"/>
      <c r="E9" s="294" t="s">
        <v>699</v>
      </c>
      <c r="F9" s="304">
        <f ca="1">INDIRECT("'数据-取费表'!w"&amp;$G$1)</f>
        <v>0</v>
      </c>
      <c r="G9" s="1292"/>
      <c r="H9" s="296"/>
      <c r="I9" s="3410"/>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2115</v>
      </c>
      <c r="E10" s="305" t="s">
        <v>701</v>
      </c>
      <c r="F10" s="1053"/>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0.04</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0.03</v>
      </c>
      <c r="G20" s="1303"/>
      <c r="H20" s="928" t="s">
        <v>680</v>
      </c>
      <c r="I20" s="147" t="s">
        <v>730</v>
      </c>
      <c r="J20" s="22">
        <f ca="1">ROUND(M20*M21,0)</f>
        <v>0</v>
      </c>
      <c r="K20" s="316" t="s">
        <v>731</v>
      </c>
      <c r="L20" s="294" t="s">
        <v>732</v>
      </c>
      <c r="M20" s="317">
        <f>'数据-取费表'!B52</f>
        <v>30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3</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1.9E-3</v>
      </c>
      <c r="D24" s="138" t="str">
        <f>IF(F23&lt;=1,"销售费用×利率×(建设周期÷2)","销售费用×((1+利率)^(建设周期÷2)-1)")</f>
        <v>销售费用×((1+利率)^(建设周期÷2)-1)</v>
      </c>
      <c r="E24" s="294" t="s">
        <v>747</v>
      </c>
      <c r="F24" s="322">
        <f ca="1">'数据-取费表'!B40</f>
        <v>4.1499999999999995E-2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68" t="s">
        <v>2305</v>
      </c>
      <c r="I31" s="1305"/>
      <c r="J31" s="1306"/>
      <c r="K31" s="121"/>
      <c r="L31" s="2470"/>
      <c r="M31" s="2471"/>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3335</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IF(项目基本情况!B11="自然人","——",ROUND(F34*F35,0))</f>
        <v>0</v>
      </c>
      <c r="D34" s="316" t="s">
        <v>731</v>
      </c>
      <c r="E34" s="294" t="s">
        <v>732</v>
      </c>
      <c r="F34" s="317">
        <f>'数据-取费表'!B52</f>
        <v>30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0</v>
      </c>
      <c r="D36" s="1256" t="s">
        <v>771</v>
      </c>
      <c r="E36" s="294" t="s">
        <v>712</v>
      </c>
      <c r="F36" s="320">
        <f ca="1">INDIRECT("'数据-取费表'!Ak"&amp;$G$1)</f>
        <v>0</v>
      </c>
      <c r="G36" s="1292"/>
      <c r="H36" s="2472"/>
      <c r="I36" s="1305"/>
      <c r="J36" s="1306"/>
      <c r="K36" s="2329"/>
      <c r="L36" s="2472"/>
      <c r="M36" s="2472"/>
    </row>
    <row r="37" spans="1:18" ht="18" customHeight="1">
      <c r="A37" s="928" t="s">
        <v>437</v>
      </c>
      <c r="B37" s="294" t="s">
        <v>742</v>
      </c>
      <c r="C37" s="21">
        <f ca="1">ROUND(C13*F37,0)</f>
        <v>0</v>
      </c>
      <c r="D37" s="1256" t="s">
        <v>743</v>
      </c>
      <c r="E37" s="294" t="s">
        <v>744</v>
      </c>
      <c r="F37" s="321">
        <f ca="1">INDIRECT("'数据-取费表'!Al"&amp;$G$1)</f>
        <v>0</v>
      </c>
      <c r="G37" s="1292"/>
      <c r="H37" s="2472"/>
      <c r="I37" s="1305"/>
      <c r="J37" s="1306"/>
      <c r="K37" s="2329"/>
      <c r="L37" s="2472"/>
      <c r="M37" s="2472"/>
    </row>
    <row r="38" spans="1:18" ht="18" customHeight="1" thickBot="1">
      <c r="A38" s="1026" t="s">
        <v>684</v>
      </c>
      <c r="B38" s="1027" t="s">
        <v>728</v>
      </c>
      <c r="C38" s="1028">
        <f ca="1">ROUND(C5*F38,0)</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8" t="s">
        <v>3351</v>
      </c>
      <c r="B45" s="1307"/>
      <c r="C45" s="1376" t="e">
        <f ca="1">ROUND((C68-C40)/10000,4)</f>
        <v>#DIV/0!</v>
      </c>
      <c r="D45" s="3129" t="s">
        <v>3352</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6">
        <f ca="1">IF(M47="住宅",IF(D1="——",MAX(J51,L48),MAX(J51,L48-'数据-取费表'!B24)),IF(D1="——",MIN(J51,L48),MIN(J51,L48-'数据-取费表'!B24)))</f>
        <v>0</v>
      </c>
      <c r="K53" s="3411" t="s">
        <v>837</v>
      </c>
      <c r="L53" s="3412"/>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30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2433</v>
      </c>
      <c r="B1" s="2582"/>
      <c r="C1" s="2594"/>
      <c r="D1" s="2594"/>
      <c r="E1" s="2583"/>
      <c r="F1" s="2584"/>
      <c r="G1" s="2585"/>
      <c r="J1" s="2588" t="s">
        <v>2312</v>
      </c>
      <c r="K1" s="2589"/>
      <c r="L1" s="2589"/>
      <c r="M1" s="2589"/>
      <c r="N1" s="2589"/>
      <c r="O1" s="2589"/>
      <c r="P1" s="2589"/>
      <c r="Q1" s="2589"/>
      <c r="R1" s="2590"/>
      <c r="S1" s="2591"/>
      <c r="T1" s="2591"/>
      <c r="U1" s="2591"/>
    </row>
    <row r="2" spans="1:22" s="2603" customFormat="1" ht="13.15" customHeight="1">
      <c r="A2" s="1293" t="s">
        <v>2313</v>
      </c>
      <c r="B2" s="2593" t="e">
        <f>IF(D2="——",C40,C40+E2)</f>
        <v>#DIV/0!</v>
      </c>
      <c r="C2" s="2594" t="s">
        <v>2314</v>
      </c>
      <c r="D2" s="3137" t="s">
        <v>3358</v>
      </c>
      <c r="E2" s="3138"/>
      <c r="F2" s="2596"/>
      <c r="G2" s="2597"/>
      <c r="H2" s="2598"/>
      <c r="I2" s="2599"/>
      <c r="J2" s="3413" t="s">
        <v>2315</v>
      </c>
      <c r="K2" s="3414"/>
      <c r="L2" s="2600" t="s">
        <v>2316</v>
      </c>
      <c r="M2" s="2600" t="s">
        <v>2317</v>
      </c>
      <c r="N2" s="2600" t="s">
        <v>2318</v>
      </c>
      <c r="O2" s="2600" t="s">
        <v>2319</v>
      </c>
      <c r="P2" s="2600" t="s">
        <v>2320</v>
      </c>
      <c r="Q2" s="2601" t="s">
        <v>2321</v>
      </c>
      <c r="R2" s="2602" t="s">
        <v>2322</v>
      </c>
      <c r="S2" s="2591"/>
      <c r="T2" s="2591"/>
      <c r="U2" s="2591"/>
      <c r="V2" s="2599"/>
    </row>
    <row r="3" spans="1:22" s="2603" customFormat="1" ht="13.15" customHeight="1">
      <c r="A3" s="2604" t="s">
        <v>2323</v>
      </c>
      <c r="B3" s="2605" t="e">
        <f>ROUND(B2*10000/B4,0)</f>
        <v>#DIV/0!</v>
      </c>
      <c r="C3" s="2594" t="s">
        <v>2324</v>
      </c>
      <c r="D3" s="2594"/>
      <c r="E3" s="2595"/>
      <c r="F3" s="2596"/>
      <c r="G3" s="2597"/>
      <c r="H3" s="2598"/>
      <c r="I3" s="2599"/>
      <c r="J3" s="3415" t="s">
        <v>2325</v>
      </c>
      <c r="K3" s="3416"/>
      <c r="L3" s="2606"/>
      <c r="M3" s="2606"/>
      <c r="N3" s="2606"/>
      <c r="O3" s="2606"/>
      <c r="P3" s="2606"/>
      <c r="Q3" s="2607"/>
      <c r="R3" s="2608">
        <f>SUM(L3:Q3)</f>
        <v>0</v>
      </c>
      <c r="S3" s="2591"/>
      <c r="T3" s="2591"/>
      <c r="U3" s="2591"/>
      <c r="V3" s="2599"/>
    </row>
    <row r="4" spans="1:22" s="2603" customFormat="1" ht="13.15" customHeight="1">
      <c r="A4" s="2609" t="s">
        <v>2326</v>
      </c>
      <c r="B4" s="2610"/>
      <c r="C4" s="2594"/>
      <c r="D4" s="2594"/>
      <c r="E4" s="2595"/>
      <c r="F4" s="2596"/>
      <c r="G4" s="2597"/>
      <c r="H4" s="2598"/>
      <c r="I4" s="2599"/>
      <c r="J4" s="3415" t="s">
        <v>2327</v>
      </c>
      <c r="K4" s="3416"/>
      <c r="L4" s="2611"/>
      <c r="M4" s="2611"/>
      <c r="N4" s="2611"/>
      <c r="O4" s="2611"/>
      <c r="P4" s="2611"/>
      <c r="Q4" s="2612"/>
      <c r="R4" s="2613">
        <f>SUM(L4:Q4)</f>
        <v>0</v>
      </c>
      <c r="S4" s="2591"/>
      <c r="T4" s="2591"/>
      <c r="U4" s="2591"/>
      <c r="V4" s="2599"/>
    </row>
    <row r="5" spans="1:22" s="2603" customFormat="1" ht="13.15" customHeight="1" thickBot="1">
      <c r="A5" s="2614" t="s">
        <v>2328</v>
      </c>
      <c r="B5" s="2615"/>
      <c r="C5" s="2594"/>
      <c r="D5" s="2616"/>
      <c r="E5" s="2596"/>
      <c r="F5" s="2596"/>
      <c r="G5" s="2597"/>
      <c r="H5" s="2598"/>
      <c r="I5" s="2599"/>
      <c r="J5" s="2617" t="s">
        <v>2329</v>
      </c>
      <c r="K5" s="2618"/>
      <c r="L5" s="2618"/>
      <c r="M5" s="2619"/>
      <c r="N5" s="2619"/>
      <c r="O5" s="2619"/>
      <c r="P5" s="2619"/>
      <c r="Q5" s="2619"/>
      <c r="R5" s="2602">
        <f>SUM(R14,R19,R24,R25,R27,R28)</f>
        <v>0</v>
      </c>
      <c r="S5" s="2591"/>
      <c r="T5" s="2591" t="s">
        <v>2330</v>
      </c>
      <c r="U5" s="2591" t="e">
        <f>ROUND(R5*10000/365/R3,1)</f>
        <v>#DIV/0!</v>
      </c>
      <c r="V5" s="2599"/>
    </row>
    <row r="6" spans="1:22" s="2603" customFormat="1" ht="13.15" customHeight="1" thickBot="1">
      <c r="A6" s="3417" t="s">
        <v>2331</v>
      </c>
      <c r="B6" s="3418"/>
      <c r="C6" s="3419"/>
      <c r="D6" s="2620"/>
      <c r="E6" s="2621"/>
      <c r="F6" s="2622"/>
      <c r="G6" s="2623"/>
      <c r="H6" s="2598"/>
      <c r="I6" s="2599"/>
      <c r="J6" s="3420">
        <v>1</v>
      </c>
      <c r="K6" s="3421" t="s">
        <v>2332</v>
      </c>
      <c r="L6" s="2624" t="s">
        <v>2333</v>
      </c>
      <c r="M6" s="2625" t="s">
        <v>2334</v>
      </c>
      <c r="N6" s="2625" t="s">
        <v>2335</v>
      </c>
      <c r="O6" s="2625" t="s">
        <v>2336</v>
      </c>
      <c r="P6" s="2625" t="s">
        <v>2337</v>
      </c>
      <c r="Q6" s="2625" t="s">
        <v>2338</v>
      </c>
      <c r="R6" s="2608" t="s">
        <v>2339</v>
      </c>
      <c r="S6" s="2591"/>
      <c r="T6" s="2591" t="s">
        <v>2340</v>
      </c>
      <c r="U6" s="2591"/>
      <c r="V6" s="2599"/>
    </row>
    <row r="7" spans="1:22" s="2603" customFormat="1" ht="13.15" customHeight="1">
      <c r="A7" s="2626" t="s">
        <v>2341</v>
      </c>
      <c r="B7" s="2627"/>
      <c r="C7" s="2628"/>
      <c r="D7" s="2629">
        <f>SUM(D9,D10,D11,D17,0)</f>
        <v>0</v>
      </c>
      <c r="E7" s="2630" t="e">
        <f>E9+E10+E11+E17</f>
        <v>#DIV/0!</v>
      </c>
      <c r="F7" s="2631"/>
      <c r="G7" s="2632"/>
      <c r="H7" s="2598"/>
      <c r="I7" s="2599"/>
      <c r="J7" s="3420"/>
      <c r="K7" s="3422"/>
      <c r="L7" s="2633" t="s">
        <v>2342</v>
      </c>
      <c r="M7" s="2634"/>
      <c r="N7" s="2610"/>
      <c r="O7" s="2635"/>
      <c r="P7" s="2635"/>
      <c r="Q7" s="2636">
        <v>365</v>
      </c>
      <c r="R7" s="2637">
        <f>ROUND(M7*N7*O7*P7*Q7/10000,0)</f>
        <v>0</v>
      </c>
      <c r="S7" s="2591"/>
      <c r="T7" s="2591" t="s">
        <v>2343</v>
      </c>
      <c r="U7" s="2591"/>
      <c r="V7" s="2599"/>
    </row>
    <row r="8" spans="1:22" s="2603" customFormat="1" ht="13.15" customHeight="1">
      <c r="A8" s="2638" t="s">
        <v>2344</v>
      </c>
      <c r="B8" s="3424" t="s">
        <v>2345</v>
      </c>
      <c r="C8" s="3425"/>
      <c r="D8" s="2639" t="s">
        <v>2346</v>
      </c>
      <c r="E8" s="2640" t="s">
        <v>2347</v>
      </c>
      <c r="F8" s="2641" t="s">
        <v>2348</v>
      </c>
      <c r="G8" s="2642"/>
      <c r="H8" s="2598"/>
      <c r="I8" s="2599"/>
      <c r="J8" s="3420"/>
      <c r="K8" s="3422"/>
      <c r="L8" s="2633" t="s">
        <v>2349</v>
      </c>
      <c r="M8" s="2634"/>
      <c r="N8" s="2610"/>
      <c r="O8" s="2635"/>
      <c r="P8" s="2635"/>
      <c r="Q8" s="2636">
        <v>365</v>
      </c>
      <c r="R8" s="2637">
        <f t="shared" ref="R8:R13" si="0">ROUND(M8*N8*O8*P8*Q8/10000,0)</f>
        <v>0</v>
      </c>
      <c r="S8" s="2591"/>
      <c r="T8" s="2591" t="s">
        <v>2350</v>
      </c>
      <c r="U8" s="2591"/>
      <c r="V8" s="2599"/>
    </row>
    <row r="9" spans="1:22" s="2603" customFormat="1" ht="13.15" customHeight="1">
      <c r="A9" s="2638">
        <v>1</v>
      </c>
      <c r="B9" s="3424" t="s">
        <v>2351</v>
      </c>
      <c r="C9" s="3425"/>
      <c r="D9" s="2639">
        <f>ROUND(D6*E9,0)</f>
        <v>0</v>
      </c>
      <c r="E9" s="2643"/>
      <c r="F9" s="2644" t="s">
        <v>2352</v>
      </c>
      <c r="G9" s="2623"/>
      <c r="H9" s="2598"/>
      <c r="I9" s="2599"/>
      <c r="J9" s="3420"/>
      <c r="K9" s="3422"/>
      <c r="L9" s="2633" t="s">
        <v>2353</v>
      </c>
      <c r="M9" s="2634"/>
      <c r="N9" s="2610"/>
      <c r="O9" s="2635"/>
      <c r="P9" s="2635"/>
      <c r="Q9" s="2636">
        <v>365</v>
      </c>
      <c r="R9" s="2637">
        <f t="shared" si="0"/>
        <v>0</v>
      </c>
      <c r="S9" s="2591"/>
      <c r="T9" s="2591"/>
      <c r="U9" s="2591"/>
      <c r="V9" s="2599"/>
    </row>
    <row r="10" spans="1:22" s="2603" customFormat="1" ht="13.15" customHeight="1">
      <c r="A10" s="2638">
        <v>2</v>
      </c>
      <c r="B10" s="3424" t="s">
        <v>2354</v>
      </c>
      <c r="C10" s="3425"/>
      <c r="D10" s="2639">
        <f>ROUND(D6*E10,0)</f>
        <v>0</v>
      </c>
      <c r="E10" s="2643"/>
      <c r="F10" s="2644" t="s">
        <v>2355</v>
      </c>
      <c r="G10" s="2623"/>
      <c r="H10" s="2598"/>
      <c r="I10" s="2599"/>
      <c r="J10" s="3420"/>
      <c r="K10" s="3422"/>
      <c r="L10" s="2633" t="s">
        <v>2356</v>
      </c>
      <c r="M10" s="2634"/>
      <c r="N10" s="2610"/>
      <c r="O10" s="2635"/>
      <c r="P10" s="2635"/>
      <c r="Q10" s="2636">
        <v>365</v>
      </c>
      <c r="R10" s="2637">
        <f t="shared" si="0"/>
        <v>0</v>
      </c>
      <c r="S10" s="2591"/>
      <c r="T10" s="2591"/>
      <c r="U10" s="2591"/>
      <c r="V10" s="2599"/>
    </row>
    <row r="11" spans="1:22" s="2603" customFormat="1" ht="13.15" customHeight="1">
      <c r="A11" s="2638">
        <v>3</v>
      </c>
      <c r="B11" s="3424" t="s">
        <v>2357</v>
      </c>
      <c r="C11" s="3425"/>
      <c r="D11" s="2639">
        <f>D12+D14+D15+D16</f>
        <v>0</v>
      </c>
      <c r="E11" s="2645" t="e">
        <f>D11/D6</f>
        <v>#DIV/0!</v>
      </c>
      <c r="F11" s="2641"/>
      <c r="G11" s="2642"/>
      <c r="H11" s="2598"/>
      <c r="I11" s="2599"/>
      <c r="J11" s="3420"/>
      <c r="K11" s="3422"/>
      <c r="L11" s="2633" t="s">
        <v>2358</v>
      </c>
      <c r="M11" s="2634"/>
      <c r="N11" s="2610"/>
      <c r="O11" s="2635"/>
      <c r="P11" s="2635"/>
      <c r="Q11" s="2636">
        <v>365</v>
      </c>
      <c r="R11" s="2637">
        <f t="shared" si="0"/>
        <v>0</v>
      </c>
      <c r="S11" s="2591"/>
      <c r="T11" s="2591"/>
      <c r="U11" s="2591"/>
      <c r="V11" s="2599"/>
    </row>
    <row r="12" spans="1:22" s="2603" customFormat="1" ht="13.15" customHeight="1">
      <c r="A12" s="2646" t="s">
        <v>2359</v>
      </c>
      <c r="B12" s="3426" t="s">
        <v>2360</v>
      </c>
      <c r="C12" s="3427"/>
      <c r="D12" s="2647">
        <f>ROUND(D13*1.2%*(1-30%),0)</f>
        <v>0</v>
      </c>
      <c r="E12" s="2648">
        <v>1.2E-2</v>
      </c>
      <c r="F12" s="2641" t="s">
        <v>2361</v>
      </c>
      <c r="G12" s="2642"/>
      <c r="H12" s="2598"/>
      <c r="I12" s="2599"/>
      <c r="J12" s="3420"/>
      <c r="K12" s="3422"/>
      <c r="L12" s="2633" t="s">
        <v>2362</v>
      </c>
      <c r="M12" s="2634"/>
      <c r="N12" s="2610"/>
      <c r="O12" s="2635"/>
      <c r="P12" s="2635"/>
      <c r="Q12" s="2636">
        <v>365</v>
      </c>
      <c r="R12" s="2637">
        <f t="shared" si="0"/>
        <v>0</v>
      </c>
      <c r="S12" s="2591"/>
      <c r="T12" s="2591"/>
      <c r="U12" s="2591"/>
      <c r="V12" s="2599"/>
    </row>
    <row r="13" spans="1:22" s="2603" customFormat="1" ht="13.15" customHeight="1">
      <c r="A13" s="2646"/>
      <c r="B13" s="2649"/>
      <c r="C13" s="2650" t="s">
        <v>2363</v>
      </c>
      <c r="D13" s="2651"/>
      <c r="E13" s="2652"/>
      <c r="F13" s="2641"/>
      <c r="G13" s="2642"/>
      <c r="H13" s="2598"/>
      <c r="I13" s="2599"/>
      <c r="J13" s="3420"/>
      <c r="K13" s="3422"/>
      <c r="L13" s="2633" t="s">
        <v>2364</v>
      </c>
      <c r="M13" s="2634"/>
      <c r="N13" s="2610"/>
      <c r="O13" s="2635"/>
      <c r="P13" s="2635"/>
      <c r="Q13" s="2636">
        <v>365</v>
      </c>
      <c r="R13" s="2637">
        <f t="shared" si="0"/>
        <v>0</v>
      </c>
      <c r="S13" s="2591"/>
      <c r="T13" s="2591"/>
      <c r="U13" s="2591"/>
      <c r="V13" s="2599"/>
    </row>
    <row r="14" spans="1:22" s="2603" customFormat="1" ht="13.15" customHeight="1">
      <c r="A14" s="2646" t="s">
        <v>2365</v>
      </c>
      <c r="B14" s="3426" t="s">
        <v>2366</v>
      </c>
      <c r="C14" s="3427"/>
      <c r="D14" s="2647">
        <f>ROUND(E14*B5/10000,0)</f>
        <v>0</v>
      </c>
      <c r="E14" s="2636"/>
      <c r="F14" s="2641" t="s">
        <v>2367</v>
      </c>
      <c r="G14" s="2642"/>
      <c r="H14" s="2598"/>
      <c r="I14" s="2599"/>
      <c r="J14" s="3420"/>
      <c r="K14" s="3423"/>
      <c r="L14" s="2653" t="s">
        <v>2368</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2369</v>
      </c>
      <c r="B15" s="3426" t="s">
        <v>2370</v>
      </c>
      <c r="C15" s="3427"/>
      <c r="D15" s="2647">
        <f>ROUND(D6*E15,0)</f>
        <v>0</v>
      </c>
      <c r="E15" s="2648">
        <v>5.5E-2</v>
      </c>
      <c r="F15" s="2641" t="s">
        <v>2371</v>
      </c>
      <c r="G15" s="2623"/>
      <c r="H15" s="2598"/>
      <c r="I15" s="2599"/>
      <c r="J15" s="3420">
        <v>2</v>
      </c>
      <c r="K15" s="3421" t="s">
        <v>2372</v>
      </c>
      <c r="L15" s="2633" t="s">
        <v>2373</v>
      </c>
      <c r="M15" s="2634" t="s">
        <v>2374</v>
      </c>
      <c r="N15" s="2634" t="s">
        <v>2375</v>
      </c>
      <c r="O15" s="2635" t="s">
        <v>2376</v>
      </c>
      <c r="P15" s="2635" t="s">
        <v>2338</v>
      </c>
      <c r="Q15" s="2610" t="s">
        <v>2377</v>
      </c>
      <c r="R15" s="2657" t="s">
        <v>2339</v>
      </c>
      <c r="S15" s="2591"/>
      <c r="T15" s="2591"/>
      <c r="U15" s="2591"/>
      <c r="V15" s="2599"/>
    </row>
    <row r="16" spans="1:22" s="2603" customFormat="1" ht="13.15" customHeight="1">
      <c r="A16" s="2646" t="s">
        <v>2378</v>
      </c>
      <c r="B16" s="3426" t="s">
        <v>2379</v>
      </c>
      <c r="C16" s="3427"/>
      <c r="D16" s="2658">
        <f>D6*E16</f>
        <v>0</v>
      </c>
      <c r="E16" s="2659"/>
      <c r="F16" s="2644" t="s">
        <v>2380</v>
      </c>
      <c r="G16" s="2623"/>
      <c r="H16" s="2598"/>
      <c r="I16" s="2599"/>
      <c r="J16" s="3420"/>
      <c r="K16" s="3422"/>
      <c r="L16" s="2633" t="s">
        <v>2381</v>
      </c>
      <c r="M16" s="2634"/>
      <c r="N16" s="2634"/>
      <c r="O16" s="2635"/>
      <c r="P16" s="2636">
        <v>365</v>
      </c>
      <c r="Q16" s="2610"/>
      <c r="R16" s="2657">
        <f>ROUND(M16*N16*O16*P16/10000,0)</f>
        <v>0</v>
      </c>
      <c r="S16" s="2591"/>
      <c r="T16" s="2591"/>
      <c r="U16" s="2591"/>
      <c r="V16" s="2599"/>
    </row>
    <row r="17" spans="1:22" s="2603" customFormat="1" ht="13.15" customHeight="1" thickBot="1">
      <c r="A17" s="2660">
        <v>4</v>
      </c>
      <c r="B17" s="3428" t="s">
        <v>2382</v>
      </c>
      <c r="C17" s="3429"/>
      <c r="D17" s="2661">
        <f>ROUND(D6*E17,0)</f>
        <v>0</v>
      </c>
      <c r="E17" s="2662"/>
      <c r="F17" s="2663" t="s">
        <v>2383</v>
      </c>
      <c r="G17" s="2623"/>
      <c r="H17" s="2598"/>
      <c r="I17" s="2599"/>
      <c r="J17" s="3420"/>
      <c r="K17" s="3422"/>
      <c r="L17" s="2633" t="s">
        <v>2384</v>
      </c>
      <c r="M17" s="2634"/>
      <c r="N17" s="2634"/>
      <c r="O17" s="2635"/>
      <c r="P17" s="2636">
        <v>365</v>
      </c>
      <c r="Q17" s="2610"/>
      <c r="R17" s="2657">
        <f>ROUND(M17*N17*O17*P17/10000,0)</f>
        <v>0</v>
      </c>
      <c r="S17" s="2591"/>
      <c r="T17" s="2591"/>
      <c r="U17" s="2591"/>
      <c r="V17" s="2599"/>
    </row>
    <row r="18" spans="1:22" s="2603" customFormat="1" ht="13.15" customHeight="1" thickBot="1">
      <c r="A18" s="2626" t="s">
        <v>2385</v>
      </c>
      <c r="B18" s="2627"/>
      <c r="C18" s="2627"/>
      <c r="D18" s="2664">
        <f>ROUND(D6*E18,0)</f>
        <v>0</v>
      </c>
      <c r="E18" s="2665"/>
      <c r="F18" s="2666" t="s">
        <v>2386</v>
      </c>
      <c r="G18" s="2623"/>
      <c r="H18" s="2598"/>
      <c r="I18" s="2599"/>
      <c r="J18" s="3420"/>
      <c r="K18" s="3422"/>
      <c r="L18" s="2633" t="s">
        <v>2387</v>
      </c>
      <c r="M18" s="2634"/>
      <c r="N18" s="2634"/>
      <c r="O18" s="2635"/>
      <c r="P18" s="2636">
        <v>365</v>
      </c>
      <c r="Q18" s="2610"/>
      <c r="R18" s="2657">
        <f>ROUND(M18*N18*O18*P18/10000,0)</f>
        <v>0</v>
      </c>
      <c r="S18" s="2591"/>
      <c r="T18" s="2591"/>
      <c r="U18" s="2591"/>
      <c r="V18" s="2599"/>
    </row>
    <row r="19" spans="1:22" s="2603" customFormat="1" ht="13.15" customHeight="1" thickBot="1">
      <c r="A19" s="2667" t="s">
        <v>2388</v>
      </c>
      <c r="B19" s="2621"/>
      <c r="C19" s="2621"/>
      <c r="D19" s="2621"/>
      <c r="E19" s="2621"/>
      <c r="F19" s="2622"/>
      <c r="G19" s="2642"/>
      <c r="H19" s="2598"/>
      <c r="I19" s="2599"/>
      <c r="J19" s="3420"/>
      <c r="K19" s="3423"/>
      <c r="L19" s="2653" t="s">
        <v>2368</v>
      </c>
      <c r="M19" s="2654"/>
      <c r="N19" s="2654">
        <f>SUM(N16:N18)</f>
        <v>0</v>
      </c>
      <c r="O19" s="2655"/>
      <c r="P19" s="2668" t="s">
        <v>2432</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420">
        <v>3</v>
      </c>
      <c r="K20" s="3421" t="s">
        <v>2389</v>
      </c>
      <c r="L20" s="2633" t="s">
        <v>2390</v>
      </c>
      <c r="M20" s="2634" t="s">
        <v>2391</v>
      </c>
      <c r="N20" s="2671" t="s">
        <v>2392</v>
      </c>
      <c r="O20" s="2635" t="s">
        <v>2393</v>
      </c>
      <c r="P20" s="2636" t="s">
        <v>2394</v>
      </c>
      <c r="Q20" s="2610" t="s">
        <v>2395</v>
      </c>
      <c r="R20" s="2657" t="s">
        <v>2396</v>
      </c>
      <c r="S20" s="2591"/>
      <c r="T20" s="2591"/>
      <c r="U20" s="2591"/>
      <c r="V20" s="2599"/>
    </row>
    <row r="21" spans="1:22" s="2603" customFormat="1" ht="13.15" customHeight="1">
      <c r="A21" s="2626"/>
      <c r="B21" s="2627"/>
      <c r="C21" s="2672" t="s">
        <v>2397</v>
      </c>
      <c r="D21" s="2673" t="s">
        <v>2398</v>
      </c>
      <c r="E21" s="2674" t="s">
        <v>2399</v>
      </c>
      <c r="F21" s="2670"/>
      <c r="G21" s="2642"/>
      <c r="H21" s="2598"/>
      <c r="I21" s="2599"/>
      <c r="J21" s="3420"/>
      <c r="K21" s="3422"/>
      <c r="L21" s="2633" t="s">
        <v>2400</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2401</v>
      </c>
      <c r="D22" s="2677" t="s">
        <v>2402</v>
      </c>
      <c r="E22" s="2678" t="s">
        <v>2403</v>
      </c>
      <c r="F22" s="2670"/>
      <c r="G22" s="2591"/>
      <c r="H22" s="2598"/>
      <c r="I22" s="2599"/>
      <c r="J22" s="3420"/>
      <c r="K22" s="3422"/>
      <c r="L22" s="2633" t="s">
        <v>2404</v>
      </c>
      <c r="M22" s="2634"/>
      <c r="N22" s="2634"/>
      <c r="O22" s="2635"/>
      <c r="P22" s="2636">
        <v>365</v>
      </c>
      <c r="Q22" s="2610"/>
      <c r="R22" s="2675">
        <f>ROUND(M22*N22*O22*P22/10000,0)</f>
        <v>0</v>
      </c>
      <c r="S22" s="2591"/>
      <c r="T22" s="2591"/>
      <c r="U22" s="2591"/>
      <c r="V22" s="2599"/>
    </row>
    <row r="23" spans="1:22" s="2603" customFormat="1" ht="13.15" customHeight="1">
      <c r="A23" s="2679">
        <v>1</v>
      </c>
      <c r="B23" s="2680" t="s">
        <v>2405</v>
      </c>
      <c r="C23" s="2681">
        <f>D6</f>
        <v>0</v>
      </c>
      <c r="D23" s="2682">
        <f>C23*(1+D24)</f>
        <v>0</v>
      </c>
      <c r="E23" s="2683">
        <f>D23*(1+E24)</f>
        <v>0</v>
      </c>
      <c r="F23" s="2684"/>
      <c r="G23" s="2685"/>
      <c r="H23" s="2598"/>
      <c r="I23" s="2599"/>
      <c r="J23" s="3420"/>
      <c r="K23" s="3422"/>
      <c r="L23" s="2633" t="s">
        <v>2406</v>
      </c>
      <c r="M23" s="2634"/>
      <c r="N23" s="2634"/>
      <c r="O23" s="2635"/>
      <c r="P23" s="2636">
        <v>365</v>
      </c>
      <c r="Q23" s="2610"/>
      <c r="R23" s="2675">
        <f>ROUND(M23*N23*O23*P23/10000,0)</f>
        <v>0</v>
      </c>
      <c r="S23" s="2591"/>
      <c r="T23" s="2591"/>
      <c r="U23" s="2591"/>
      <c r="V23" s="2599"/>
    </row>
    <row r="24" spans="1:22" s="2603" customFormat="1" ht="13.15" customHeight="1">
      <c r="A24" s="2686"/>
      <c r="B24" s="2687" t="s">
        <v>2407</v>
      </c>
      <c r="C24" s="2688"/>
      <c r="D24" s="2689"/>
      <c r="E24" s="2690"/>
      <c r="F24" s="2691"/>
      <c r="G24" s="2685"/>
      <c r="H24" s="2598"/>
      <c r="I24" s="2599"/>
      <c r="J24" s="3420"/>
      <c r="K24" s="3423"/>
      <c r="L24" s="2653" t="s">
        <v>2368</v>
      </c>
      <c r="M24" s="2654">
        <f>SUM(M21:M23)</f>
        <v>0</v>
      </c>
      <c r="N24" s="2654"/>
      <c r="O24" s="2655"/>
      <c r="P24" s="2668" t="s">
        <v>2432</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2408</v>
      </c>
      <c r="L25" s="2694"/>
      <c r="M25" s="2694"/>
      <c r="N25" s="2694"/>
      <c r="O25" s="2694"/>
      <c r="P25" s="2695"/>
      <c r="Q25" s="2696">
        <v>0</v>
      </c>
      <c r="R25" s="2669">
        <f>ROUND(R14*Q25,0)</f>
        <v>0</v>
      </c>
      <c r="S25" s="2591"/>
      <c r="T25" s="2591"/>
      <c r="U25" s="2591"/>
      <c r="V25" s="2697"/>
    </row>
    <row r="26" spans="1:22" s="2698" customFormat="1" ht="13.15" customHeight="1">
      <c r="A26" s="2679">
        <v>2</v>
      </c>
      <c r="B26" s="2680" t="s">
        <v>2409</v>
      </c>
      <c r="C26" s="2681">
        <f>D7</f>
        <v>0</v>
      </c>
      <c r="D26" s="2682">
        <f>D23*D27</f>
        <v>0</v>
      </c>
      <c r="E26" s="2683">
        <f>E23*E27</f>
        <v>0</v>
      </c>
      <c r="F26" s="2684"/>
      <c r="G26" s="2685"/>
      <c r="H26" s="2598"/>
      <c r="I26" s="2599"/>
      <c r="J26" s="3430">
        <v>5</v>
      </c>
      <c r="K26" s="2699" t="s">
        <v>2410</v>
      </c>
      <c r="L26" s="2700"/>
      <c r="M26" s="2701"/>
      <c r="N26" s="2702" t="s">
        <v>2411</v>
      </c>
      <c r="O26" s="2702" t="s">
        <v>2412</v>
      </c>
      <c r="P26" s="2703" t="s">
        <v>2413</v>
      </c>
      <c r="Q26" s="2703" t="s">
        <v>2414</v>
      </c>
      <c r="R26" s="2608" t="s">
        <v>2339</v>
      </c>
      <c r="S26" s="2642"/>
      <c r="T26" s="2642"/>
      <c r="U26" s="2642"/>
      <c r="V26" s="2697"/>
    </row>
    <row r="27" spans="1:22" s="2603" customFormat="1" ht="13.15" customHeight="1">
      <c r="A27" s="2686"/>
      <c r="B27" s="2687" t="s">
        <v>2415</v>
      </c>
      <c r="C27" s="2704" t="e">
        <f>E7</f>
        <v>#DIV/0!</v>
      </c>
      <c r="D27" s="2689"/>
      <c r="E27" s="2690"/>
      <c r="F27" s="2691"/>
      <c r="G27" s="2685"/>
      <c r="H27" s="2705"/>
      <c r="I27" s="2697"/>
      <c r="J27" s="3431"/>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2416</v>
      </c>
      <c r="F28" s="2691"/>
      <c r="G28" s="2591"/>
      <c r="H28" s="2705"/>
      <c r="I28" s="2697"/>
      <c r="J28" s="2711">
        <v>6</v>
      </c>
      <c r="K28" s="2712" t="s">
        <v>2417</v>
      </c>
      <c r="L28" s="2713" t="s">
        <v>2418</v>
      </c>
      <c r="M28" s="2714"/>
      <c r="N28" s="2713" t="s">
        <v>2419</v>
      </c>
      <c r="O28" s="2715"/>
      <c r="P28" s="2713" t="s">
        <v>2420</v>
      </c>
      <c r="Q28" s="2716">
        <v>1.4999999999999999E-2</v>
      </c>
      <c r="R28" s="2717"/>
      <c r="S28" s="2591"/>
      <c r="T28" s="2591"/>
      <c r="U28" s="2591"/>
      <c r="V28" s="2697"/>
    </row>
    <row r="29" spans="1:22" s="2698" customFormat="1" ht="13.15" customHeight="1">
      <c r="A29" s="2679">
        <v>3</v>
      </c>
      <c r="B29" s="2680" t="s">
        <v>2421</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2415</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2422</v>
      </c>
      <c r="K31" s="2589"/>
      <c r="L31" s="2589"/>
      <c r="M31" s="2589"/>
      <c r="N31" s="2589"/>
      <c r="O31" s="2589"/>
      <c r="P31" s="2589"/>
      <c r="Q31" s="2589"/>
      <c r="R31" s="2590"/>
      <c r="S31" s="2591"/>
      <c r="T31" s="2591"/>
      <c r="U31" s="2591"/>
      <c r="V31" s="2697"/>
    </row>
    <row r="32" spans="1:22" s="2698" customFormat="1" ht="13.15" customHeight="1">
      <c r="A32" s="2679">
        <v>4</v>
      </c>
      <c r="B32" s="2680" t="s">
        <v>2423</v>
      </c>
      <c r="C32" s="2681">
        <f>C23-C26-C29</f>
        <v>0</v>
      </c>
      <c r="D32" s="2682">
        <f>D23-D26-D29</f>
        <v>0</v>
      </c>
      <c r="E32" s="2683">
        <f>E23-E26-E29</f>
        <v>0</v>
      </c>
      <c r="F32" s="2684"/>
      <c r="G32" s="2591"/>
      <c r="H32" s="2598"/>
      <c r="I32" s="2599"/>
      <c r="J32" s="3413" t="s">
        <v>2315</v>
      </c>
      <c r="K32" s="3414"/>
      <c r="L32" s="2600" t="s">
        <v>2316</v>
      </c>
      <c r="M32" s="2600" t="s">
        <v>2317</v>
      </c>
      <c r="N32" s="2600" t="s">
        <v>2318</v>
      </c>
      <c r="O32" s="2600" t="s">
        <v>2319</v>
      </c>
      <c r="P32" s="2600" t="s">
        <v>2320</v>
      </c>
      <c r="Q32" s="2601" t="s">
        <v>2321</v>
      </c>
      <c r="R32" s="2720" t="s">
        <v>2322</v>
      </c>
      <c r="S32" s="2591"/>
      <c r="T32" s="2591"/>
      <c r="U32" s="2591"/>
      <c r="V32" s="2697"/>
    </row>
    <row r="33" spans="1:23" s="2603" customFormat="1" ht="13.15" customHeight="1">
      <c r="A33" s="2679"/>
      <c r="B33" s="2680"/>
      <c r="C33" s="2681"/>
      <c r="D33" s="2721"/>
      <c r="E33" s="2722"/>
      <c r="F33" s="2684"/>
      <c r="G33" s="2591"/>
      <c r="H33" s="2705"/>
      <c r="I33" s="2697"/>
      <c r="J33" s="3415" t="s">
        <v>2325</v>
      </c>
      <c r="K33" s="3416"/>
      <c r="L33" s="2606"/>
      <c r="M33" s="2606"/>
      <c r="N33" s="2606"/>
      <c r="O33" s="2606"/>
      <c r="P33" s="2606"/>
      <c r="Q33" s="2607"/>
      <c r="R33" s="2723">
        <f>SUM(L33:Q33)</f>
        <v>0</v>
      </c>
      <c r="S33" s="2591"/>
      <c r="T33" s="2591"/>
      <c r="U33" s="2591"/>
      <c r="V33" s="2599"/>
    </row>
    <row r="34" spans="1:23" s="2603" customFormat="1" ht="13.15" customHeight="1">
      <c r="A34" s="2679">
        <v>5</v>
      </c>
      <c r="B34" s="2680" t="s">
        <v>2424</v>
      </c>
      <c r="C34" s="2724"/>
      <c r="D34" s="2725"/>
      <c r="E34" s="2726"/>
      <c r="F34" s="2684"/>
      <c r="G34" s="2591"/>
      <c r="H34" s="2705"/>
      <c r="I34" s="2697"/>
      <c r="J34" s="3415" t="s">
        <v>2327</v>
      </c>
      <c r="K34" s="3416"/>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2425</v>
      </c>
      <c r="C35" s="2728"/>
      <c r="D35" s="2729"/>
      <c r="E35" s="2730"/>
      <c r="F35" s="2684"/>
      <c r="G35" s="2731"/>
      <c r="H35" s="2598"/>
      <c r="I35" s="2697"/>
      <c r="J35" s="2617" t="s">
        <v>2329</v>
      </c>
      <c r="K35" s="2618"/>
      <c r="L35" s="2618"/>
      <c r="M35" s="2619"/>
      <c r="N35" s="2619"/>
      <c r="O35" s="2619"/>
      <c r="P35" s="2619"/>
      <c r="Q35" s="2619"/>
      <c r="R35" s="2732">
        <f>R40+R41+R43</f>
        <v>0</v>
      </c>
      <c r="S35" s="2591"/>
      <c r="T35" s="2591" t="s">
        <v>2330</v>
      </c>
      <c r="U35" s="2591"/>
      <c r="V35" s="2599"/>
    </row>
    <row r="36" spans="1:23" s="2603" customFormat="1" ht="13.15" customHeight="1" thickBot="1">
      <c r="A36" s="2679">
        <v>7</v>
      </c>
      <c r="B36" s="2733" t="s">
        <v>2426</v>
      </c>
      <c r="C36" s="2734"/>
      <c r="D36" s="2735"/>
      <c r="E36" s="2736"/>
      <c r="F36" s="2737">
        <f>C36+D36+E36</f>
        <v>0</v>
      </c>
      <c r="G36" s="2591"/>
      <c r="H36" s="2598"/>
      <c r="I36" s="2599"/>
      <c r="J36" s="3420">
        <v>1</v>
      </c>
      <c r="K36" s="3421" t="s">
        <v>2427</v>
      </c>
      <c r="L36" s="2624"/>
      <c r="M36" s="2625"/>
      <c r="N36" s="2625"/>
      <c r="O36" s="2625"/>
      <c r="P36" s="2625"/>
      <c r="Q36" s="2625"/>
      <c r="R36" s="2608" t="s">
        <v>2339</v>
      </c>
      <c r="S36" s="2591"/>
      <c r="T36" s="2591" t="s">
        <v>2340</v>
      </c>
      <c r="U36" s="2591"/>
      <c r="V36" s="2599"/>
    </row>
    <row r="37" spans="1:23" s="2603" customFormat="1" ht="13.15" customHeight="1">
      <c r="A37" s="2679"/>
      <c r="B37" s="2680"/>
      <c r="C37" s="2680"/>
      <c r="D37" s="2680"/>
      <c r="E37" s="2680"/>
      <c r="F37" s="2684"/>
      <c r="G37" s="2591"/>
      <c r="H37" s="2598"/>
      <c r="I37" s="2599"/>
      <c r="J37" s="3420"/>
      <c r="K37" s="3422"/>
      <c r="L37" s="2633"/>
      <c r="M37" s="2634"/>
      <c r="N37" s="2610"/>
      <c r="O37" s="2635"/>
      <c r="P37" s="2635"/>
      <c r="Q37" s="2636"/>
      <c r="R37" s="2637"/>
      <c r="S37" s="2591"/>
      <c r="T37" s="2591" t="s">
        <v>2343</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420"/>
      <c r="K38" s="3422"/>
      <c r="L38" s="2633"/>
      <c r="M38" s="2634"/>
      <c r="N38" s="2610"/>
      <c r="O38" s="2635"/>
      <c r="P38" s="2635"/>
      <c r="Q38" s="2636"/>
      <c r="R38" s="2637"/>
      <c r="S38" s="2591"/>
      <c r="T38" s="2591" t="s">
        <v>2350</v>
      </c>
      <c r="U38" s="2591"/>
      <c r="V38" s="2599"/>
    </row>
    <row r="39" spans="1:23" s="2603" customFormat="1" ht="13.15" customHeight="1">
      <c r="A39" s="2679">
        <v>9</v>
      </c>
      <c r="B39" s="2680" t="s">
        <v>2428</v>
      </c>
      <c r="C39" s="2647" t="e">
        <f>C38</f>
        <v>#DIV/0!</v>
      </c>
      <c r="D39" s="2680">
        <f>D38/(1+D34)^C36</f>
        <v>0</v>
      </c>
      <c r="E39" s="2680">
        <f>E38/(1+E34)^(C36+D36)</f>
        <v>0</v>
      </c>
      <c r="F39" s="2684"/>
      <c r="G39" s="2599"/>
      <c r="H39" s="2598"/>
      <c r="I39" s="2599"/>
      <c r="J39" s="3420"/>
      <c r="K39" s="3422"/>
      <c r="L39" s="2633"/>
      <c r="M39" s="2634"/>
      <c r="N39" s="2610"/>
      <c r="O39" s="2635"/>
      <c r="P39" s="2635"/>
      <c r="Q39" s="2636"/>
      <c r="R39" s="2637"/>
      <c r="S39" s="2591"/>
      <c r="T39" s="2591"/>
      <c r="U39" s="2591"/>
      <c r="V39" s="2599"/>
    </row>
    <row r="40" spans="1:23" s="2603" customFormat="1" ht="13.15" customHeight="1">
      <c r="A40" s="2738">
        <v>10</v>
      </c>
      <c r="B40" s="2680" t="s">
        <v>2429</v>
      </c>
      <c r="C40" s="2739" t="e">
        <f>C39+D39+E39</f>
        <v>#DIV/0!</v>
      </c>
      <c r="D40" s="2740"/>
      <c r="E40" s="2740"/>
      <c r="F40" s="2741"/>
      <c r="G40" s="2591"/>
      <c r="H40" s="2598"/>
      <c r="I40" s="2599"/>
      <c r="J40" s="3420"/>
      <c r="K40" s="3423"/>
      <c r="L40" s="2653" t="s">
        <v>2368</v>
      </c>
      <c r="M40" s="2654"/>
      <c r="N40" s="2654"/>
      <c r="O40" s="2655"/>
      <c r="P40" s="2655"/>
      <c r="Q40" s="2656"/>
      <c r="R40" s="2602">
        <f>SUM(R37:R39)</f>
        <v>0</v>
      </c>
      <c r="S40" s="2591"/>
      <c r="T40" s="2591"/>
      <c r="U40" s="2591"/>
      <c r="V40" s="2599"/>
    </row>
    <row r="41" spans="1:23" s="2603" customFormat="1" ht="13.15" customHeight="1" thickBot="1">
      <c r="A41" s="2742">
        <v>11</v>
      </c>
      <c r="B41" s="2743" t="s">
        <v>2430</v>
      </c>
      <c r="C41" s="2743" t="e">
        <f>ROUND(C40*10000/B4,0)</f>
        <v>#DIV/0!</v>
      </c>
      <c r="D41" s="2744"/>
      <c r="E41" s="2744"/>
      <c r="F41" s="2745"/>
      <c r="G41" s="2598"/>
      <c r="H41" s="2598"/>
      <c r="I41" s="2599"/>
      <c r="J41" s="2692">
        <v>2</v>
      </c>
      <c r="K41" s="2693" t="s">
        <v>2408</v>
      </c>
      <c r="L41" s="2694"/>
      <c r="M41" s="2694"/>
      <c r="N41" s="2694"/>
      <c r="O41" s="2694"/>
      <c r="P41" s="2695"/>
      <c r="Q41" s="2696"/>
      <c r="R41" s="2669">
        <f>ROUND(R40*Q41,0)</f>
        <v>0</v>
      </c>
      <c r="S41" s="2591"/>
      <c r="T41" s="2591"/>
      <c r="U41" s="2642"/>
      <c r="V41" s="2599"/>
    </row>
    <row r="42" spans="1:23" s="2603" customFormat="1" ht="13.15" customHeight="1">
      <c r="G42" s="2598"/>
      <c r="H42" s="2598"/>
      <c r="I42" s="2599"/>
      <c r="J42" s="3430">
        <v>3</v>
      </c>
      <c r="K42" s="2699" t="s">
        <v>2410</v>
      </c>
      <c r="L42" s="2700"/>
      <c r="M42" s="2701"/>
      <c r="N42" s="2702" t="s">
        <v>2411</v>
      </c>
      <c r="O42" s="2702" t="s">
        <v>2412</v>
      </c>
      <c r="P42" s="2703" t="s">
        <v>2413</v>
      </c>
      <c r="Q42" s="2703" t="s">
        <v>2414</v>
      </c>
      <c r="R42" s="2608" t="s">
        <v>2339</v>
      </c>
      <c r="S42" s="2642"/>
      <c r="T42" s="2642"/>
      <c r="U42" s="2591"/>
      <c r="V42" s="2599"/>
    </row>
    <row r="43" spans="1:23" ht="13.15" customHeight="1">
      <c r="A43" s="2603"/>
      <c r="B43" s="2603"/>
      <c r="C43" s="2603"/>
      <c r="D43" s="2603"/>
      <c r="E43" s="2603"/>
      <c r="F43" s="2603"/>
      <c r="I43" s="2586"/>
      <c r="J43" s="3431"/>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2417</v>
      </c>
      <c r="L44" s="2748" t="s">
        <v>2418</v>
      </c>
      <c r="M44" s="2714"/>
      <c r="N44" s="2748" t="s">
        <v>2419</v>
      </c>
      <c r="O44" s="2714"/>
      <c r="P44" s="2748" t="s">
        <v>2420</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N30" sqref="N3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1657</v>
      </c>
      <c r="B1" s="1726"/>
      <c r="C1" s="1726"/>
      <c r="D1" s="1726"/>
      <c r="E1" s="1727"/>
      <c r="F1" s="2478"/>
      <c r="G1" s="459"/>
      <c r="H1" s="459"/>
      <c r="I1" s="459"/>
      <c r="J1" s="459"/>
      <c r="K1" s="459"/>
      <c r="L1" s="459"/>
      <c r="M1" s="459"/>
      <c r="N1" s="459"/>
      <c r="O1" s="459"/>
      <c r="P1" s="459"/>
      <c r="Q1" s="459"/>
      <c r="R1" s="459"/>
      <c r="S1" s="459"/>
    </row>
    <row r="2" spans="1:22" ht="15.75">
      <c r="A2" s="1728" t="s">
        <v>1461</v>
      </c>
      <c r="B2" s="811">
        <f ca="1">SUMIF(B6:B13,"&lt;&gt;#ref!",B6:B13)</f>
        <v>8203</v>
      </c>
      <c r="C2" s="1729" t="s">
        <v>1650</v>
      </c>
      <c r="D2" s="1730" t="s">
        <v>1651</v>
      </c>
      <c r="E2" s="2391">
        <f>SUM(E6:E13)</f>
        <v>6547.83</v>
      </c>
      <c r="F2" s="2478"/>
      <c r="G2" s="459"/>
      <c r="H2" s="459"/>
      <c r="I2" s="459"/>
      <c r="J2" s="459"/>
      <c r="K2" s="459"/>
      <c r="L2" s="459"/>
      <c r="M2" s="459"/>
      <c r="N2" s="459"/>
      <c r="O2" s="459"/>
      <c r="P2" s="459"/>
      <c r="Q2" s="459"/>
      <c r="R2" s="459"/>
      <c r="S2" s="459"/>
    </row>
    <row r="3" spans="1:22" ht="15.75">
      <c r="A3" s="1728" t="s">
        <v>686</v>
      </c>
      <c r="B3" s="2385">
        <f ca="1">ROUND(B2*10000/E2,0)</f>
        <v>12528</v>
      </c>
      <c r="C3" s="1729" t="s">
        <v>1658</v>
      </c>
      <c r="D3" s="2478"/>
      <c r="E3" s="2481"/>
      <c r="F3" s="2478"/>
      <c r="G3" s="459"/>
      <c r="H3" s="459"/>
      <c r="I3" s="459"/>
      <c r="J3" s="459"/>
      <c r="K3" s="459"/>
      <c r="L3" s="459"/>
      <c r="M3" s="459"/>
      <c r="N3" s="459"/>
      <c r="O3" s="459"/>
      <c r="P3" s="459"/>
      <c r="Q3" s="459"/>
      <c r="R3" s="459"/>
      <c r="S3" s="459"/>
    </row>
    <row r="4" spans="1:22" ht="15.75">
      <c r="A4" s="2482"/>
      <c r="B4" s="2478"/>
      <c r="C4" s="2478"/>
      <c r="D4" s="2478"/>
      <c r="E4" s="2481"/>
      <c r="F4" s="2478"/>
      <c r="G4" s="459"/>
      <c r="H4" s="459"/>
      <c r="I4" s="459"/>
      <c r="J4" s="459"/>
      <c r="K4" s="459"/>
      <c r="L4" s="459"/>
      <c r="M4" s="459"/>
      <c r="N4" s="459"/>
      <c r="O4" s="459"/>
      <c r="P4" s="459"/>
      <c r="Q4" s="459"/>
      <c r="R4" s="459"/>
      <c r="S4" s="459"/>
    </row>
    <row r="5" spans="1:22" ht="15">
      <c r="A5" s="2387" t="s">
        <v>1652</v>
      </c>
      <c r="B5" s="3432" t="s">
        <v>1653</v>
      </c>
      <c r="C5" s="3433"/>
      <c r="D5" s="2479"/>
      <c r="E5" s="1731" t="s">
        <v>1654</v>
      </c>
      <c r="F5" s="129" t="s">
        <v>1655</v>
      </c>
      <c r="G5" s="459"/>
      <c r="H5" s="459"/>
      <c r="I5" s="459"/>
      <c r="J5" s="459"/>
      <c r="K5" s="459"/>
      <c r="L5" s="459"/>
      <c r="M5" s="459"/>
      <c r="N5" s="459"/>
      <c r="O5" s="459"/>
      <c r="P5" s="459"/>
      <c r="Q5" s="459"/>
      <c r="R5" s="459"/>
      <c r="S5" s="459"/>
    </row>
    <row r="6" spans="1:22">
      <c r="A6" s="2388" t="str">
        <f>'数据-取费表'!AN6</f>
        <v>收益法</v>
      </c>
      <c r="B6" s="2386">
        <f ca="1">IF(F6="是",'数据-取费表'!AO6,0)</f>
        <v>4170</v>
      </c>
      <c r="C6" s="1729" t="s">
        <v>1650</v>
      </c>
      <c r="D6" s="2478"/>
      <c r="E6" s="2390">
        <f>IF(OR(A6=0,F6="否"),0,'数据-取费表'!K6+'数据-取费表'!S6)</f>
        <v>4008.57</v>
      </c>
      <c r="F6" s="1732" t="s">
        <v>1656</v>
      </c>
      <c r="G6" s="459"/>
      <c r="H6" s="459"/>
      <c r="I6" s="459"/>
      <c r="J6" s="459"/>
      <c r="K6" s="459"/>
      <c r="L6" s="459"/>
      <c r="M6" s="459"/>
      <c r="N6" s="459"/>
      <c r="O6" s="459"/>
      <c r="P6" s="459"/>
      <c r="Q6" s="459"/>
      <c r="R6" s="459"/>
      <c r="S6" s="459"/>
    </row>
    <row r="7" spans="1:22">
      <c r="A7" s="2388" t="str">
        <f>'数据-取费表'!AN7</f>
        <v>收益法-未出租</v>
      </c>
      <c r="B7" s="2386">
        <f ca="1">IF(F7="是",'数据-取费表'!AO7,0)</f>
        <v>4033</v>
      </c>
      <c r="C7" s="1729" t="s">
        <v>1650</v>
      </c>
      <c r="D7" s="2478"/>
      <c r="E7" s="2390">
        <f>IF(OR(A7=0,F7="否"),0,'数据-取费表'!K7+'数据-取费表'!S7)</f>
        <v>2539.2599999999998</v>
      </c>
      <c r="F7" s="1732" t="s">
        <v>1656</v>
      </c>
      <c r="G7" s="459"/>
      <c r="H7" s="459"/>
      <c r="I7" s="459"/>
      <c r="J7" s="459"/>
      <c r="K7" s="459"/>
      <c r="L7" s="459"/>
      <c r="M7" s="459"/>
      <c r="N7" s="459"/>
      <c r="O7" s="459"/>
      <c r="P7" s="459"/>
      <c r="Q7" s="459"/>
      <c r="R7" s="459"/>
      <c r="S7" s="459"/>
    </row>
    <row r="8" spans="1:22">
      <c r="A8" s="2388">
        <f>'数据-取费表'!AN8</f>
        <v>0</v>
      </c>
      <c r="B8" s="2386" t="e">
        <f ca="1">IF(F8="是",'数据-取费表'!AO8,0)</f>
        <v>#REF!</v>
      </c>
      <c r="C8" s="1729" t="s">
        <v>1650</v>
      </c>
      <c r="D8" s="2478"/>
      <c r="E8" s="2390">
        <f>IF(OR(A8=0,F8="否"),0,'数据-取费表'!K8+'数据-取费表'!S8)</f>
        <v>0</v>
      </c>
      <c r="F8" s="1732" t="s">
        <v>1656</v>
      </c>
      <c r="G8" s="459"/>
      <c r="H8" s="459"/>
      <c r="I8" s="459"/>
      <c r="J8" s="459"/>
      <c r="K8" s="459"/>
      <c r="L8" s="459"/>
      <c r="M8" s="459"/>
      <c r="N8" s="459"/>
      <c r="O8" s="459"/>
      <c r="P8" s="459"/>
      <c r="Q8" s="459"/>
      <c r="R8" s="459"/>
      <c r="S8" s="459"/>
    </row>
    <row r="9" spans="1:22">
      <c r="A9" s="2388">
        <f>'数据-取费表'!AN9</f>
        <v>0</v>
      </c>
      <c r="B9" s="2386" t="e">
        <f ca="1">IF(F9="是",'数据-取费表'!AO9,0)</f>
        <v>#REF!</v>
      </c>
      <c r="C9" s="1729" t="s">
        <v>1650</v>
      </c>
      <c r="D9" s="2478"/>
      <c r="E9" s="2390">
        <f>IF(OR(A9=0,F9="否"),0,'数据-取费表'!K9+'数据-取费表'!S9)</f>
        <v>0</v>
      </c>
      <c r="F9" s="1732" t="s">
        <v>1656</v>
      </c>
      <c r="G9" s="459"/>
      <c r="H9" s="459"/>
      <c r="I9" s="459"/>
      <c r="J9" s="459"/>
      <c r="K9" s="459"/>
      <c r="L9" s="459"/>
      <c r="M9" s="459"/>
      <c r="N9" s="459"/>
      <c r="O9" s="459"/>
      <c r="P9" s="459"/>
      <c r="Q9" s="459"/>
      <c r="R9" s="459"/>
      <c r="S9" s="459"/>
    </row>
    <row r="10" spans="1:22">
      <c r="A10" s="2388">
        <f>'数据-取费表'!AN10</f>
        <v>0</v>
      </c>
      <c r="B10" s="2386" t="e">
        <f ca="1">IF(F10="是",'数据-取费表'!AO10,0)</f>
        <v>#REF!</v>
      </c>
      <c r="C10" s="1729" t="s">
        <v>1650</v>
      </c>
      <c r="D10" s="2478"/>
      <c r="E10" s="2390">
        <f>IF(OR(A10=0,F10="否"),0,'数据-取费表'!K10+'数据-取费表'!S10)</f>
        <v>0</v>
      </c>
      <c r="F10" s="1732" t="s">
        <v>1656</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9" t="s">
        <v>1650</v>
      </c>
      <c r="D11" s="2478"/>
      <c r="E11" s="2390">
        <f>IF(OR(A11=0,F11="否"),0,'数据-取费表'!K11+'数据-取费表'!S11)</f>
        <v>0</v>
      </c>
      <c r="F11" s="1732" t="s">
        <v>1656</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9" t="s">
        <v>1650</v>
      </c>
      <c r="D12" s="2478"/>
      <c r="E12" s="2390">
        <f>IF(OR(A12=0,F12="否"),0,'数据-取费表'!K12+'数据-取费表'!S12)</f>
        <v>0</v>
      </c>
      <c r="F12" s="1732" t="s">
        <v>1656</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1650</v>
      </c>
      <c r="D13" s="2480"/>
      <c r="E13" s="2390">
        <f>IF(OR(A13=0,F13="否"),0,'数据-取费表'!K13+'数据-取费表'!S13)</f>
        <v>0</v>
      </c>
      <c r="F13" s="1732" t="s">
        <v>1656</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1659</v>
      </c>
      <c r="B1" s="1734" t="s">
        <v>1660</v>
      </c>
      <c r="C1" s="1155" t="s">
        <v>1661</v>
      </c>
      <c r="D1" s="1142"/>
      <c r="E1" s="3123"/>
      <c r="F1" s="1735"/>
      <c r="G1" s="1152" t="s">
        <v>1662</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1663</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1664</v>
      </c>
      <c r="D3" s="343">
        <f>IF(D1="",'数据-汇总表'!E3,SUMIF('数据-汇总表'!$C19:$C33,D1,'数据-汇总表'!$E19:$E33))</f>
        <v>6547.83</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5">
      <c r="A4" s="345" t="s">
        <v>1665</v>
      </c>
      <c r="B4" s="346"/>
      <c r="C4" s="3452" t="s">
        <v>1666</v>
      </c>
      <c r="D4" s="3453"/>
      <c r="E4" s="3454" t="s">
        <v>1667</v>
      </c>
      <c r="F4" s="3455"/>
      <c r="G4" s="3452" t="s">
        <v>1668</v>
      </c>
      <c r="H4" s="3453"/>
      <c r="I4" s="3452" t="s">
        <v>1669</v>
      </c>
      <c r="J4" s="3453"/>
      <c r="K4" s="1744" t="s">
        <v>1670</v>
      </c>
      <c r="L4" s="2485"/>
      <c r="M4" s="2486"/>
      <c r="N4" s="2486"/>
      <c r="O4" s="2486"/>
      <c r="P4" s="3456" t="s">
        <v>1671</v>
      </c>
      <c r="Q4" s="3457"/>
      <c r="R4" s="3439" t="s">
        <v>1667</v>
      </c>
      <c r="S4" s="3440"/>
      <c r="T4" s="3439" t="s">
        <v>1668</v>
      </c>
      <c r="U4" s="3440"/>
      <c r="V4" s="3464" t="s">
        <v>1669</v>
      </c>
      <c r="W4" s="3464"/>
      <c r="X4" s="1265"/>
      <c r="Y4" s="3439" t="s">
        <v>1671</v>
      </c>
      <c r="Z4" s="3440"/>
      <c r="AA4" s="3434" t="s">
        <v>1667</v>
      </c>
      <c r="AB4" s="3434" t="s">
        <v>1668</v>
      </c>
      <c r="AC4" s="3434" t="s">
        <v>1669</v>
      </c>
    </row>
    <row r="5" spans="1:29" ht="15">
      <c r="A5" s="348"/>
      <c r="B5" s="349"/>
      <c r="C5" s="3445" t="s">
        <v>1672</v>
      </c>
      <c r="D5" s="3446"/>
      <c r="E5" s="3443" t="s">
        <v>1673</v>
      </c>
      <c r="F5" s="3444"/>
      <c r="G5" s="3445" t="s">
        <v>1674</v>
      </c>
      <c r="H5" s="3446"/>
      <c r="I5" s="3445" t="s">
        <v>1675</v>
      </c>
      <c r="J5" s="3446"/>
      <c r="K5" s="1745"/>
      <c r="L5" s="2485"/>
      <c r="M5" s="2486"/>
      <c r="N5" s="2486"/>
      <c r="O5" s="2486"/>
      <c r="P5" s="3458"/>
      <c r="Q5" s="3459"/>
      <c r="R5" s="3441"/>
      <c r="S5" s="3442"/>
      <c r="T5" s="3441"/>
      <c r="U5" s="3442"/>
      <c r="V5" s="3464"/>
      <c r="W5" s="3464"/>
      <c r="X5" s="1265"/>
      <c r="Y5" s="3441"/>
      <c r="Z5" s="3442"/>
      <c r="AA5" s="3435"/>
      <c r="AB5" s="3435"/>
      <c r="AC5" s="3435"/>
    </row>
    <row r="6" spans="1:29" ht="15.75" thickBot="1">
      <c r="A6" s="350"/>
      <c r="B6" s="351"/>
      <c r="C6" s="3447" t="s">
        <v>1676</v>
      </c>
      <c r="D6" s="3448"/>
      <c r="E6" s="3449" t="s">
        <v>1676</v>
      </c>
      <c r="F6" s="3450"/>
      <c r="G6" s="3447" t="s">
        <v>1676</v>
      </c>
      <c r="H6" s="3448"/>
      <c r="I6" s="3447" t="s">
        <v>1676</v>
      </c>
      <c r="J6" s="3448"/>
      <c r="K6" s="1745" t="s">
        <v>1677</v>
      </c>
      <c r="L6" s="2485"/>
      <c r="M6" s="2486"/>
      <c r="N6" s="2486"/>
      <c r="O6" s="2486"/>
      <c r="P6" s="3460"/>
      <c r="Q6" s="3461"/>
      <c r="R6" s="3441"/>
      <c r="S6" s="3442"/>
      <c r="T6" s="3462"/>
      <c r="U6" s="3463"/>
      <c r="V6" s="3464"/>
      <c r="W6" s="3464"/>
      <c r="X6" s="1265"/>
      <c r="Y6" s="3462"/>
      <c r="Z6" s="3463"/>
      <c r="AA6" s="3436"/>
      <c r="AB6" s="3436"/>
      <c r="AC6" s="3436"/>
    </row>
    <row r="7" spans="1:29" s="102" customFormat="1" ht="15.75" thickBot="1">
      <c r="A7" s="352" t="s">
        <v>1678</v>
      </c>
      <c r="B7" s="353"/>
      <c r="C7" s="354">
        <f>'数据-取费表'!B2</f>
        <v>45051</v>
      </c>
      <c r="D7" s="355">
        <v>100</v>
      </c>
      <c r="E7" s="356"/>
      <c r="F7" s="357">
        <f>SUMIF(58:58,YEAR(E7)&amp;"-"&amp;MONTH(E7),59:59)</f>
        <v>0</v>
      </c>
      <c r="G7" s="356"/>
      <c r="H7" s="355">
        <f>SUMIF(58:58,YEAR(G7)&amp;"-"&amp;MONTH(G7),59:59)</f>
        <v>0</v>
      </c>
      <c r="I7" s="356"/>
      <c r="J7" s="355">
        <f>SUMIF(58:58,YEAR(I7)&amp;"-"&amp;MONTH(I7),59:59)</f>
        <v>0</v>
      </c>
      <c r="K7" s="1746"/>
      <c r="L7" s="2487"/>
      <c r="M7" s="2438"/>
      <c r="N7" s="2438"/>
      <c r="O7" s="2438"/>
      <c r="P7" s="3437" t="s">
        <v>1679</v>
      </c>
      <c r="Q7" s="3465"/>
      <c r="R7" s="664" t="s">
        <v>20</v>
      </c>
      <c r="S7" s="665">
        <f t="shared" ref="S7:S15" si="0">F7</f>
        <v>0</v>
      </c>
      <c r="T7" s="664" t="s">
        <v>20</v>
      </c>
      <c r="U7" s="665">
        <f t="shared" ref="U7:U15" si="1">H7</f>
        <v>0</v>
      </c>
      <c r="V7" s="664" t="s">
        <v>20</v>
      </c>
      <c r="W7" s="665">
        <f t="shared" ref="W7:W15" si="2">J7</f>
        <v>0</v>
      </c>
      <c r="X7" s="666"/>
      <c r="Y7" s="3437" t="s">
        <v>1679</v>
      </c>
      <c r="Z7" s="3438"/>
      <c r="AA7" s="50" t="e">
        <f>D7/F7</f>
        <v>#DIV/0!</v>
      </c>
      <c r="AB7" s="50" t="e">
        <f>D7/H7</f>
        <v>#DIV/0!</v>
      </c>
      <c r="AC7" s="50" t="e">
        <f>D7/J7</f>
        <v>#DIV/0!</v>
      </c>
    </row>
    <row r="8" spans="1:29" s="102" customFormat="1" ht="15.75" thickBot="1">
      <c r="A8" s="352" t="s">
        <v>1680</v>
      </c>
      <c r="B8" s="353"/>
      <c r="C8" s="358"/>
      <c r="D8" s="355">
        <v>100</v>
      </c>
      <c r="E8" s="1747"/>
      <c r="F8" s="357">
        <f>SUMIF(61:61,E8,62:62)-SUMIF(61:61,C8,62:62)+100</f>
        <v>100</v>
      </c>
      <c r="G8" s="358"/>
      <c r="H8" s="355">
        <f>SUMIF(61:61,G8,62:62)-SUMIF(61:61,C8,62:62)+100</f>
        <v>100</v>
      </c>
      <c r="I8" s="1747"/>
      <c r="J8" s="355">
        <f>SUMIF(61:61,I8,62:62)-SUMIF(61:61,C8,62:62)+100</f>
        <v>100</v>
      </c>
      <c r="K8" s="1746"/>
      <c r="L8" s="2487"/>
      <c r="M8" s="2438"/>
      <c r="N8" s="2438"/>
      <c r="O8" s="2438"/>
      <c r="P8" s="3437" t="s">
        <v>1682</v>
      </c>
      <c r="Q8" s="3438"/>
      <c r="R8" s="664" t="s">
        <v>20</v>
      </c>
      <c r="S8" s="665">
        <f t="shared" si="0"/>
        <v>100</v>
      </c>
      <c r="T8" s="664" t="s">
        <v>20</v>
      </c>
      <c r="U8" s="665">
        <f t="shared" si="1"/>
        <v>100</v>
      </c>
      <c r="V8" s="664" t="s">
        <v>20</v>
      </c>
      <c r="W8" s="665">
        <f t="shared" si="2"/>
        <v>100</v>
      </c>
      <c r="X8" s="666"/>
      <c r="Y8" s="3437" t="s">
        <v>1682</v>
      </c>
      <c r="Z8" s="3438"/>
      <c r="AA8" s="50">
        <f t="shared" ref="AA8:AA19" si="3">D8/F8</f>
        <v>1</v>
      </c>
      <c r="AB8" s="50">
        <f t="shared" ref="AB8:AB19" si="4">D8/H8</f>
        <v>1</v>
      </c>
      <c r="AC8" s="50">
        <f t="shared" ref="AC8:AC19" si="5">D8/J8</f>
        <v>1</v>
      </c>
    </row>
    <row r="9" spans="1:29" s="102" customFormat="1">
      <c r="A9" s="359" t="s">
        <v>1683</v>
      </c>
      <c r="B9" s="60" t="s">
        <v>1684</v>
      </c>
      <c r="C9" s="360"/>
      <c r="D9" s="59">
        <v>100</v>
      </c>
      <c r="E9" s="361"/>
      <c r="F9" s="60">
        <f>SUMIF(63:63,E9,64:64)-SUMIF(63:63,C9,64:64)+100</f>
        <v>100</v>
      </c>
      <c r="G9" s="362"/>
      <c r="H9" s="59">
        <f>SUMIF(63:63,G9,64:64)-SUMIF(63:63,C9,64:64)+100</f>
        <v>100</v>
      </c>
      <c r="I9" s="362"/>
      <c r="J9" s="59">
        <f>SUMIF(63:63,I9,64:64)-SUMIF(63:63,C9,64:64)+100</f>
        <v>100</v>
      </c>
      <c r="K9" s="1746"/>
      <c r="L9" s="2487"/>
      <c r="M9" s="2438"/>
      <c r="N9" s="2438"/>
      <c r="O9" s="2438"/>
      <c r="P9" s="3451" t="s">
        <v>1685</v>
      </c>
      <c r="Q9" s="530" t="str">
        <f t="shared" ref="Q9:Q15" si="6">B9</f>
        <v>用途</v>
      </c>
      <c r="R9" s="664" t="s">
        <v>14</v>
      </c>
      <c r="S9" s="665">
        <f t="shared" si="0"/>
        <v>100</v>
      </c>
      <c r="T9" s="664" t="s">
        <v>14</v>
      </c>
      <c r="U9" s="665">
        <f t="shared" si="1"/>
        <v>100</v>
      </c>
      <c r="V9" s="664" t="s">
        <v>14</v>
      </c>
      <c r="W9" s="665">
        <f t="shared" si="2"/>
        <v>100</v>
      </c>
      <c r="X9" s="666"/>
      <c r="Y9" s="3362" t="s">
        <v>1686</v>
      </c>
      <c r="Z9" s="50" t="str">
        <f t="shared" ref="Z9:Z15" si="7">Q9</f>
        <v>用途</v>
      </c>
      <c r="AA9" s="50">
        <f t="shared" si="3"/>
        <v>1</v>
      </c>
      <c r="AB9" s="50">
        <f t="shared" si="4"/>
        <v>1</v>
      </c>
      <c r="AC9" s="50">
        <f t="shared" si="5"/>
        <v>1</v>
      </c>
    </row>
    <row r="10" spans="1:29" s="366" customFormat="1" ht="27">
      <c r="A10" s="363"/>
      <c r="B10" s="364" t="s">
        <v>1687</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451"/>
      <c r="Q10" s="530" t="str">
        <f t="shared" si="6"/>
        <v>土地使用年限（年）</v>
      </c>
      <c r="R10" s="664" t="s">
        <v>14</v>
      </c>
      <c r="S10" s="665">
        <f t="shared" si="0"/>
        <v>100</v>
      </c>
      <c r="T10" s="664" t="s">
        <v>14</v>
      </c>
      <c r="U10" s="665">
        <f t="shared" si="1"/>
        <v>100</v>
      </c>
      <c r="V10" s="664" t="s">
        <v>14</v>
      </c>
      <c r="W10" s="665">
        <f t="shared" si="2"/>
        <v>100</v>
      </c>
      <c r="X10" s="666"/>
      <c r="Y10" s="3362"/>
      <c r="Z10" s="50" t="str">
        <f t="shared" si="7"/>
        <v>土地使用年限（年）</v>
      </c>
      <c r="AA10" s="50">
        <f t="shared" si="3"/>
        <v>1</v>
      </c>
      <c r="AB10" s="50">
        <f t="shared" si="4"/>
        <v>1</v>
      </c>
      <c r="AC10" s="50">
        <f t="shared" si="5"/>
        <v>1</v>
      </c>
    </row>
    <row r="11" spans="1:29" ht="15">
      <c r="A11" s="367"/>
      <c r="B11" s="364" t="s">
        <v>1688</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451"/>
      <c r="Q11" s="530" t="str">
        <f t="shared" si="6"/>
        <v>容积率</v>
      </c>
      <c r="R11" s="664" t="s">
        <v>18</v>
      </c>
      <c r="S11" s="665" t="e">
        <f t="shared" si="0"/>
        <v>#N/A</v>
      </c>
      <c r="T11" s="664" t="s">
        <v>18</v>
      </c>
      <c r="U11" s="665" t="e">
        <f t="shared" si="1"/>
        <v>#N/A</v>
      </c>
      <c r="V11" s="664" t="s">
        <v>18</v>
      </c>
      <c r="W11" s="665" t="e">
        <f t="shared" si="2"/>
        <v>#N/A</v>
      </c>
      <c r="X11" s="666"/>
      <c r="Y11" s="336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8"/>
      <c r="N12" s="2438"/>
      <c r="O12" s="2438"/>
      <c r="P12" s="3451"/>
      <c r="Q12" s="530">
        <f t="shared" si="6"/>
        <v>111</v>
      </c>
      <c r="R12" s="664" t="s">
        <v>18</v>
      </c>
      <c r="S12" s="665">
        <f t="shared" si="0"/>
        <v>100</v>
      </c>
      <c r="T12" s="664" t="s">
        <v>18</v>
      </c>
      <c r="U12" s="665">
        <f t="shared" si="1"/>
        <v>100</v>
      </c>
      <c r="V12" s="664" t="s">
        <v>18</v>
      </c>
      <c r="W12" s="665">
        <f t="shared" si="2"/>
        <v>100</v>
      </c>
      <c r="X12" s="666"/>
      <c r="Y12" s="336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451"/>
      <c r="Q13" s="530">
        <f t="shared" si="6"/>
        <v>111</v>
      </c>
      <c r="R13" s="664" t="s">
        <v>18</v>
      </c>
      <c r="S13" s="665">
        <f t="shared" si="0"/>
        <v>100</v>
      </c>
      <c r="T13" s="664" t="s">
        <v>18</v>
      </c>
      <c r="U13" s="665">
        <f t="shared" si="1"/>
        <v>100</v>
      </c>
      <c r="V13" s="664" t="s">
        <v>18</v>
      </c>
      <c r="W13" s="665">
        <f t="shared" si="2"/>
        <v>100</v>
      </c>
      <c r="X13" s="666"/>
      <c r="Y13" s="3362"/>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451"/>
      <c r="Q14" s="530">
        <f t="shared" si="6"/>
        <v>111</v>
      </c>
      <c r="R14" s="664" t="s">
        <v>18</v>
      </c>
      <c r="S14" s="665">
        <f t="shared" si="0"/>
        <v>100</v>
      </c>
      <c r="T14" s="664" t="s">
        <v>18</v>
      </c>
      <c r="U14" s="665">
        <f t="shared" si="1"/>
        <v>100</v>
      </c>
      <c r="V14" s="664" t="s">
        <v>18</v>
      </c>
      <c r="W14" s="665">
        <f t="shared" si="2"/>
        <v>100</v>
      </c>
      <c r="X14" s="666"/>
      <c r="Y14" s="3362"/>
      <c r="Z14" s="50">
        <f t="shared" si="7"/>
        <v>111</v>
      </c>
      <c r="AA14" s="50">
        <f t="shared" si="3"/>
        <v>1</v>
      </c>
      <c r="AB14" s="50">
        <f t="shared" si="4"/>
        <v>1</v>
      </c>
      <c r="AC14" s="50">
        <f t="shared" si="5"/>
        <v>1</v>
      </c>
    </row>
    <row r="15" spans="1:29" ht="15">
      <c r="A15" s="379" t="s">
        <v>1689</v>
      </c>
      <c r="B15" s="58" t="s">
        <v>1256</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77" t="s">
        <v>1690</v>
      </c>
      <c r="Q15" s="1263" t="str">
        <f t="shared" si="6"/>
        <v>居住社区成熟度</v>
      </c>
      <c r="R15" s="667" t="s">
        <v>18</v>
      </c>
      <c r="S15" s="668">
        <f t="shared" si="0"/>
        <v>100</v>
      </c>
      <c r="T15" s="667" t="s">
        <v>18</v>
      </c>
      <c r="U15" s="668">
        <f t="shared" si="1"/>
        <v>100</v>
      </c>
      <c r="V15" s="667" t="s">
        <v>18</v>
      </c>
      <c r="W15" s="668">
        <f t="shared" si="2"/>
        <v>100</v>
      </c>
      <c r="X15" s="1265"/>
      <c r="Y15" s="3470" t="s">
        <v>1690</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478"/>
      <c r="Q16" s="1263"/>
      <c r="R16" s="667"/>
      <c r="S16" s="668"/>
      <c r="T16" s="667"/>
      <c r="U16" s="668"/>
      <c r="V16" s="667"/>
      <c r="W16" s="668"/>
      <c r="X16" s="1265"/>
      <c r="Y16" s="3471"/>
      <c r="Z16" s="1264"/>
      <c r="AA16" s="1264">
        <v>1</v>
      </c>
      <c r="AB16" s="1264">
        <v>1</v>
      </c>
      <c r="AC16" s="1264">
        <v>1</v>
      </c>
    </row>
    <row r="17" spans="1:29" ht="85.5">
      <c r="A17" s="367"/>
      <c r="B17" s="390" t="s">
        <v>1258</v>
      </c>
      <c r="C17" s="1754" t="str">
        <f>估价对象房地状况!C6</f>
        <v>周边有75、110、420路及地铁2号、6号线，周边道路密集，停车便捷程度，综合评价交通便捷度好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78"/>
      <c r="Q17" s="1263" t="str">
        <f>B17</f>
        <v>交通便捷度</v>
      </c>
      <c r="R17" s="667" t="s">
        <v>18</v>
      </c>
      <c r="S17" s="668">
        <f>F17</f>
        <v>100</v>
      </c>
      <c r="T17" s="667" t="s">
        <v>18</v>
      </c>
      <c r="U17" s="668">
        <f>H17</f>
        <v>100</v>
      </c>
      <c r="V17" s="667" t="s">
        <v>18</v>
      </c>
      <c r="W17" s="668">
        <f>J17</f>
        <v>100</v>
      </c>
      <c r="X17" s="1265"/>
      <c r="Y17" s="3471"/>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478"/>
      <c r="Q18" s="1263"/>
      <c r="R18" s="667"/>
      <c r="S18" s="668"/>
      <c r="T18" s="667"/>
      <c r="U18" s="668"/>
      <c r="V18" s="667"/>
      <c r="W18" s="668"/>
      <c r="X18" s="1265"/>
      <c r="Y18" s="3471"/>
      <c r="Z18" s="1264"/>
      <c r="AA18" s="1264">
        <v>1</v>
      </c>
      <c r="AB18" s="1264">
        <v>1</v>
      </c>
      <c r="AC18" s="1264">
        <v>1</v>
      </c>
    </row>
    <row r="19" spans="1:29" ht="85.5">
      <c r="A19" s="367"/>
      <c r="B19" s="390" t="s">
        <v>1257</v>
      </c>
      <c r="C19" s="1754" t="str">
        <f>估价对象房地状况!C7</f>
        <v>估价对象所在区域银行、购物场所、学校等公共配套设施齐备，综合评价公共配套设施水平好。</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78"/>
      <c r="Q19" s="1263" t="str">
        <f>B19</f>
        <v>公共配套设施</v>
      </c>
      <c r="R19" s="667" t="s">
        <v>18</v>
      </c>
      <c r="S19" s="668">
        <f>F19</f>
        <v>100</v>
      </c>
      <c r="T19" s="667" t="s">
        <v>18</v>
      </c>
      <c r="U19" s="668">
        <f>H19</f>
        <v>100</v>
      </c>
      <c r="V19" s="667" t="s">
        <v>18</v>
      </c>
      <c r="W19" s="668">
        <f>J19</f>
        <v>100</v>
      </c>
      <c r="X19" s="1265"/>
      <c r="Y19" s="3471"/>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478"/>
      <c r="Q20" s="1263"/>
      <c r="R20" s="667"/>
      <c r="S20" s="668"/>
      <c r="T20" s="667"/>
      <c r="U20" s="668"/>
      <c r="V20" s="667"/>
      <c r="W20" s="668"/>
      <c r="X20" s="1265"/>
      <c r="Y20" s="3471"/>
      <c r="Z20" s="1264"/>
      <c r="AA20" s="1264">
        <v>1</v>
      </c>
      <c r="AB20" s="1264">
        <v>1</v>
      </c>
      <c r="AC20" s="1264">
        <v>1</v>
      </c>
    </row>
    <row r="21" spans="1:29" ht="42.75">
      <c r="A21" s="367"/>
      <c r="B21" s="586" t="s">
        <v>1259</v>
      </c>
      <c r="C21" s="1754" t="str">
        <f>估价对象房地状况!C8</f>
        <v>估价对象所在区域基础设施水平“七通一平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78"/>
      <c r="Q21" s="1263" t="str">
        <f>B21</f>
        <v>基础设施水平</v>
      </c>
      <c r="R21" s="667" t="s">
        <v>14</v>
      </c>
      <c r="S21" s="668">
        <f>F21</f>
        <v>100</v>
      </c>
      <c r="T21" s="667" t="s">
        <v>14</v>
      </c>
      <c r="U21" s="668">
        <f>H21</f>
        <v>100</v>
      </c>
      <c r="V21" s="667" t="s">
        <v>14</v>
      </c>
      <c r="W21" s="668">
        <f>J21</f>
        <v>100</v>
      </c>
      <c r="X21" s="1265"/>
      <c r="Y21" s="347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478"/>
      <c r="Q22" s="1263"/>
      <c r="R22" s="667"/>
      <c r="S22" s="668"/>
      <c r="T22" s="667"/>
      <c r="U22" s="668"/>
      <c r="V22" s="667"/>
      <c r="W22" s="668"/>
      <c r="X22" s="1265"/>
      <c r="Y22" s="3471"/>
      <c r="Z22" s="1264"/>
      <c r="AA22" s="1264">
        <v>1</v>
      </c>
      <c r="AB22" s="1264">
        <v>1</v>
      </c>
      <c r="AC22" s="1264">
        <v>1</v>
      </c>
    </row>
    <row r="23" spans="1:29" ht="85.5">
      <c r="A23" s="367"/>
      <c r="B23" s="390" t="s">
        <v>1260</v>
      </c>
      <c r="C23" s="1754" t="str">
        <f>估价对象房地状况!C9</f>
        <v>区域内有东城职业大学、日坛公园、富国海底世界等自然及人文环境，综合评价自然及人文环境状况较好。</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78"/>
      <c r="Q23" s="1263" t="str">
        <f>B23</f>
        <v>自然及人文环境</v>
      </c>
      <c r="R23" s="667" t="s">
        <v>18</v>
      </c>
      <c r="S23" s="668">
        <f>F23</f>
        <v>100</v>
      </c>
      <c r="T23" s="667" t="s">
        <v>18</v>
      </c>
      <c r="U23" s="668">
        <f>H23</f>
        <v>100</v>
      </c>
      <c r="V23" s="667" t="s">
        <v>18</v>
      </c>
      <c r="W23" s="668">
        <f>J23</f>
        <v>100</v>
      </c>
      <c r="X23" s="1265"/>
      <c r="Y23" s="3471"/>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478"/>
      <c r="Q24" s="1263"/>
      <c r="R24" s="667"/>
      <c r="S24" s="668"/>
      <c r="T24" s="667"/>
      <c r="U24" s="668"/>
      <c r="V24" s="667"/>
      <c r="W24" s="668"/>
      <c r="X24" s="1265"/>
      <c r="Y24" s="3471"/>
      <c r="Z24" s="1264"/>
      <c r="AA24" s="1264">
        <v>1</v>
      </c>
      <c r="AB24" s="1264">
        <v>1</v>
      </c>
      <c r="AC24" s="1264">
        <v>1</v>
      </c>
    </row>
    <row r="25" spans="1:29" ht="15">
      <c r="A25" s="367"/>
      <c r="B25" s="364" t="s">
        <v>1691</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7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71"/>
      <c r="Z25" s="1264" t="str">
        <f>Q25</f>
        <v>楼层-1</v>
      </c>
      <c r="AA25" s="1264">
        <f t="shared" ref="AA25:AA46" si="15">D25/F25</f>
        <v>1</v>
      </c>
      <c r="AB25" s="1264">
        <f t="shared" ref="AB25:AB46" si="16">D25/H25</f>
        <v>1</v>
      </c>
      <c r="AC25" s="1264">
        <f t="shared" ref="AC25:AC46" si="17">D25/J25</f>
        <v>1</v>
      </c>
    </row>
    <row r="26" spans="1:29" ht="15">
      <c r="A26" s="367"/>
      <c r="B26" s="364" t="s">
        <v>1692</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478"/>
      <c r="Q26" s="1263" t="str">
        <f t="shared" si="11"/>
        <v>朝向</v>
      </c>
      <c r="R26" s="667" t="s">
        <v>18</v>
      </c>
      <c r="S26" s="668">
        <f t="shared" si="12"/>
        <v>100</v>
      </c>
      <c r="T26" s="667" t="s">
        <v>18</v>
      </c>
      <c r="U26" s="668">
        <f t="shared" si="13"/>
        <v>100</v>
      </c>
      <c r="V26" s="667" t="s">
        <v>18</v>
      </c>
      <c r="W26" s="668">
        <f t="shared" si="14"/>
        <v>100</v>
      </c>
      <c r="X26" s="1265"/>
      <c r="Y26" s="3471"/>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8"/>
      <c r="N27" s="2438"/>
      <c r="O27" s="2438"/>
      <c r="P27" s="3478"/>
      <c r="Q27" s="530">
        <f t="shared" si="11"/>
        <v>111</v>
      </c>
      <c r="R27" s="664" t="s">
        <v>18</v>
      </c>
      <c r="S27" s="665">
        <f t="shared" si="12"/>
        <v>100</v>
      </c>
      <c r="T27" s="664" t="s">
        <v>18</v>
      </c>
      <c r="U27" s="665">
        <f t="shared" si="13"/>
        <v>100</v>
      </c>
      <c r="V27" s="664" t="s">
        <v>18</v>
      </c>
      <c r="W27" s="665">
        <f t="shared" si="14"/>
        <v>100</v>
      </c>
      <c r="X27" s="666"/>
      <c r="Y27" s="3471"/>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78"/>
      <c r="Q28" s="1263">
        <f t="shared" si="11"/>
        <v>111</v>
      </c>
      <c r="R28" s="667" t="s">
        <v>18</v>
      </c>
      <c r="S28" s="668">
        <f t="shared" si="12"/>
        <v>100</v>
      </c>
      <c r="T28" s="667" t="s">
        <v>18</v>
      </c>
      <c r="U28" s="668">
        <f t="shared" si="13"/>
        <v>100</v>
      </c>
      <c r="V28" s="667" t="s">
        <v>18</v>
      </c>
      <c r="W28" s="668">
        <f t="shared" si="14"/>
        <v>100</v>
      </c>
      <c r="X28" s="1265"/>
      <c r="Y28" s="3471"/>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78"/>
      <c r="Q29" s="1263">
        <f t="shared" si="11"/>
        <v>111</v>
      </c>
      <c r="R29" s="667" t="s">
        <v>18</v>
      </c>
      <c r="S29" s="668">
        <f t="shared" si="12"/>
        <v>100</v>
      </c>
      <c r="T29" s="667" t="s">
        <v>18</v>
      </c>
      <c r="U29" s="668">
        <f t="shared" si="13"/>
        <v>100</v>
      </c>
      <c r="V29" s="667" t="s">
        <v>18</v>
      </c>
      <c r="W29" s="668">
        <f t="shared" si="14"/>
        <v>100</v>
      </c>
      <c r="X29" s="1265"/>
      <c r="Y29" s="3471"/>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78"/>
      <c r="Q30" s="1263">
        <f t="shared" si="11"/>
        <v>111</v>
      </c>
      <c r="R30" s="667" t="s">
        <v>18</v>
      </c>
      <c r="S30" s="668">
        <f t="shared" si="12"/>
        <v>100</v>
      </c>
      <c r="T30" s="667" t="s">
        <v>18</v>
      </c>
      <c r="U30" s="668">
        <f t="shared" si="13"/>
        <v>100</v>
      </c>
      <c r="V30" s="667" t="s">
        <v>18</v>
      </c>
      <c r="W30" s="668">
        <f t="shared" si="14"/>
        <v>100</v>
      </c>
      <c r="X30" s="1265"/>
      <c r="Y30" s="3471"/>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78"/>
      <c r="Q31" s="1263">
        <f t="shared" si="11"/>
        <v>111</v>
      </c>
      <c r="R31" s="667" t="s">
        <v>18</v>
      </c>
      <c r="S31" s="668">
        <f t="shared" si="12"/>
        <v>100</v>
      </c>
      <c r="T31" s="667" t="s">
        <v>18</v>
      </c>
      <c r="U31" s="668">
        <f t="shared" si="13"/>
        <v>100</v>
      </c>
      <c r="V31" s="667" t="s">
        <v>18</v>
      </c>
      <c r="W31" s="668">
        <f t="shared" si="14"/>
        <v>100</v>
      </c>
      <c r="X31" s="1265"/>
      <c r="Y31" s="3471"/>
      <c r="Z31" s="1264">
        <f t="shared" si="18"/>
        <v>111</v>
      </c>
      <c r="AA31" s="1264">
        <f t="shared" si="15"/>
        <v>1</v>
      </c>
      <c r="AB31" s="1264">
        <f t="shared" si="16"/>
        <v>1</v>
      </c>
      <c r="AC31" s="1264">
        <f t="shared" si="17"/>
        <v>1</v>
      </c>
    </row>
    <row r="32" spans="1:29" ht="15">
      <c r="A32" s="379" t="s">
        <v>1693</v>
      </c>
      <c r="B32" s="60" t="s">
        <v>1694</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472" t="s">
        <v>1695</v>
      </c>
      <c r="Q32" s="1263" t="str">
        <f t="shared" si="11"/>
        <v>建筑类型</v>
      </c>
      <c r="R32" s="667" t="s">
        <v>18</v>
      </c>
      <c r="S32" s="668">
        <f t="shared" si="12"/>
        <v>100</v>
      </c>
      <c r="T32" s="667" t="s">
        <v>18</v>
      </c>
      <c r="U32" s="668">
        <f t="shared" si="13"/>
        <v>100</v>
      </c>
      <c r="V32" s="667" t="s">
        <v>18</v>
      </c>
      <c r="W32" s="668">
        <f t="shared" si="14"/>
        <v>100</v>
      </c>
      <c r="X32" s="1265"/>
      <c r="Y32" s="3475" t="s">
        <v>1695</v>
      </c>
      <c r="Z32" s="1264" t="str">
        <f t="shared" si="18"/>
        <v>建筑类型</v>
      </c>
      <c r="AA32" s="1264">
        <f t="shared" si="15"/>
        <v>1</v>
      </c>
      <c r="AB32" s="1264">
        <f t="shared" si="16"/>
        <v>1</v>
      </c>
      <c r="AC32" s="1264">
        <f t="shared" si="17"/>
        <v>1</v>
      </c>
    </row>
    <row r="33" spans="1:29" s="408" customFormat="1" ht="15">
      <c r="A33" s="406"/>
      <c r="B33" s="364" t="s">
        <v>1696</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473"/>
      <c r="Q33" s="531" t="str">
        <f t="shared" si="11"/>
        <v>项目建筑规模</v>
      </c>
      <c r="R33" s="669" t="s">
        <v>18</v>
      </c>
      <c r="S33" s="670" t="e">
        <f t="shared" si="12"/>
        <v>#N/A</v>
      </c>
      <c r="T33" s="669" t="s">
        <v>18</v>
      </c>
      <c r="U33" s="670" t="e">
        <f t="shared" si="13"/>
        <v>#N/A</v>
      </c>
      <c r="V33" s="669" t="s">
        <v>18</v>
      </c>
      <c r="W33" s="670" t="e">
        <f t="shared" si="14"/>
        <v>#N/A</v>
      </c>
      <c r="X33" s="671"/>
      <c r="Y33" s="3475"/>
      <c r="Z33" s="672" t="str">
        <f t="shared" si="18"/>
        <v>项目建筑规模</v>
      </c>
      <c r="AA33" s="1264" t="e">
        <f t="shared" si="15"/>
        <v>#N/A</v>
      </c>
      <c r="AB33" s="1264" t="e">
        <f t="shared" si="16"/>
        <v>#N/A</v>
      </c>
      <c r="AC33" s="1264" t="e">
        <f t="shared" si="17"/>
        <v>#N/A</v>
      </c>
    </row>
    <row r="34" spans="1:29" ht="15">
      <c r="A34" s="409"/>
      <c r="B34" s="364" t="s">
        <v>1697</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473"/>
      <c r="Q34" s="1263" t="str">
        <f t="shared" si="11"/>
        <v>建筑结构</v>
      </c>
      <c r="R34" s="667" t="s">
        <v>18</v>
      </c>
      <c r="S34" s="668">
        <f t="shared" si="12"/>
        <v>100</v>
      </c>
      <c r="T34" s="667" t="s">
        <v>18</v>
      </c>
      <c r="U34" s="668">
        <f t="shared" si="13"/>
        <v>100</v>
      </c>
      <c r="V34" s="667" t="s">
        <v>18</v>
      </c>
      <c r="W34" s="668">
        <f t="shared" si="14"/>
        <v>100</v>
      </c>
      <c r="X34" s="1265"/>
      <c r="Y34" s="3475"/>
      <c r="Z34" s="1264" t="str">
        <f t="shared" si="18"/>
        <v>建筑结构</v>
      </c>
      <c r="AA34" s="1264">
        <f t="shared" si="15"/>
        <v>1</v>
      </c>
      <c r="AB34" s="1264">
        <f t="shared" si="16"/>
        <v>1</v>
      </c>
      <c r="AC34" s="1264">
        <f t="shared" si="17"/>
        <v>1</v>
      </c>
    </row>
    <row r="35" spans="1:29" ht="15">
      <c r="A35" s="409"/>
      <c r="B35" s="364" t="s">
        <v>1698</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473"/>
      <c r="Q35" s="1263" t="str">
        <f t="shared" si="11"/>
        <v>建筑品质</v>
      </c>
      <c r="R35" s="667" t="s">
        <v>18</v>
      </c>
      <c r="S35" s="668">
        <f t="shared" si="12"/>
        <v>100</v>
      </c>
      <c r="T35" s="667" t="s">
        <v>18</v>
      </c>
      <c r="U35" s="668">
        <f t="shared" si="13"/>
        <v>100</v>
      </c>
      <c r="V35" s="667" t="s">
        <v>18</v>
      </c>
      <c r="W35" s="668">
        <f t="shared" si="14"/>
        <v>100</v>
      </c>
      <c r="X35" s="1265"/>
      <c r="Y35" s="3475"/>
      <c r="Z35" s="1264" t="str">
        <f t="shared" si="18"/>
        <v>建筑品质</v>
      </c>
      <c r="AA35" s="1264">
        <f t="shared" si="15"/>
        <v>1</v>
      </c>
      <c r="AB35" s="1264">
        <f t="shared" si="16"/>
        <v>1</v>
      </c>
      <c r="AC35" s="1264">
        <f t="shared" si="17"/>
        <v>1</v>
      </c>
    </row>
    <row r="36" spans="1:29" ht="15">
      <c r="A36" s="409"/>
      <c r="B36" s="364" t="s">
        <v>1699</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473"/>
      <c r="Q36" s="1263" t="str">
        <f t="shared" si="11"/>
        <v>公共部分装修</v>
      </c>
      <c r="R36" s="667" t="s">
        <v>18</v>
      </c>
      <c r="S36" s="668">
        <f t="shared" si="12"/>
        <v>100</v>
      </c>
      <c r="T36" s="667" t="s">
        <v>18</v>
      </c>
      <c r="U36" s="668">
        <f t="shared" si="13"/>
        <v>100</v>
      </c>
      <c r="V36" s="667" t="s">
        <v>18</v>
      </c>
      <c r="W36" s="668">
        <f t="shared" si="14"/>
        <v>100</v>
      </c>
      <c r="X36" s="1265"/>
      <c r="Y36" s="3475"/>
      <c r="Z36" s="1264" t="str">
        <f t="shared" si="18"/>
        <v>公共部分装修</v>
      </c>
      <c r="AA36" s="1264">
        <f t="shared" si="15"/>
        <v>1</v>
      </c>
      <c r="AB36" s="1264">
        <f t="shared" si="16"/>
        <v>1</v>
      </c>
      <c r="AC36" s="1264">
        <f t="shared" si="17"/>
        <v>1</v>
      </c>
    </row>
    <row r="37" spans="1:29" s="102" customFormat="1" ht="15">
      <c r="A37" s="410"/>
      <c r="B37" s="364" t="s">
        <v>1700</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8"/>
      <c r="N37" s="2438"/>
      <c r="O37" s="2438"/>
      <c r="P37" s="3473"/>
      <c r="Q37" s="530" t="str">
        <f t="shared" si="11"/>
        <v>成新度</v>
      </c>
      <c r="R37" s="664" t="s">
        <v>18</v>
      </c>
      <c r="S37" s="665" t="e">
        <f t="shared" si="12"/>
        <v>#N/A</v>
      </c>
      <c r="T37" s="664" t="s">
        <v>18</v>
      </c>
      <c r="U37" s="665" t="e">
        <f t="shared" si="13"/>
        <v>#N/A</v>
      </c>
      <c r="V37" s="664" t="s">
        <v>18</v>
      </c>
      <c r="W37" s="665" t="e">
        <f t="shared" si="14"/>
        <v>#N/A</v>
      </c>
      <c r="X37" s="666"/>
      <c r="Y37" s="3475"/>
      <c r="Z37" s="50" t="str">
        <f t="shared" si="18"/>
        <v>成新度</v>
      </c>
      <c r="AA37" s="50" t="e">
        <f t="shared" si="15"/>
        <v>#N/A</v>
      </c>
      <c r="AB37" s="50" t="e">
        <f t="shared" si="16"/>
        <v>#N/A</v>
      </c>
      <c r="AC37" s="50" t="e">
        <f t="shared" si="17"/>
        <v>#N/A</v>
      </c>
    </row>
    <row r="38" spans="1:29" ht="15">
      <c r="A38" s="409"/>
      <c r="B38" s="364" t="s">
        <v>1701</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473" t="s">
        <v>1695</v>
      </c>
      <c r="Q38" s="1263" t="str">
        <f t="shared" si="11"/>
        <v>物业管理</v>
      </c>
      <c r="R38" s="667" t="s">
        <v>18</v>
      </c>
      <c r="S38" s="668">
        <f t="shared" si="12"/>
        <v>100</v>
      </c>
      <c r="T38" s="667" t="s">
        <v>18</v>
      </c>
      <c r="U38" s="668">
        <f t="shared" si="13"/>
        <v>100</v>
      </c>
      <c r="V38" s="667" t="s">
        <v>18</v>
      </c>
      <c r="W38" s="668">
        <f t="shared" si="14"/>
        <v>100</v>
      </c>
      <c r="X38" s="1265"/>
      <c r="Y38" s="3475" t="s">
        <v>1695</v>
      </c>
      <c r="Z38" s="1264" t="str">
        <f t="shared" si="18"/>
        <v>物业管理</v>
      </c>
      <c r="AA38" s="1264">
        <f t="shared" si="15"/>
        <v>1</v>
      </c>
      <c r="AB38" s="1264">
        <f t="shared" si="16"/>
        <v>1</v>
      </c>
      <c r="AC38" s="1264">
        <f t="shared" si="17"/>
        <v>1</v>
      </c>
    </row>
    <row r="39" spans="1:29" ht="15">
      <c r="A39" s="409"/>
      <c r="B39" s="364" t="s">
        <v>1702</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473"/>
      <c r="Q39" s="1263" t="str">
        <f t="shared" si="11"/>
        <v>市政基础设施</v>
      </c>
      <c r="R39" s="667" t="s">
        <v>18</v>
      </c>
      <c r="S39" s="668">
        <f t="shared" si="12"/>
        <v>100</v>
      </c>
      <c r="T39" s="667" t="s">
        <v>18</v>
      </c>
      <c r="U39" s="668">
        <f t="shared" si="13"/>
        <v>100</v>
      </c>
      <c r="V39" s="667" t="s">
        <v>18</v>
      </c>
      <c r="W39" s="668">
        <f t="shared" si="14"/>
        <v>100</v>
      </c>
      <c r="X39" s="1265"/>
      <c r="Y39" s="3475"/>
      <c r="Z39" s="1264" t="str">
        <f t="shared" si="18"/>
        <v>市政基础设施</v>
      </c>
      <c r="AA39" s="1264">
        <f t="shared" si="15"/>
        <v>1</v>
      </c>
      <c r="AB39" s="1264">
        <f t="shared" si="16"/>
        <v>1</v>
      </c>
      <c r="AC39" s="1264">
        <f t="shared" si="17"/>
        <v>1</v>
      </c>
    </row>
    <row r="40" spans="1:29" ht="15">
      <c r="A40" s="409"/>
      <c r="B40" s="364" t="s">
        <v>1703</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473"/>
      <c r="Q40" s="1263" t="str">
        <f t="shared" si="11"/>
        <v>房型</v>
      </c>
      <c r="R40" s="667" t="s">
        <v>18</v>
      </c>
      <c r="S40" s="668">
        <f t="shared" si="12"/>
        <v>100</v>
      </c>
      <c r="T40" s="667" t="s">
        <v>18</v>
      </c>
      <c r="U40" s="668">
        <f t="shared" si="13"/>
        <v>100</v>
      </c>
      <c r="V40" s="667" t="s">
        <v>18</v>
      </c>
      <c r="W40" s="668">
        <f t="shared" si="14"/>
        <v>100</v>
      </c>
      <c r="X40" s="1265"/>
      <c r="Y40" s="3475"/>
      <c r="Z40" s="1264" t="str">
        <f t="shared" si="18"/>
        <v>房型</v>
      </c>
      <c r="AA40" s="1264">
        <f t="shared" si="15"/>
        <v>1</v>
      </c>
      <c r="AB40" s="1264">
        <f t="shared" si="16"/>
        <v>1</v>
      </c>
      <c r="AC40" s="1264">
        <f t="shared" si="17"/>
        <v>1</v>
      </c>
    </row>
    <row r="41" spans="1:29" s="408" customFormat="1" ht="28.5">
      <c r="A41" s="406"/>
      <c r="B41" s="364" t="s">
        <v>1704</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473"/>
      <c r="Q41" s="531" t="str">
        <f t="shared" si="11"/>
        <v>单套/主力户型建筑面积</v>
      </c>
      <c r="R41" s="669" t="s">
        <v>18</v>
      </c>
      <c r="S41" s="670">
        <f t="shared" si="12"/>
        <v>100</v>
      </c>
      <c r="T41" s="669" t="s">
        <v>18</v>
      </c>
      <c r="U41" s="670">
        <f t="shared" si="13"/>
        <v>100</v>
      </c>
      <c r="V41" s="669" t="s">
        <v>18</v>
      </c>
      <c r="W41" s="670">
        <f t="shared" si="14"/>
        <v>100</v>
      </c>
      <c r="X41" s="671"/>
      <c r="Y41" s="3475"/>
      <c r="Z41" s="672" t="str">
        <f t="shared" si="18"/>
        <v>单套/主力户型建筑面积</v>
      </c>
      <c r="AA41" s="1264">
        <f t="shared" si="15"/>
        <v>1</v>
      </c>
      <c r="AB41" s="1264">
        <f t="shared" si="16"/>
        <v>1</v>
      </c>
      <c r="AC41" s="1264">
        <f t="shared" si="17"/>
        <v>1</v>
      </c>
    </row>
    <row r="42" spans="1:29" ht="15">
      <c r="A42" s="409"/>
      <c r="B42" s="364" t="s">
        <v>1705</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473"/>
      <c r="Q42" s="1263" t="str">
        <f t="shared" si="11"/>
        <v>内部装修</v>
      </c>
      <c r="R42" s="667" t="s">
        <v>18</v>
      </c>
      <c r="S42" s="668">
        <f t="shared" si="12"/>
        <v>100</v>
      </c>
      <c r="T42" s="667" t="s">
        <v>18</v>
      </c>
      <c r="U42" s="668">
        <f t="shared" si="13"/>
        <v>100</v>
      </c>
      <c r="V42" s="667" t="s">
        <v>18</v>
      </c>
      <c r="W42" s="668">
        <f t="shared" si="14"/>
        <v>100</v>
      </c>
      <c r="X42" s="1265"/>
      <c r="Y42" s="3475"/>
      <c r="Z42" s="1264" t="str">
        <f t="shared" si="18"/>
        <v>内部装修</v>
      </c>
      <c r="AA42" s="1264">
        <f t="shared" si="15"/>
        <v>1</v>
      </c>
      <c r="AB42" s="1264">
        <f t="shared" si="16"/>
        <v>1</v>
      </c>
      <c r="AC42" s="1264">
        <f t="shared" si="17"/>
        <v>1</v>
      </c>
    </row>
    <row r="43" spans="1:29" ht="15">
      <c r="A43" s="409"/>
      <c r="B43" s="364" t="s">
        <v>1706</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473"/>
      <c r="Q43" s="1263" t="str">
        <f t="shared" si="11"/>
        <v>内部装修维护情况</v>
      </c>
      <c r="R43" s="667" t="s">
        <v>18</v>
      </c>
      <c r="S43" s="668">
        <f t="shared" si="12"/>
        <v>100</v>
      </c>
      <c r="T43" s="667" t="s">
        <v>18</v>
      </c>
      <c r="U43" s="668">
        <f t="shared" si="13"/>
        <v>100</v>
      </c>
      <c r="V43" s="667" t="s">
        <v>18</v>
      </c>
      <c r="W43" s="668">
        <f t="shared" si="14"/>
        <v>100</v>
      </c>
      <c r="X43" s="1265"/>
      <c r="Y43" s="3475"/>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8"/>
      <c r="N44" s="2438"/>
      <c r="O44" s="2438"/>
      <c r="P44" s="3473"/>
      <c r="Q44" s="530">
        <f t="shared" si="11"/>
        <v>111</v>
      </c>
      <c r="R44" s="664" t="s">
        <v>18</v>
      </c>
      <c r="S44" s="665">
        <f t="shared" si="12"/>
        <v>100</v>
      </c>
      <c r="T44" s="664" t="s">
        <v>18</v>
      </c>
      <c r="U44" s="665">
        <f t="shared" si="13"/>
        <v>100</v>
      </c>
      <c r="V44" s="664" t="s">
        <v>18</v>
      </c>
      <c r="W44" s="665">
        <f t="shared" si="14"/>
        <v>100</v>
      </c>
      <c r="X44" s="666"/>
      <c r="Y44" s="3475"/>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73"/>
      <c r="Q45" s="1263">
        <f t="shared" si="11"/>
        <v>111</v>
      </c>
      <c r="R45" s="667" t="s">
        <v>18</v>
      </c>
      <c r="S45" s="668">
        <f t="shared" si="12"/>
        <v>100</v>
      </c>
      <c r="T45" s="667" t="s">
        <v>18</v>
      </c>
      <c r="U45" s="668">
        <f t="shared" si="13"/>
        <v>100</v>
      </c>
      <c r="V45" s="667" t="s">
        <v>18</v>
      </c>
      <c r="W45" s="668">
        <f t="shared" si="14"/>
        <v>100</v>
      </c>
      <c r="X45" s="1265"/>
      <c r="Y45" s="3475"/>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74"/>
      <c r="Q46" s="1263">
        <f t="shared" si="11"/>
        <v>111</v>
      </c>
      <c r="R46" s="667" t="s">
        <v>17</v>
      </c>
      <c r="S46" s="668">
        <f t="shared" si="12"/>
        <v>100</v>
      </c>
      <c r="T46" s="667" t="s">
        <v>17</v>
      </c>
      <c r="U46" s="668">
        <f t="shared" si="13"/>
        <v>100</v>
      </c>
      <c r="V46" s="667" t="s">
        <v>17</v>
      </c>
      <c r="W46" s="668">
        <f t="shared" si="14"/>
        <v>100</v>
      </c>
      <c r="X46" s="1265"/>
      <c r="Y46" s="3476"/>
      <c r="Z46" s="1264">
        <f t="shared" si="18"/>
        <v>111</v>
      </c>
      <c r="AA46" s="1264">
        <f t="shared" si="15"/>
        <v>1</v>
      </c>
      <c r="AB46" s="1264">
        <f t="shared" si="16"/>
        <v>1</v>
      </c>
      <c r="AC46" s="1264">
        <f t="shared" si="17"/>
        <v>1</v>
      </c>
    </row>
    <row r="47" spans="1:29" ht="15">
      <c r="A47" s="416" t="s">
        <v>1707</v>
      </c>
      <c r="B47" s="417"/>
      <c r="C47" s="1081" t="s">
        <v>16</v>
      </c>
      <c r="D47" s="418"/>
      <c r="E47" s="419"/>
      <c r="F47" s="420"/>
      <c r="G47" s="421"/>
      <c r="H47" s="422"/>
      <c r="I47" s="419"/>
      <c r="J47" s="422"/>
      <c r="K47" s="1767"/>
      <c r="L47" s="2493"/>
      <c r="M47" s="2486"/>
      <c r="N47" s="2486"/>
      <c r="O47" s="2486"/>
      <c r="P47" s="3469" t="str">
        <f>A47</f>
        <v>成交单价（元/平方米）</v>
      </c>
      <c r="Q47" s="3469"/>
      <c r="R47" s="3464">
        <f>E47</f>
        <v>0</v>
      </c>
      <c r="S47" s="3464"/>
      <c r="T47" s="3464">
        <f>G47</f>
        <v>0</v>
      </c>
      <c r="U47" s="3464"/>
      <c r="V47" s="3464">
        <f>I47</f>
        <v>0</v>
      </c>
      <c r="W47" s="3464"/>
      <c r="X47" s="385"/>
      <c r="Y47" s="673"/>
      <c r="Z47" s="385"/>
      <c r="AA47" s="385"/>
      <c r="AB47" s="385"/>
      <c r="AC47" s="385"/>
    </row>
    <row r="48" spans="1:29" ht="15.75" thickBot="1">
      <c r="A48" s="423" t="s">
        <v>1708</v>
      </c>
      <c r="B48" s="424"/>
      <c r="C48" s="1082" t="e">
        <f>R49</f>
        <v>#DIV/0!</v>
      </c>
      <c r="D48" s="2141" t="s">
        <v>2137</v>
      </c>
      <c r="E48" s="1083" t="e">
        <f>R48</f>
        <v>#DIV/0!</v>
      </c>
      <c r="F48" s="2142"/>
      <c r="G48" s="1082" t="e">
        <f>T48</f>
        <v>#DIV/0!</v>
      </c>
      <c r="H48" s="2142"/>
      <c r="I48" s="1083" t="e">
        <f>V48</f>
        <v>#DIV/0!</v>
      </c>
      <c r="J48" s="2142"/>
      <c r="K48" s="2143">
        <f>F48+H48+J48</f>
        <v>0</v>
      </c>
      <c r="L48" s="2493"/>
      <c r="M48" s="2486"/>
      <c r="N48" s="2486"/>
      <c r="O48" s="2486"/>
      <c r="P48" s="3469" t="str">
        <f>A48</f>
        <v>比较价值（元/平方米）</v>
      </c>
      <c r="Q48" s="3469"/>
      <c r="R48" s="3464" t="e">
        <f>IF(F1="售价",ROUND(PRODUCT(R47,AA7:AA46),0),ROUND(PRODUCT(R47,AA7:AA46),1))</f>
        <v>#DIV/0!</v>
      </c>
      <c r="S48" s="3464"/>
      <c r="T48" s="3464" t="e">
        <f>IF(F1="售价",ROUND(PRODUCT(T47,AB7:AB46),0),ROUND(PRODUCT(T47,AB7:AB46),1))</f>
        <v>#DIV/0!</v>
      </c>
      <c r="U48" s="3464"/>
      <c r="V48" s="3464" t="e">
        <f>IF(F1="售价",ROUND(PRODUCT(V47,AC7:AC46),0),ROUND(PRODUCT(V47,AC7:AC46),1))</f>
        <v>#DIV/0!</v>
      </c>
      <c r="W48" s="3464"/>
      <c r="X48" s="385"/>
      <c r="Y48" s="385"/>
      <c r="Z48" s="385"/>
      <c r="AA48" s="385"/>
      <c r="AB48" s="385"/>
      <c r="AC48" s="385"/>
    </row>
    <row r="49" spans="1:29" ht="15.75" thickBot="1">
      <c r="A49" s="427" t="s">
        <v>1709</v>
      </c>
      <c r="B49" s="428"/>
      <c r="C49" s="1084" t="e">
        <f>R49</f>
        <v>#DIV/0!</v>
      </c>
      <c r="D49" s="351"/>
      <c r="E49" s="351"/>
      <c r="F49" s="351"/>
      <c r="G49" s="351"/>
      <c r="H49" s="351"/>
      <c r="I49" s="351"/>
      <c r="J49" s="351"/>
      <c r="K49" s="1768"/>
      <c r="L49" s="2493"/>
      <c r="M49" s="2486"/>
      <c r="N49" s="2486"/>
      <c r="O49" s="2486"/>
      <c r="P49" s="3466" t="str">
        <f>A49</f>
        <v>估价对象XX用房的比较价值（楼面单价，元/平方米）</v>
      </c>
      <c r="Q49" s="3467"/>
      <c r="R49" s="3468" t="e">
        <f>IF(F1="售价",ROUND(IF(D48="简单平均",AVERAGE(R48:V48),R48*F48+T48*H48+V48*J48),0),ROUND(IF(D48="简单平均",AVERAGE(R48:V48),R48*F48+T48*H48+V48*J48),1))</f>
        <v>#DIV/0!</v>
      </c>
      <c r="S49" s="3468"/>
      <c r="T49" s="3468"/>
      <c r="U49" s="3468"/>
      <c r="V49" s="3468"/>
      <c r="W49" s="3468"/>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1710</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1711</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1712</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1.75" thickBot="1">
      <c r="A57" s="658" t="s">
        <v>1713</v>
      </c>
      <c r="B57" s="385"/>
      <c r="C57" s="659"/>
      <c r="D57" s="659"/>
      <c r="E57" s="659"/>
      <c r="F57" s="660"/>
      <c r="G57" s="660"/>
      <c r="H57" s="659"/>
      <c r="I57" s="659"/>
      <c r="J57" s="659"/>
      <c r="K57" s="887"/>
      <c r="L57" s="888"/>
      <c r="M57" s="886"/>
      <c r="N57" s="886"/>
      <c r="O57" s="886"/>
      <c r="P57" s="1771"/>
      <c r="Q57" s="439"/>
    </row>
    <row r="58" spans="1:29" s="442" customFormat="1" ht="15">
      <c r="A58" s="440" t="s">
        <v>1714</v>
      </c>
      <c r="B58" s="441"/>
      <c r="C58" s="1105" t="str">
        <f>YEAR(C7)&amp;"-"&amp;MONTH(C7)</f>
        <v>2023-5</v>
      </c>
      <c r="D58" s="1104">
        <f>EDATE(C58,-1)</f>
        <v>45017</v>
      </c>
      <c r="E58" s="1104">
        <f>EDATE(D58,-1)</f>
        <v>44986</v>
      </c>
      <c r="F58" s="1104">
        <f t="shared" ref="F58:O58" si="19">EDATE(E58,-1)</f>
        <v>44958</v>
      </c>
      <c r="G58" s="1104">
        <f t="shared" si="19"/>
        <v>44927</v>
      </c>
      <c r="H58" s="1104">
        <f t="shared" si="19"/>
        <v>44896</v>
      </c>
      <c r="I58" s="1104">
        <f t="shared" si="19"/>
        <v>44866</v>
      </c>
      <c r="J58" s="1104">
        <f t="shared" si="19"/>
        <v>44835</v>
      </c>
      <c r="K58" s="1104">
        <f t="shared" si="19"/>
        <v>44805</v>
      </c>
      <c r="L58" s="1104">
        <f t="shared" si="19"/>
        <v>44774</v>
      </c>
      <c r="M58" s="1104">
        <f t="shared" si="19"/>
        <v>44743</v>
      </c>
      <c r="N58" s="1104">
        <f t="shared" si="19"/>
        <v>44713</v>
      </c>
      <c r="O58" s="1104">
        <f t="shared" si="19"/>
        <v>44682</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1715</v>
      </c>
      <c r="B60" s="450"/>
      <c r="C60" s="451"/>
      <c r="D60" s="452"/>
      <c r="E60" s="452"/>
      <c r="F60" s="452"/>
      <c r="G60" s="452"/>
      <c r="H60" s="452"/>
      <c r="I60" s="452"/>
      <c r="J60" s="452"/>
      <c r="K60" s="452"/>
      <c r="L60" s="452"/>
      <c r="M60" s="453"/>
      <c r="N60" s="452"/>
      <c r="O60" s="453"/>
      <c r="P60" s="1773"/>
      <c r="Q60" s="439"/>
    </row>
    <row r="61" spans="1:29" s="102" customFormat="1" ht="15">
      <c r="A61" s="455" t="s">
        <v>1716</v>
      </c>
      <c r="B61" s="444"/>
      <c r="C61" s="456" t="s">
        <v>1717</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1718</v>
      </c>
      <c r="B63" s="460" t="s">
        <v>1684</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1687</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1688</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1689</v>
      </c>
      <c r="B76" s="460" t="s">
        <v>1719</v>
      </c>
      <c r="C76" s="504" t="s">
        <v>1720</v>
      </c>
      <c r="D76" s="504" t="s">
        <v>1721</v>
      </c>
      <c r="E76" s="504" t="s">
        <v>1722</v>
      </c>
      <c r="F76" s="504" t="s">
        <v>1723</v>
      </c>
      <c r="G76" s="504" t="s">
        <v>1724</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1725</v>
      </c>
      <c r="C78" s="509" t="s">
        <v>1720</v>
      </c>
      <c r="D78" s="509" t="s">
        <v>1721</v>
      </c>
      <c r="E78" s="509" t="s">
        <v>1722</v>
      </c>
      <c r="F78" s="509" t="s">
        <v>1723</v>
      </c>
      <c r="G78" s="509" t="s">
        <v>1724</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1726</v>
      </c>
      <c r="C80" s="509" t="s">
        <v>1720</v>
      </c>
      <c r="D80" s="509" t="s">
        <v>1721</v>
      </c>
      <c r="E80" s="509" t="s">
        <v>1722</v>
      </c>
      <c r="F80" s="509" t="s">
        <v>1723</v>
      </c>
      <c r="G80" s="509" t="s">
        <v>1724</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1259</v>
      </c>
      <c r="C82" s="470" t="s">
        <v>1727</v>
      </c>
      <c r="D82" s="470" t="s">
        <v>1728</v>
      </c>
      <c r="E82" s="470" t="s">
        <v>1729</v>
      </c>
      <c r="F82" s="470" t="s">
        <v>1730</v>
      </c>
      <c r="G82" s="470" t="s">
        <v>1731</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1732</v>
      </c>
      <c r="C84" s="509" t="s">
        <v>1720</v>
      </c>
      <c r="D84" s="509" t="s">
        <v>1721</v>
      </c>
      <c r="E84" s="509" t="s">
        <v>1722</v>
      </c>
      <c r="F84" s="509" t="s">
        <v>1723</v>
      </c>
      <c r="G84" s="509" t="s">
        <v>1724</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1733</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1734</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1693</v>
      </c>
      <c r="B100" s="460" t="s">
        <v>1735</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1736</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1737</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1738</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1739</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1189</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1740</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1741</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1742</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1704</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1743</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1744</v>
      </c>
      <c r="C124" s="509" t="s">
        <v>1720</v>
      </c>
      <c r="D124" s="509" t="s">
        <v>1721</v>
      </c>
      <c r="E124" s="509" t="s">
        <v>1722</v>
      </c>
      <c r="F124" s="509" t="s">
        <v>1723</v>
      </c>
      <c r="G124" s="509" t="s">
        <v>1724</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1745</v>
      </c>
    </row>
    <row r="137" spans="1:17" ht="15">
      <c r="B137" s="1782" t="s">
        <v>1746</v>
      </c>
      <c r="C137" s="1783"/>
      <c r="D137" s="1783"/>
      <c r="E137" s="1783"/>
      <c r="F137" s="1783"/>
      <c r="G137" s="1784"/>
      <c r="H137" s="1785"/>
      <c r="I137" s="1786" t="s">
        <v>1747</v>
      </c>
      <c r="J137" s="1783"/>
      <c r="K137" s="1787"/>
    </row>
    <row r="138" spans="1:17" ht="15">
      <c r="B138" s="1788"/>
      <c r="C138" s="129" t="s">
        <v>1748</v>
      </c>
      <c r="D138" s="129" t="s">
        <v>1749</v>
      </c>
      <c r="E138" s="1789" t="s">
        <v>1750</v>
      </c>
      <c r="F138" s="1790" t="s">
        <v>1751</v>
      </c>
      <c r="G138" s="129" t="s">
        <v>1749</v>
      </c>
      <c r="H138" s="130" t="s">
        <v>1750</v>
      </c>
      <c r="I138" s="1791"/>
      <c r="J138" s="129" t="s">
        <v>1752</v>
      </c>
      <c r="K138" s="130" t="s">
        <v>1753</v>
      </c>
    </row>
    <row r="139" spans="1:17" ht="15">
      <c r="B139" s="814">
        <v>6</v>
      </c>
      <c r="C139" s="815">
        <v>96</v>
      </c>
      <c r="D139" s="1792" t="s">
        <v>1754</v>
      </c>
      <c r="E139" s="816">
        <v>100</v>
      </c>
      <c r="F139" s="817">
        <v>102.5</v>
      </c>
      <c r="G139" s="1792" t="s">
        <v>1754</v>
      </c>
      <c r="H139" s="818">
        <v>105</v>
      </c>
      <c r="I139" s="1793" t="s">
        <v>1755</v>
      </c>
      <c r="J139" s="815">
        <v>20</v>
      </c>
      <c r="K139" s="819">
        <f>C145/(J139-2)</f>
        <v>4.0555555555555553E-3</v>
      </c>
    </row>
    <row r="140" spans="1:17" ht="15">
      <c r="B140" s="820">
        <v>5</v>
      </c>
      <c r="C140" s="821">
        <v>100</v>
      </c>
      <c r="D140" s="821"/>
      <c r="E140" s="822"/>
      <c r="F140" s="823">
        <v>102</v>
      </c>
      <c r="G140" s="821"/>
      <c r="H140" s="824"/>
      <c r="I140" s="1794" t="s">
        <v>1756</v>
      </c>
      <c r="J140" s="263">
        <f>ROUNDUP((J139-1)/2,0)</f>
        <v>10</v>
      </c>
      <c r="K140" s="825">
        <v>100</v>
      </c>
    </row>
    <row r="141" spans="1:17" ht="15">
      <c r="B141" s="820">
        <v>4</v>
      </c>
      <c r="C141" s="821">
        <v>102</v>
      </c>
      <c r="D141" s="821"/>
      <c r="E141" s="822"/>
      <c r="F141" s="823">
        <v>101.5</v>
      </c>
      <c r="G141" s="821"/>
      <c r="H141" s="824"/>
      <c r="I141" s="1794" t="s">
        <v>1757</v>
      </c>
      <c r="J141" s="263">
        <v>1</v>
      </c>
      <c r="K141" s="826">
        <f>ROUND(100+(J141-J140)*K139*100,1)</f>
        <v>96.4</v>
      </c>
    </row>
    <row r="142" spans="1:17" ht="15">
      <c r="B142" s="820">
        <v>3</v>
      </c>
      <c r="C142" s="821">
        <v>103</v>
      </c>
      <c r="D142" s="821"/>
      <c r="E142" s="822"/>
      <c r="F142" s="823">
        <v>101</v>
      </c>
      <c r="G142" s="821"/>
      <c r="H142" s="824"/>
      <c r="I142" s="1794" t="s">
        <v>1758</v>
      </c>
      <c r="J142" s="263">
        <f>J139</f>
        <v>20</v>
      </c>
      <c r="K142" s="827">
        <v>95</v>
      </c>
    </row>
    <row r="143" spans="1:17" ht="15">
      <c r="B143" s="820">
        <v>2</v>
      </c>
      <c r="C143" s="821">
        <v>100</v>
      </c>
      <c r="D143" s="821"/>
      <c r="E143" s="822"/>
      <c r="F143" s="823">
        <v>100.5</v>
      </c>
      <c r="G143" s="821"/>
      <c r="H143" s="824"/>
      <c r="I143" s="1794" t="s">
        <v>1759</v>
      </c>
      <c r="J143" s="821">
        <v>15</v>
      </c>
      <c r="K143" s="826">
        <f>ROUND(100+(J143-J140)*K139*100,1)</f>
        <v>102</v>
      </c>
    </row>
    <row r="144" spans="1:17" ht="15">
      <c r="B144" s="820">
        <v>1</v>
      </c>
      <c r="C144" s="821">
        <v>98</v>
      </c>
      <c r="D144" s="1795" t="s">
        <v>1760</v>
      </c>
      <c r="E144" s="822">
        <v>102</v>
      </c>
      <c r="F144" s="828">
        <v>100</v>
      </c>
      <c r="G144" s="1795" t="s">
        <v>1760</v>
      </c>
      <c r="H144" s="824">
        <v>105</v>
      </c>
      <c r="I144" s="1794" t="s">
        <v>1759</v>
      </c>
      <c r="J144" s="821">
        <v>18</v>
      </c>
      <c r="K144" s="826">
        <f>ROUND(100+(J144-J140)*K139*100,1)</f>
        <v>103.2</v>
      </c>
    </row>
    <row r="145" spans="2:11" ht="15.75" thickBot="1">
      <c r="B145" s="1796" t="s">
        <v>1761</v>
      </c>
      <c r="C145" s="829">
        <f>ROUND(MAX(C139:C144)/MIN(C139:C144)-1,3)</f>
        <v>7.2999999999999995E-2</v>
      </c>
      <c r="D145" s="830"/>
      <c r="E145" s="830"/>
      <c r="F145" s="1797" t="s">
        <v>1762</v>
      </c>
      <c r="G145" s="1798"/>
      <c r="H145" s="1799"/>
      <c r="I145" s="1800" t="s">
        <v>1759</v>
      </c>
      <c r="J145" s="831">
        <v>8</v>
      </c>
      <c r="K145" s="832">
        <f>ROUND(100+(J145-J140)*K139*100,1)</f>
        <v>99.2</v>
      </c>
    </row>
    <row r="147" spans="2:11">
      <c r="B147" s="1781" t="s">
        <v>1763</v>
      </c>
    </row>
    <row r="148" spans="2:11">
      <c r="B148" s="1781"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中行商务区支行：</v>
      </c>
    </row>
    <row r="4" spans="1:1" ht="36">
      <c r="A4" s="1382" t="str">
        <f>"受贵公司委托，我公司对"&amp;项目基本情况!S1&amp;"进行了预评估。"</f>
        <v>受贵公司委托，我公司对北京市朝阳区朝阳区门外大街18号房地产抵押价值进行了预评估。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估价对象为北京市朝阳区朝阳区门外大街18号房地产，为北京丰联广场商业有限公司所有。根据《国有土地使用证》[]，估价对象（分摊）出让国有建设用地使用权面积为750.35平方米，建筑面积为6547.83平方米。</v>
      </c>
    </row>
    <row r="8" spans="1:1" ht="57.75">
      <c r="A8" s="1385" t="s">
        <v>901</v>
      </c>
    </row>
    <row r="9" spans="1:1" ht="18.75">
      <c r="A9" s="1384" t="s">
        <v>902</v>
      </c>
    </row>
    <row r="10" spans="1:1" ht="7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阳区门外大街18号房地产,为北京丰联广场商业有限公司开发建设的综合项目（商业、办公），该项目尚在开发建设中。根据《国有土地使用证》[]，估价对象（分摊）出让国有建设用地使用权面积为750.35平方米，规划建筑面积为6547.83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朝阳区朝阳区门外大街18号房地产作为抵押担保物，向中行商务区支行办理贷款手续。中行商务区支行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2023年5月5日（评估专业人员实地查勘之日）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5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1659</v>
      </c>
      <c r="B1" s="1734" t="s">
        <v>1765</v>
      </c>
      <c r="C1" s="1155" t="s">
        <v>1661</v>
      </c>
      <c r="D1" s="1142"/>
      <c r="E1" s="3123"/>
      <c r="F1" s="1735"/>
      <c r="G1" s="1152" t="s">
        <v>1766</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1461</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1462</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1463</v>
      </c>
      <c r="B3" s="536">
        <f>IF(C2="——",C49,ROUND(B2*10000/D3,0))</f>
        <v>0</v>
      </c>
      <c r="C3" s="344" t="s">
        <v>1767</v>
      </c>
      <c r="D3" s="343">
        <f>IF(D1="",'数据-汇总表'!E3,SUMIF('数据-汇总表'!$C19:$C33,D1,'数据-汇总表'!$E19:$E33))</f>
        <v>6547.83</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5">
      <c r="A4" s="345" t="s">
        <v>1768</v>
      </c>
      <c r="B4" s="346"/>
      <c r="C4" s="3452" t="s">
        <v>1769</v>
      </c>
      <c r="D4" s="3453"/>
      <c r="E4" s="3454" t="s">
        <v>1770</v>
      </c>
      <c r="F4" s="3455"/>
      <c r="G4" s="3452" t="s">
        <v>1771</v>
      </c>
      <c r="H4" s="3453"/>
      <c r="I4" s="3452" t="s">
        <v>1772</v>
      </c>
      <c r="J4" s="3453"/>
      <c r="K4" s="537" t="s">
        <v>1773</v>
      </c>
      <c r="L4" s="2485"/>
      <c r="M4" s="2486"/>
      <c r="N4" s="2486"/>
      <c r="O4" s="2486"/>
      <c r="P4" s="3456" t="s">
        <v>1774</v>
      </c>
      <c r="Q4" s="3457"/>
      <c r="R4" s="3439" t="s">
        <v>1770</v>
      </c>
      <c r="S4" s="3440"/>
      <c r="T4" s="3439" t="s">
        <v>1771</v>
      </c>
      <c r="U4" s="3440"/>
      <c r="V4" s="3464" t="s">
        <v>1772</v>
      </c>
      <c r="W4" s="3464"/>
      <c r="X4" s="1265"/>
      <c r="Y4" s="3439" t="s">
        <v>1774</v>
      </c>
      <c r="Z4" s="3440"/>
      <c r="AA4" s="3434" t="s">
        <v>1770</v>
      </c>
      <c r="AB4" s="3464" t="s">
        <v>1771</v>
      </c>
      <c r="AC4" s="3434" t="s">
        <v>1772</v>
      </c>
    </row>
    <row r="5" spans="1:29" ht="15">
      <c r="A5" s="348"/>
      <c r="B5" s="349"/>
      <c r="C5" s="3445" t="s">
        <v>1672</v>
      </c>
      <c r="D5" s="3446"/>
      <c r="E5" s="3443" t="s">
        <v>1673</v>
      </c>
      <c r="F5" s="3444"/>
      <c r="G5" s="3445" t="s">
        <v>1674</v>
      </c>
      <c r="H5" s="3446"/>
      <c r="I5" s="3445" t="s">
        <v>1675</v>
      </c>
      <c r="J5" s="3446"/>
      <c r="K5" s="537"/>
      <c r="L5" s="2485"/>
      <c r="M5" s="2486"/>
      <c r="N5" s="2486"/>
      <c r="O5" s="2486"/>
      <c r="P5" s="3458"/>
      <c r="Q5" s="3459"/>
      <c r="R5" s="3441"/>
      <c r="S5" s="3442"/>
      <c r="T5" s="3441"/>
      <c r="U5" s="3442"/>
      <c r="V5" s="3464"/>
      <c r="W5" s="3464"/>
      <c r="X5" s="1265"/>
      <c r="Y5" s="3441"/>
      <c r="Z5" s="3442"/>
      <c r="AA5" s="3435"/>
      <c r="AB5" s="3464"/>
      <c r="AC5" s="3435"/>
    </row>
    <row r="6" spans="1:29" ht="15.75" thickBot="1">
      <c r="A6" s="350"/>
      <c r="B6" s="351"/>
      <c r="C6" s="3447" t="s">
        <v>1676</v>
      </c>
      <c r="D6" s="3448"/>
      <c r="E6" s="3449" t="s">
        <v>1676</v>
      </c>
      <c r="F6" s="3450"/>
      <c r="G6" s="3447" t="s">
        <v>1676</v>
      </c>
      <c r="H6" s="3448"/>
      <c r="I6" s="3447" t="s">
        <v>1676</v>
      </c>
      <c r="J6" s="3448"/>
      <c r="K6" s="537" t="s">
        <v>1677</v>
      </c>
      <c r="L6" s="2485"/>
      <c r="M6" s="2486"/>
      <c r="N6" s="2486"/>
      <c r="O6" s="2486"/>
      <c r="P6" s="3460"/>
      <c r="Q6" s="3461"/>
      <c r="R6" s="3441"/>
      <c r="S6" s="3442"/>
      <c r="T6" s="3462"/>
      <c r="U6" s="3463"/>
      <c r="V6" s="3464"/>
      <c r="W6" s="3464"/>
      <c r="X6" s="1265"/>
      <c r="Y6" s="3462"/>
      <c r="Z6" s="3463"/>
      <c r="AA6" s="3436"/>
      <c r="AB6" s="3464"/>
      <c r="AC6" s="3436"/>
    </row>
    <row r="7" spans="1:29" s="102" customFormat="1" ht="15.75" thickBot="1">
      <c r="A7" s="352" t="s">
        <v>1678</v>
      </c>
      <c r="B7" s="353"/>
      <c r="C7" s="354">
        <f>'数据-取费表'!B2</f>
        <v>45051</v>
      </c>
      <c r="D7" s="355">
        <v>100</v>
      </c>
      <c r="E7" s="356"/>
      <c r="F7" s="357">
        <f>SUMIF(58:58,YEAR(E7)&amp;"-"&amp;MONTH(E7),59:59)</f>
        <v>0</v>
      </c>
      <c r="G7" s="356"/>
      <c r="H7" s="355">
        <f>SUMIF(58:58,YEAR(G7)&amp;"-"&amp;MONTH(G7),59:59)</f>
        <v>0</v>
      </c>
      <c r="I7" s="356"/>
      <c r="J7" s="355">
        <f>SUMIF(58:58,YEAR(I7)&amp;"-"&amp;MONTH(I7),59:59)</f>
        <v>0</v>
      </c>
      <c r="K7" s="38"/>
      <c r="L7" s="2487"/>
      <c r="M7" s="2438"/>
      <c r="N7" s="2438"/>
      <c r="O7" s="2438"/>
      <c r="P7" s="3437" t="s">
        <v>1679</v>
      </c>
      <c r="Q7" s="3465"/>
      <c r="R7" s="664" t="s">
        <v>14</v>
      </c>
      <c r="S7" s="665">
        <f t="shared" ref="S7:S15" si="0">F7</f>
        <v>0</v>
      </c>
      <c r="T7" s="664" t="s">
        <v>14</v>
      </c>
      <c r="U7" s="665">
        <f t="shared" ref="U7:U15" si="1">H7</f>
        <v>0</v>
      </c>
      <c r="V7" s="664" t="s">
        <v>14</v>
      </c>
      <c r="W7" s="665">
        <f t="shared" ref="W7:W15" si="2">J7</f>
        <v>0</v>
      </c>
      <c r="X7" s="666"/>
      <c r="Y7" s="3437" t="s">
        <v>1679</v>
      </c>
      <c r="Z7" s="3438"/>
      <c r="AA7" s="50" t="e">
        <f>D7/F7</f>
        <v>#DIV/0!</v>
      </c>
      <c r="AB7" s="50" t="e">
        <f>D7/H7</f>
        <v>#DIV/0!</v>
      </c>
      <c r="AC7" s="50" t="e">
        <f>D7/J7</f>
        <v>#DIV/0!</v>
      </c>
    </row>
    <row r="8" spans="1:29" s="102" customFormat="1" ht="15.75" thickBot="1">
      <c r="A8" s="352" t="s">
        <v>1680</v>
      </c>
      <c r="B8" s="353"/>
      <c r="C8" s="358"/>
      <c r="D8" s="355">
        <v>100</v>
      </c>
      <c r="E8" s="358"/>
      <c r="F8" s="357">
        <f>SUMIF(61:61,E8,62:62)-SUMIF(61:61,C8,62:62)+100</f>
        <v>100</v>
      </c>
      <c r="G8" s="358"/>
      <c r="H8" s="355">
        <f>SUMIF(61:61,G8,62:62)-SUMIF(61:61,C8,62:62)+100</f>
        <v>100</v>
      </c>
      <c r="I8" s="358"/>
      <c r="J8" s="355">
        <f>SUMIF(61:61,I8,62:62)-SUMIF(61:61,C8,62:62)+100</f>
        <v>100</v>
      </c>
      <c r="K8" s="38"/>
      <c r="L8" s="2487"/>
      <c r="M8" s="2438"/>
      <c r="N8" s="2438"/>
      <c r="O8" s="2438"/>
      <c r="P8" s="3437" t="s">
        <v>1682</v>
      </c>
      <c r="Q8" s="3438"/>
      <c r="R8" s="664" t="s">
        <v>14</v>
      </c>
      <c r="S8" s="665">
        <f t="shared" si="0"/>
        <v>100</v>
      </c>
      <c r="T8" s="664" t="s">
        <v>14</v>
      </c>
      <c r="U8" s="665">
        <f t="shared" si="1"/>
        <v>100</v>
      </c>
      <c r="V8" s="664" t="s">
        <v>14</v>
      </c>
      <c r="W8" s="665">
        <f t="shared" si="2"/>
        <v>100</v>
      </c>
      <c r="X8" s="666"/>
      <c r="Y8" s="3437" t="s">
        <v>1682</v>
      </c>
      <c r="Z8" s="3438"/>
      <c r="AA8" s="50">
        <f t="shared" ref="AA8:AA46" si="3">D8/F8</f>
        <v>1</v>
      </c>
      <c r="AB8" s="50">
        <f t="shared" ref="AB8:AB46" si="4">D8/H8</f>
        <v>1</v>
      </c>
      <c r="AC8" s="50">
        <f t="shared" ref="AC8:AC46" si="5">D8/J8</f>
        <v>1</v>
      </c>
    </row>
    <row r="9" spans="1:29" s="102" customFormat="1">
      <c r="A9" s="359" t="s">
        <v>1683</v>
      </c>
      <c r="B9" s="60" t="s">
        <v>1684</v>
      </c>
      <c r="C9" s="360"/>
      <c r="D9" s="59">
        <v>100</v>
      </c>
      <c r="E9" s="361"/>
      <c r="F9" s="60">
        <f>SUMIF(63:63,E9,64:64)-SUMIF(63:63,C9,64:64)+100</f>
        <v>100</v>
      </c>
      <c r="G9" s="361"/>
      <c r="H9" s="59">
        <f>SUMIF(63:63,G9,64:64)-SUMIF(63:63,C9,64:64)+100</f>
        <v>100</v>
      </c>
      <c r="I9" s="361"/>
      <c r="J9" s="59">
        <f>SUMIF(63:63,I9,64:64)-SUMIF(63:63,C9,64:64)+100</f>
        <v>100</v>
      </c>
      <c r="K9" s="38"/>
      <c r="L9" s="2487"/>
      <c r="M9" s="2438"/>
      <c r="N9" s="2438"/>
      <c r="O9" s="2438"/>
      <c r="P9" s="3451" t="s">
        <v>1685</v>
      </c>
      <c r="Q9" s="530" t="str">
        <f t="shared" ref="Q9:Q15" si="6">B9</f>
        <v>用途</v>
      </c>
      <c r="R9" s="664" t="s">
        <v>14</v>
      </c>
      <c r="S9" s="665">
        <f t="shared" si="0"/>
        <v>100</v>
      </c>
      <c r="T9" s="664" t="s">
        <v>14</v>
      </c>
      <c r="U9" s="665">
        <f t="shared" si="1"/>
        <v>100</v>
      </c>
      <c r="V9" s="664" t="s">
        <v>14</v>
      </c>
      <c r="W9" s="665">
        <f t="shared" si="2"/>
        <v>100</v>
      </c>
      <c r="X9" s="666"/>
      <c r="Y9" s="3362" t="s">
        <v>1686</v>
      </c>
      <c r="Z9" s="50" t="str">
        <f t="shared" ref="Z9:Z15" si="7">Q9</f>
        <v>用途</v>
      </c>
      <c r="AA9" s="50">
        <f t="shared" si="3"/>
        <v>1</v>
      </c>
      <c r="AB9" s="50">
        <f t="shared" si="4"/>
        <v>1</v>
      </c>
      <c r="AC9" s="50">
        <f t="shared" si="5"/>
        <v>1</v>
      </c>
    </row>
    <row r="10" spans="1:29" s="366" customFormat="1" ht="27">
      <c r="A10" s="363"/>
      <c r="B10" s="364" t="s">
        <v>1687</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451"/>
      <c r="Q10" s="530" t="str">
        <f t="shared" si="6"/>
        <v>土地使用年限（年）</v>
      </c>
      <c r="R10" s="664" t="s">
        <v>14</v>
      </c>
      <c r="S10" s="665">
        <f t="shared" si="0"/>
        <v>100</v>
      </c>
      <c r="T10" s="664" t="s">
        <v>14</v>
      </c>
      <c r="U10" s="665">
        <f t="shared" si="1"/>
        <v>100</v>
      </c>
      <c r="V10" s="664" t="s">
        <v>14</v>
      </c>
      <c r="W10" s="665">
        <f t="shared" si="2"/>
        <v>100</v>
      </c>
      <c r="X10" s="666"/>
      <c r="Y10" s="3362"/>
      <c r="Z10" s="50" t="str">
        <f t="shared" si="7"/>
        <v>土地使用年限（年）</v>
      </c>
      <c r="AA10" s="50">
        <f t="shared" si="3"/>
        <v>1</v>
      </c>
      <c r="AB10" s="50">
        <f t="shared" si="4"/>
        <v>1</v>
      </c>
      <c r="AC10" s="50">
        <f t="shared" si="5"/>
        <v>1</v>
      </c>
    </row>
    <row r="11" spans="1:29" ht="15">
      <c r="A11" s="367"/>
      <c r="B11" s="364" t="s">
        <v>1688</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451"/>
      <c r="Q11" s="530" t="str">
        <f t="shared" si="6"/>
        <v>容积率</v>
      </c>
      <c r="R11" s="664" t="s">
        <v>14</v>
      </c>
      <c r="S11" s="665" t="e">
        <f t="shared" si="0"/>
        <v>#N/A</v>
      </c>
      <c r="T11" s="664" t="s">
        <v>14</v>
      </c>
      <c r="U11" s="665" t="e">
        <f t="shared" si="1"/>
        <v>#N/A</v>
      </c>
      <c r="V11" s="664" t="s">
        <v>14</v>
      </c>
      <c r="W11" s="665" t="e">
        <f t="shared" si="2"/>
        <v>#N/A</v>
      </c>
      <c r="X11" s="666"/>
      <c r="Y11" s="3362"/>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8"/>
      <c r="N12" s="2438"/>
      <c r="O12" s="2438"/>
      <c r="P12" s="3451"/>
      <c r="Q12" s="530">
        <f t="shared" si="6"/>
        <v>111</v>
      </c>
      <c r="R12" s="664" t="s">
        <v>14</v>
      </c>
      <c r="S12" s="665">
        <f t="shared" si="0"/>
        <v>100</v>
      </c>
      <c r="T12" s="664" t="s">
        <v>14</v>
      </c>
      <c r="U12" s="665">
        <f t="shared" si="1"/>
        <v>100</v>
      </c>
      <c r="V12" s="664" t="s">
        <v>14</v>
      </c>
      <c r="W12" s="665">
        <f t="shared" si="2"/>
        <v>100</v>
      </c>
      <c r="X12" s="666"/>
      <c r="Y12" s="336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451"/>
      <c r="Q13" s="530">
        <f t="shared" si="6"/>
        <v>111</v>
      </c>
      <c r="R13" s="664" t="s">
        <v>14</v>
      </c>
      <c r="S13" s="665">
        <f t="shared" si="0"/>
        <v>100</v>
      </c>
      <c r="T13" s="664" t="s">
        <v>14</v>
      </c>
      <c r="U13" s="665">
        <f t="shared" si="1"/>
        <v>100</v>
      </c>
      <c r="V13" s="664" t="s">
        <v>14</v>
      </c>
      <c r="W13" s="665">
        <f t="shared" si="2"/>
        <v>100</v>
      </c>
      <c r="X13" s="666"/>
      <c r="Y13" s="3362"/>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451"/>
      <c r="Q14" s="530">
        <f t="shared" si="6"/>
        <v>111</v>
      </c>
      <c r="R14" s="664" t="s">
        <v>14</v>
      </c>
      <c r="S14" s="665">
        <f t="shared" si="0"/>
        <v>100</v>
      </c>
      <c r="T14" s="664" t="s">
        <v>14</v>
      </c>
      <c r="U14" s="665">
        <f t="shared" si="1"/>
        <v>100</v>
      </c>
      <c r="V14" s="664" t="s">
        <v>14</v>
      </c>
      <c r="W14" s="665">
        <f t="shared" si="2"/>
        <v>100</v>
      </c>
      <c r="X14" s="666"/>
      <c r="Y14" s="3362"/>
      <c r="Z14" s="50">
        <f t="shared" si="7"/>
        <v>111</v>
      </c>
      <c r="AA14" s="50">
        <f t="shared" si="3"/>
        <v>1</v>
      </c>
      <c r="AB14" s="50">
        <f t="shared" si="4"/>
        <v>1</v>
      </c>
      <c r="AC14" s="50">
        <f t="shared" si="5"/>
        <v>1</v>
      </c>
    </row>
    <row r="15" spans="1:29" ht="114">
      <c r="A15" s="379" t="s">
        <v>1689</v>
      </c>
      <c r="B15" s="58" t="s">
        <v>1776</v>
      </c>
      <c r="C15" s="1750" t="str">
        <f>估价对象房地状况!C4</f>
        <v>估价对象位于朝阳门商圈，周边商业氛围成熟，有悠唐购物中心、银河SOHO等购物中心，人流量大，商业繁华度好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477" t="s">
        <v>1690</v>
      </c>
      <c r="Q15" s="1263" t="str">
        <f t="shared" si="6"/>
        <v>商业繁华度</v>
      </c>
      <c r="R15" s="667" t="s">
        <v>14</v>
      </c>
      <c r="S15" s="668">
        <f t="shared" si="0"/>
        <v>100</v>
      </c>
      <c r="T15" s="667" t="s">
        <v>14</v>
      </c>
      <c r="U15" s="668">
        <f t="shared" si="1"/>
        <v>100</v>
      </c>
      <c r="V15" s="667" t="s">
        <v>14</v>
      </c>
      <c r="W15" s="668">
        <f t="shared" si="2"/>
        <v>100</v>
      </c>
      <c r="X15" s="1265"/>
      <c r="Y15" s="3470" t="s">
        <v>1690</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478"/>
      <c r="Q16" s="1263"/>
      <c r="R16" s="667"/>
      <c r="S16" s="668"/>
      <c r="T16" s="667"/>
      <c r="U16" s="668"/>
      <c r="V16" s="667"/>
      <c r="W16" s="668"/>
      <c r="X16" s="1265"/>
      <c r="Y16" s="3471"/>
      <c r="Z16" s="1264"/>
      <c r="AA16" s="1264">
        <v>1</v>
      </c>
      <c r="AB16" s="1264">
        <v>1</v>
      </c>
      <c r="AC16" s="1264">
        <v>1</v>
      </c>
    </row>
    <row r="17" spans="1:29" ht="85.5">
      <c r="A17" s="367"/>
      <c r="B17" s="390" t="s">
        <v>1258</v>
      </c>
      <c r="C17" s="1754" t="str">
        <f>估价对象房地状况!C6</f>
        <v>周边有75、110、420路及地铁2号、6号线，周边道路密集，停车便捷程度，综合评价交通便捷度好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478"/>
      <c r="Q17" s="1263" t="str">
        <f>B17</f>
        <v>交通便捷度</v>
      </c>
      <c r="R17" s="667" t="s">
        <v>14</v>
      </c>
      <c r="S17" s="668">
        <f>F17</f>
        <v>100</v>
      </c>
      <c r="T17" s="667" t="s">
        <v>14</v>
      </c>
      <c r="U17" s="668">
        <f>H17</f>
        <v>100</v>
      </c>
      <c r="V17" s="667" t="s">
        <v>14</v>
      </c>
      <c r="W17" s="668">
        <f>J17</f>
        <v>100</v>
      </c>
      <c r="X17" s="1265"/>
      <c r="Y17" s="347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478"/>
      <c r="Q18" s="1263"/>
      <c r="R18" s="667"/>
      <c r="S18" s="668"/>
      <c r="T18" s="667"/>
      <c r="U18" s="668"/>
      <c r="V18" s="667"/>
      <c r="W18" s="668"/>
      <c r="X18" s="1265"/>
      <c r="Y18" s="3471"/>
      <c r="Z18" s="1264"/>
      <c r="AA18" s="1264">
        <v>1</v>
      </c>
      <c r="AB18" s="1264">
        <v>1</v>
      </c>
      <c r="AC18" s="1264">
        <v>1</v>
      </c>
    </row>
    <row r="19" spans="1:29" ht="85.5">
      <c r="A19" s="367"/>
      <c r="B19" s="390" t="s">
        <v>1777</v>
      </c>
      <c r="C19" s="1754" t="str">
        <f>估价对象房地状况!C7</f>
        <v>估价对象所在区域银行、购物场所、学校等公共配套设施齐备，综合评价公共配套设施水平好。</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478"/>
      <c r="Q19" s="1263" t="str">
        <f>B19</f>
        <v>公共配套设施</v>
      </c>
      <c r="R19" s="667" t="s">
        <v>14</v>
      </c>
      <c r="S19" s="668">
        <f>F19</f>
        <v>100</v>
      </c>
      <c r="T19" s="667" t="s">
        <v>14</v>
      </c>
      <c r="U19" s="668">
        <f>H19</f>
        <v>100</v>
      </c>
      <c r="V19" s="667" t="s">
        <v>14</v>
      </c>
      <c r="W19" s="668">
        <f>J19</f>
        <v>100</v>
      </c>
      <c r="X19" s="1265"/>
      <c r="Y19" s="347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478"/>
      <c r="Q20" s="1263"/>
      <c r="R20" s="667"/>
      <c r="S20" s="668"/>
      <c r="T20" s="667"/>
      <c r="U20" s="668"/>
      <c r="V20" s="667"/>
      <c r="W20" s="668"/>
      <c r="X20" s="1265"/>
      <c r="Y20" s="3471"/>
      <c r="Z20" s="1264"/>
      <c r="AA20" s="1264">
        <v>1</v>
      </c>
      <c r="AB20" s="1264">
        <v>1</v>
      </c>
      <c r="AC20" s="1264">
        <v>1</v>
      </c>
    </row>
    <row r="21" spans="1:29" ht="42.75">
      <c r="A21" s="367"/>
      <c r="B21" s="586" t="s">
        <v>1778</v>
      </c>
      <c r="C21" s="1754" t="str">
        <f>估价对象房地状况!C8</f>
        <v>估价对象所在区域基础设施水平“七通一平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478"/>
      <c r="Q21" s="1263" t="str">
        <f>B21</f>
        <v>基础设施水平</v>
      </c>
      <c r="R21" s="667" t="s">
        <v>14</v>
      </c>
      <c r="S21" s="668">
        <f>F21</f>
        <v>100</v>
      </c>
      <c r="T21" s="667" t="s">
        <v>14</v>
      </c>
      <c r="U21" s="668">
        <f>H21</f>
        <v>100</v>
      </c>
      <c r="V21" s="667" t="s">
        <v>14</v>
      </c>
      <c r="W21" s="668">
        <f>J21</f>
        <v>100</v>
      </c>
      <c r="X21" s="1265"/>
      <c r="Y21" s="347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478"/>
      <c r="Q22" s="1263"/>
      <c r="R22" s="667"/>
      <c r="S22" s="668"/>
      <c r="T22" s="667"/>
      <c r="U22" s="668"/>
      <c r="V22" s="667"/>
      <c r="W22" s="668"/>
      <c r="X22" s="1265"/>
      <c r="Y22" s="3471"/>
      <c r="Z22" s="1264"/>
      <c r="AA22" s="1264">
        <v>1</v>
      </c>
      <c r="AB22" s="1264">
        <v>1</v>
      </c>
      <c r="AC22" s="1264">
        <v>1</v>
      </c>
    </row>
    <row r="23" spans="1:29" ht="99.75">
      <c r="A23" s="367"/>
      <c r="B23" s="390" t="s">
        <v>1260</v>
      </c>
      <c r="C23" s="1806" t="str">
        <f>估价对象房地状况!C9</f>
        <v>区域内有东城职业大学、日坛公园、富国海底世界等自然及人文环境，综合评价自然及人文环境状况较好。</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478"/>
      <c r="Q23" s="1263" t="str">
        <f>B23</f>
        <v>自然及人文环境</v>
      </c>
      <c r="R23" s="667" t="s">
        <v>14</v>
      </c>
      <c r="S23" s="668">
        <f>F23</f>
        <v>100</v>
      </c>
      <c r="T23" s="667" t="s">
        <v>14</v>
      </c>
      <c r="U23" s="668">
        <f>H23</f>
        <v>100</v>
      </c>
      <c r="V23" s="667" t="s">
        <v>14</v>
      </c>
      <c r="W23" s="668">
        <f>J23</f>
        <v>100</v>
      </c>
      <c r="X23" s="1265"/>
      <c r="Y23" s="3471"/>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478"/>
      <c r="Q24" s="1263"/>
      <c r="R24" s="667"/>
      <c r="S24" s="668"/>
      <c r="T24" s="667"/>
      <c r="U24" s="668"/>
      <c r="V24" s="667"/>
      <c r="W24" s="668"/>
      <c r="X24" s="1265"/>
      <c r="Y24" s="3471"/>
      <c r="Z24" s="1264"/>
      <c r="AA24" s="1264">
        <v>1</v>
      </c>
      <c r="AB24" s="1264">
        <v>1</v>
      </c>
      <c r="AC24" s="1264">
        <v>1</v>
      </c>
    </row>
    <row r="25" spans="1:29" ht="15">
      <c r="A25" s="367"/>
      <c r="B25" s="364" t="s">
        <v>1779</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478"/>
      <c r="Q25" s="1263" t="str">
        <f t="shared" ref="Q25:Q46" si="11">B25</f>
        <v>临街状况</v>
      </c>
      <c r="R25" s="667" t="s">
        <v>14</v>
      </c>
      <c r="S25" s="668">
        <f>F25</f>
        <v>100</v>
      </c>
      <c r="T25" s="667" t="s">
        <v>14</v>
      </c>
      <c r="U25" s="668">
        <f>H25</f>
        <v>100</v>
      </c>
      <c r="V25" s="667" t="s">
        <v>14</v>
      </c>
      <c r="W25" s="668">
        <f>J25</f>
        <v>100</v>
      </c>
      <c r="X25" s="1265"/>
      <c r="Y25" s="3471"/>
      <c r="Z25" s="1264" t="str">
        <f>Q25</f>
        <v>临街状况</v>
      </c>
      <c r="AA25" s="1264">
        <f t="shared" si="3"/>
        <v>1</v>
      </c>
      <c r="AB25" s="1264">
        <f t="shared" si="4"/>
        <v>1</v>
      </c>
      <c r="AC25" s="1264">
        <f t="shared" si="5"/>
        <v>1</v>
      </c>
    </row>
    <row r="26" spans="1:29" ht="15">
      <c r="A26" s="367"/>
      <c r="B26" s="1066" t="s">
        <v>1780</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478"/>
      <c r="Q26" s="1263" t="str">
        <f t="shared" si="11"/>
        <v>平面位置/可视性</v>
      </c>
      <c r="R26" s="667" t="s">
        <v>14</v>
      </c>
      <c r="S26" s="668">
        <f>F26</f>
        <v>100</v>
      </c>
      <c r="T26" s="667" t="s">
        <v>14</v>
      </c>
      <c r="U26" s="668">
        <f>H26</f>
        <v>100</v>
      </c>
      <c r="V26" s="667" t="s">
        <v>14</v>
      </c>
      <c r="W26" s="668">
        <f>J26</f>
        <v>100</v>
      </c>
      <c r="X26" s="1265"/>
      <c r="Y26" s="3471"/>
      <c r="Z26" s="1264" t="str">
        <f>Q26</f>
        <v>平面位置/可视性</v>
      </c>
      <c r="AA26" s="1264">
        <f t="shared" si="3"/>
        <v>1</v>
      </c>
      <c r="AB26" s="1264">
        <f t="shared" si="4"/>
        <v>1</v>
      </c>
      <c r="AC26" s="1264">
        <f t="shared" si="5"/>
        <v>1</v>
      </c>
    </row>
    <row r="27" spans="1:29" s="102" customFormat="1" ht="15">
      <c r="A27" s="370"/>
      <c r="B27" s="390" t="s">
        <v>1781</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8"/>
      <c r="N27" s="2438"/>
      <c r="O27" s="2438"/>
      <c r="P27" s="3478"/>
      <c r="Q27" s="530" t="str">
        <f t="shared" si="11"/>
        <v>人流量</v>
      </c>
      <c r="R27" s="664" t="s">
        <v>14</v>
      </c>
      <c r="S27" s="665">
        <f>F27</f>
        <v>100</v>
      </c>
      <c r="T27" s="664" t="s">
        <v>14</v>
      </c>
      <c r="U27" s="665">
        <f>H27</f>
        <v>100</v>
      </c>
      <c r="V27" s="664" t="s">
        <v>14</v>
      </c>
      <c r="W27" s="665">
        <f>J27</f>
        <v>100</v>
      </c>
      <c r="X27" s="666"/>
      <c r="Y27" s="3471"/>
      <c r="Z27" s="50" t="str">
        <f>Q27</f>
        <v>人流量</v>
      </c>
      <c r="AA27" s="1264">
        <f>D27/F27</f>
        <v>1</v>
      </c>
      <c r="AB27" s="1264">
        <f>D27/H27</f>
        <v>1</v>
      </c>
      <c r="AC27" s="1264">
        <f>D27/J27</f>
        <v>1</v>
      </c>
    </row>
    <row r="28" spans="1:29" ht="15">
      <c r="A28" s="367"/>
      <c r="B28" s="364" t="s">
        <v>1782</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47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71"/>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78"/>
      <c r="Q29" s="1263">
        <f t="shared" si="11"/>
        <v>111</v>
      </c>
      <c r="R29" s="667" t="s">
        <v>14</v>
      </c>
      <c r="S29" s="668">
        <f t="shared" si="12"/>
        <v>100</v>
      </c>
      <c r="T29" s="667" t="s">
        <v>14</v>
      </c>
      <c r="U29" s="668">
        <f t="shared" si="13"/>
        <v>100</v>
      </c>
      <c r="V29" s="667" t="s">
        <v>14</v>
      </c>
      <c r="W29" s="668">
        <f t="shared" si="14"/>
        <v>100</v>
      </c>
      <c r="X29" s="1265"/>
      <c r="Y29" s="3471"/>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78"/>
      <c r="Q30" s="1263">
        <f t="shared" si="11"/>
        <v>111</v>
      </c>
      <c r="R30" s="667" t="s">
        <v>14</v>
      </c>
      <c r="S30" s="668">
        <f t="shared" si="12"/>
        <v>100</v>
      </c>
      <c r="T30" s="667" t="s">
        <v>14</v>
      </c>
      <c r="U30" s="668">
        <f t="shared" si="13"/>
        <v>100</v>
      </c>
      <c r="V30" s="667" t="s">
        <v>14</v>
      </c>
      <c r="W30" s="668">
        <f t="shared" si="14"/>
        <v>100</v>
      </c>
      <c r="X30" s="1265"/>
      <c r="Y30" s="3471"/>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78"/>
      <c r="Q31" s="1263">
        <f t="shared" si="11"/>
        <v>111</v>
      </c>
      <c r="R31" s="667" t="s">
        <v>14</v>
      </c>
      <c r="S31" s="668">
        <f t="shared" si="12"/>
        <v>100</v>
      </c>
      <c r="T31" s="667" t="s">
        <v>14</v>
      </c>
      <c r="U31" s="668">
        <f t="shared" si="13"/>
        <v>100</v>
      </c>
      <c r="V31" s="667" t="s">
        <v>14</v>
      </c>
      <c r="W31" s="668">
        <f t="shared" si="14"/>
        <v>100</v>
      </c>
      <c r="X31" s="1265"/>
      <c r="Y31" s="3471"/>
      <c r="Z31" s="1264">
        <f t="shared" si="15"/>
        <v>111</v>
      </c>
      <c r="AA31" s="1264">
        <f t="shared" si="3"/>
        <v>1</v>
      </c>
      <c r="AB31" s="1264">
        <f t="shared" si="4"/>
        <v>1</v>
      </c>
      <c r="AC31" s="1264">
        <f t="shared" si="5"/>
        <v>1</v>
      </c>
    </row>
    <row r="32" spans="1:29" ht="15">
      <c r="A32" s="379" t="s">
        <v>1693</v>
      </c>
      <c r="B32" s="60" t="s">
        <v>1783</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472" t="s">
        <v>1695</v>
      </c>
      <c r="Q32" s="1263" t="str">
        <f t="shared" si="11"/>
        <v>商业类型</v>
      </c>
      <c r="R32" s="667" t="s">
        <v>14</v>
      </c>
      <c r="S32" s="668">
        <f t="shared" si="12"/>
        <v>100</v>
      </c>
      <c r="T32" s="667" t="s">
        <v>14</v>
      </c>
      <c r="U32" s="668">
        <f t="shared" si="13"/>
        <v>100</v>
      </c>
      <c r="V32" s="667" t="s">
        <v>14</v>
      </c>
      <c r="W32" s="668">
        <f t="shared" si="14"/>
        <v>100</v>
      </c>
      <c r="X32" s="1265"/>
      <c r="Y32" s="3475" t="s">
        <v>1695</v>
      </c>
      <c r="Z32" s="1264" t="str">
        <f t="shared" si="15"/>
        <v>商业类型</v>
      </c>
      <c r="AA32" s="1264">
        <f t="shared" si="3"/>
        <v>1</v>
      </c>
      <c r="AB32" s="1264">
        <f t="shared" si="4"/>
        <v>1</v>
      </c>
      <c r="AC32" s="1264">
        <f t="shared" si="5"/>
        <v>1</v>
      </c>
    </row>
    <row r="33" spans="1:29" s="408" customFormat="1" ht="15">
      <c r="A33" s="406"/>
      <c r="B33" s="364" t="s">
        <v>1696</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473"/>
      <c r="Q33" s="531" t="str">
        <f t="shared" si="11"/>
        <v>项目建筑规模</v>
      </c>
      <c r="R33" s="669" t="s">
        <v>14</v>
      </c>
      <c r="S33" s="670" t="e">
        <f t="shared" si="12"/>
        <v>#N/A</v>
      </c>
      <c r="T33" s="669" t="s">
        <v>14</v>
      </c>
      <c r="U33" s="670" t="e">
        <f t="shared" si="13"/>
        <v>#N/A</v>
      </c>
      <c r="V33" s="669" t="s">
        <v>14</v>
      </c>
      <c r="W33" s="670" t="e">
        <f t="shared" si="14"/>
        <v>#N/A</v>
      </c>
      <c r="X33" s="671"/>
      <c r="Y33" s="3475"/>
      <c r="Z33" s="672" t="str">
        <f t="shared" si="15"/>
        <v>项目建筑规模</v>
      </c>
      <c r="AA33" s="1264" t="e">
        <f t="shared" si="3"/>
        <v>#N/A</v>
      </c>
      <c r="AB33" s="1264" t="e">
        <f t="shared" si="4"/>
        <v>#N/A</v>
      </c>
      <c r="AC33" s="1264" t="e">
        <f t="shared" si="5"/>
        <v>#N/A</v>
      </c>
    </row>
    <row r="34" spans="1:29" ht="15">
      <c r="A34" s="409"/>
      <c r="B34" s="364" t="s">
        <v>1697</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473"/>
      <c r="Q34" s="1263" t="str">
        <f t="shared" si="11"/>
        <v>建筑结构</v>
      </c>
      <c r="R34" s="667" t="s">
        <v>14</v>
      </c>
      <c r="S34" s="668">
        <f t="shared" si="12"/>
        <v>100</v>
      </c>
      <c r="T34" s="667" t="s">
        <v>14</v>
      </c>
      <c r="U34" s="668">
        <f t="shared" si="13"/>
        <v>100</v>
      </c>
      <c r="V34" s="667" t="s">
        <v>14</v>
      </c>
      <c r="W34" s="668">
        <f t="shared" si="14"/>
        <v>100</v>
      </c>
      <c r="X34" s="1265"/>
      <c r="Y34" s="3475"/>
      <c r="Z34" s="1264" t="str">
        <f t="shared" si="15"/>
        <v>建筑结构</v>
      </c>
      <c r="AA34" s="1264">
        <f t="shared" si="3"/>
        <v>1</v>
      </c>
      <c r="AB34" s="1264">
        <f t="shared" si="4"/>
        <v>1</v>
      </c>
      <c r="AC34" s="1264">
        <f t="shared" si="5"/>
        <v>1</v>
      </c>
    </row>
    <row r="35" spans="1:29" ht="15">
      <c r="A35" s="409"/>
      <c r="B35" s="364" t="s">
        <v>1784</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473"/>
      <c r="Q35" s="1263" t="str">
        <f t="shared" si="11"/>
        <v>公共部分装修</v>
      </c>
      <c r="R35" s="667" t="s">
        <v>14</v>
      </c>
      <c r="S35" s="668">
        <f t="shared" si="12"/>
        <v>100</v>
      </c>
      <c r="T35" s="667" t="s">
        <v>14</v>
      </c>
      <c r="U35" s="668">
        <f t="shared" si="13"/>
        <v>100</v>
      </c>
      <c r="V35" s="667" t="s">
        <v>14</v>
      </c>
      <c r="W35" s="668">
        <f t="shared" si="14"/>
        <v>100</v>
      </c>
      <c r="X35" s="1265"/>
      <c r="Y35" s="3475"/>
      <c r="Z35" s="1264" t="str">
        <f t="shared" si="15"/>
        <v>公共部分装修</v>
      </c>
      <c r="AA35" s="1264">
        <f t="shared" si="3"/>
        <v>1</v>
      </c>
      <c r="AB35" s="1264">
        <f t="shared" si="4"/>
        <v>1</v>
      </c>
      <c r="AC35" s="1264">
        <f t="shared" si="5"/>
        <v>1</v>
      </c>
    </row>
    <row r="36" spans="1:29" ht="15">
      <c r="A36" s="409"/>
      <c r="B36" s="364" t="s">
        <v>1785</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473"/>
      <c r="Q36" s="1263" t="str">
        <f t="shared" si="11"/>
        <v>成新度</v>
      </c>
      <c r="R36" s="667" t="s">
        <v>14</v>
      </c>
      <c r="S36" s="668" t="e">
        <f t="shared" si="12"/>
        <v>#N/A</v>
      </c>
      <c r="T36" s="667" t="s">
        <v>14</v>
      </c>
      <c r="U36" s="668" t="e">
        <f t="shared" si="13"/>
        <v>#N/A</v>
      </c>
      <c r="V36" s="667" t="s">
        <v>14</v>
      </c>
      <c r="W36" s="668" t="e">
        <f t="shared" si="14"/>
        <v>#N/A</v>
      </c>
      <c r="X36" s="1265"/>
      <c r="Y36" s="3475"/>
      <c r="Z36" s="1264" t="str">
        <f t="shared" si="15"/>
        <v>成新度</v>
      </c>
      <c r="AA36" s="1264" t="e">
        <f t="shared" si="3"/>
        <v>#N/A</v>
      </c>
      <c r="AB36" s="1264" t="e">
        <f t="shared" si="4"/>
        <v>#N/A</v>
      </c>
      <c r="AC36" s="1264" t="e">
        <f t="shared" si="5"/>
        <v>#N/A</v>
      </c>
    </row>
    <row r="37" spans="1:29" s="102" customFormat="1" ht="15">
      <c r="A37" s="410"/>
      <c r="B37" s="364" t="s">
        <v>1786</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8"/>
      <c r="N37" s="2438"/>
      <c r="O37" s="2438"/>
      <c r="P37" s="3473"/>
      <c r="Q37" s="530" t="str">
        <f t="shared" si="11"/>
        <v>市政基础设施</v>
      </c>
      <c r="R37" s="664" t="s">
        <v>14</v>
      </c>
      <c r="S37" s="665">
        <f t="shared" si="12"/>
        <v>100</v>
      </c>
      <c r="T37" s="664" t="s">
        <v>14</v>
      </c>
      <c r="U37" s="665">
        <f t="shared" si="13"/>
        <v>100</v>
      </c>
      <c r="V37" s="664" t="s">
        <v>14</v>
      </c>
      <c r="W37" s="665">
        <f t="shared" si="14"/>
        <v>100</v>
      </c>
      <c r="X37" s="666"/>
      <c r="Y37" s="3475"/>
      <c r="Z37" s="50" t="str">
        <f t="shared" si="15"/>
        <v>市政基础设施</v>
      </c>
      <c r="AA37" s="50">
        <f t="shared" si="3"/>
        <v>1</v>
      </c>
      <c r="AB37" s="50">
        <f t="shared" si="4"/>
        <v>1</v>
      </c>
      <c r="AC37" s="50">
        <f t="shared" si="5"/>
        <v>1</v>
      </c>
    </row>
    <row r="38" spans="1:29" ht="15">
      <c r="A38" s="409"/>
      <c r="B38" s="364" t="s">
        <v>1787</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473" t="s">
        <v>1695</v>
      </c>
      <c r="Q38" s="1263" t="str">
        <f t="shared" si="11"/>
        <v>业态</v>
      </c>
      <c r="R38" s="667" t="s">
        <v>14</v>
      </c>
      <c r="S38" s="668">
        <f t="shared" si="12"/>
        <v>100</v>
      </c>
      <c r="T38" s="667" t="s">
        <v>14</v>
      </c>
      <c r="U38" s="668">
        <f t="shared" si="13"/>
        <v>100</v>
      </c>
      <c r="V38" s="667" t="s">
        <v>14</v>
      </c>
      <c r="W38" s="668">
        <f t="shared" si="14"/>
        <v>100</v>
      </c>
      <c r="X38" s="1265"/>
      <c r="Y38" s="3475" t="s">
        <v>1695</v>
      </c>
      <c r="Z38" s="1264" t="str">
        <f t="shared" si="15"/>
        <v>业态</v>
      </c>
      <c r="AA38" s="1264">
        <f t="shared" si="3"/>
        <v>1</v>
      </c>
      <c r="AB38" s="1264">
        <f t="shared" si="4"/>
        <v>1</v>
      </c>
      <c r="AC38" s="1264">
        <f t="shared" si="5"/>
        <v>1</v>
      </c>
    </row>
    <row r="39" spans="1:29" ht="15">
      <c r="A39" s="409"/>
      <c r="B39" s="364" t="s">
        <v>1788</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473"/>
      <c r="Q39" s="1263" t="str">
        <f t="shared" si="11"/>
        <v>层高</v>
      </c>
      <c r="R39" s="667" t="s">
        <v>14</v>
      </c>
      <c r="S39" s="668">
        <f t="shared" si="12"/>
        <v>100</v>
      </c>
      <c r="T39" s="667" t="s">
        <v>14</v>
      </c>
      <c r="U39" s="668">
        <f t="shared" si="13"/>
        <v>100</v>
      </c>
      <c r="V39" s="667" t="s">
        <v>14</v>
      </c>
      <c r="W39" s="668">
        <f t="shared" si="14"/>
        <v>100</v>
      </c>
      <c r="X39" s="1265"/>
      <c r="Y39" s="3475"/>
      <c r="Z39" s="1264" t="str">
        <f t="shared" si="15"/>
        <v>层高</v>
      </c>
      <c r="AA39" s="1264">
        <f t="shared" si="3"/>
        <v>1</v>
      </c>
      <c r="AB39" s="1264">
        <f t="shared" si="4"/>
        <v>1</v>
      </c>
      <c r="AC39" s="1264">
        <f t="shared" si="5"/>
        <v>1</v>
      </c>
    </row>
    <row r="40" spans="1:29" ht="15">
      <c r="A40" s="409"/>
      <c r="B40" s="364" t="s">
        <v>1789</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73"/>
      <c r="Q40" s="1263" t="str">
        <f t="shared" si="11"/>
        <v>单套建筑面积</v>
      </c>
      <c r="R40" s="667" t="s">
        <v>14</v>
      </c>
      <c r="S40" s="668">
        <f t="shared" si="12"/>
        <v>100</v>
      </c>
      <c r="T40" s="667" t="s">
        <v>14</v>
      </c>
      <c r="U40" s="668">
        <f t="shared" si="13"/>
        <v>100</v>
      </c>
      <c r="V40" s="667" t="s">
        <v>14</v>
      </c>
      <c r="W40" s="668">
        <f t="shared" si="14"/>
        <v>100</v>
      </c>
      <c r="X40" s="1265"/>
      <c r="Y40" s="3475"/>
      <c r="Z40" s="1264" t="str">
        <f t="shared" si="15"/>
        <v>单套建筑面积</v>
      </c>
      <c r="AA40" s="1264">
        <f t="shared" si="3"/>
        <v>1</v>
      </c>
      <c r="AB40" s="1264">
        <f t="shared" si="4"/>
        <v>1</v>
      </c>
      <c r="AC40" s="1264">
        <f t="shared" si="5"/>
        <v>1</v>
      </c>
    </row>
    <row r="41" spans="1:29" s="408" customFormat="1" ht="15">
      <c r="A41" s="406"/>
      <c r="B41" s="400" t="s">
        <v>1790</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73"/>
      <c r="Q41" s="531" t="str">
        <f t="shared" si="11"/>
        <v>进深比</v>
      </c>
      <c r="R41" s="669" t="s">
        <v>14</v>
      </c>
      <c r="S41" s="670">
        <f t="shared" si="12"/>
        <v>100</v>
      </c>
      <c r="T41" s="669" t="s">
        <v>14</v>
      </c>
      <c r="U41" s="670">
        <f t="shared" si="13"/>
        <v>100</v>
      </c>
      <c r="V41" s="669" t="s">
        <v>14</v>
      </c>
      <c r="W41" s="670">
        <f t="shared" si="14"/>
        <v>100</v>
      </c>
      <c r="X41" s="671"/>
      <c r="Y41" s="3475"/>
      <c r="Z41" s="672" t="str">
        <f t="shared" si="15"/>
        <v>进深比</v>
      </c>
      <c r="AA41" s="1264">
        <f t="shared" si="3"/>
        <v>1</v>
      </c>
      <c r="AB41" s="1264">
        <f t="shared" si="4"/>
        <v>1</v>
      </c>
      <c r="AC41" s="1264">
        <f t="shared" si="5"/>
        <v>1</v>
      </c>
    </row>
    <row r="42" spans="1:29" ht="15">
      <c r="A42" s="409"/>
      <c r="B42" s="364" t="s">
        <v>1791</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473"/>
      <c r="Q42" s="1263" t="str">
        <f t="shared" si="11"/>
        <v>内部装修</v>
      </c>
      <c r="R42" s="667" t="s">
        <v>14</v>
      </c>
      <c r="S42" s="668">
        <f t="shared" si="12"/>
        <v>100</v>
      </c>
      <c r="T42" s="667" t="s">
        <v>14</v>
      </c>
      <c r="U42" s="668">
        <f t="shared" si="13"/>
        <v>100</v>
      </c>
      <c r="V42" s="667" t="s">
        <v>14</v>
      </c>
      <c r="W42" s="668">
        <f t="shared" si="14"/>
        <v>100</v>
      </c>
      <c r="X42" s="1265"/>
      <c r="Y42" s="3475"/>
      <c r="Z42" s="1264" t="str">
        <f t="shared" si="15"/>
        <v>内部装修</v>
      </c>
      <c r="AA42" s="1264">
        <f t="shared" si="3"/>
        <v>1</v>
      </c>
      <c r="AB42" s="1264">
        <f t="shared" si="4"/>
        <v>1</v>
      </c>
      <c r="AC42" s="1264">
        <f t="shared" si="5"/>
        <v>1</v>
      </c>
    </row>
    <row r="43" spans="1:29" ht="15">
      <c r="A43" s="409"/>
      <c r="B43" s="364" t="s">
        <v>1706</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473"/>
      <c r="Q43" s="1263" t="str">
        <f t="shared" si="11"/>
        <v>内部装修维护情况</v>
      </c>
      <c r="R43" s="667" t="s">
        <v>14</v>
      </c>
      <c r="S43" s="668">
        <f t="shared" si="12"/>
        <v>100</v>
      </c>
      <c r="T43" s="667" t="s">
        <v>14</v>
      </c>
      <c r="U43" s="668">
        <f t="shared" si="13"/>
        <v>100</v>
      </c>
      <c r="V43" s="667" t="s">
        <v>14</v>
      </c>
      <c r="W43" s="668">
        <f t="shared" si="14"/>
        <v>100</v>
      </c>
      <c r="X43" s="1265"/>
      <c r="Y43" s="3475"/>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8"/>
      <c r="N44" s="2438"/>
      <c r="O44" s="2438"/>
      <c r="P44" s="3473"/>
      <c r="Q44" s="530">
        <f t="shared" si="11"/>
        <v>111</v>
      </c>
      <c r="R44" s="664" t="s">
        <v>14</v>
      </c>
      <c r="S44" s="665">
        <f t="shared" si="12"/>
        <v>100</v>
      </c>
      <c r="T44" s="664" t="s">
        <v>14</v>
      </c>
      <c r="U44" s="665">
        <f t="shared" si="13"/>
        <v>100</v>
      </c>
      <c r="V44" s="664" t="s">
        <v>14</v>
      </c>
      <c r="W44" s="665">
        <f t="shared" si="14"/>
        <v>100</v>
      </c>
      <c r="X44" s="666"/>
      <c r="Y44" s="3475"/>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73"/>
      <c r="Q45" s="1263">
        <f t="shared" si="11"/>
        <v>111</v>
      </c>
      <c r="R45" s="667" t="s">
        <v>14</v>
      </c>
      <c r="S45" s="668">
        <f t="shared" si="12"/>
        <v>100</v>
      </c>
      <c r="T45" s="667" t="s">
        <v>14</v>
      </c>
      <c r="U45" s="668">
        <f t="shared" si="13"/>
        <v>100</v>
      </c>
      <c r="V45" s="667" t="s">
        <v>14</v>
      </c>
      <c r="W45" s="668">
        <f t="shared" si="14"/>
        <v>100</v>
      </c>
      <c r="X45" s="1265"/>
      <c r="Y45" s="3475"/>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74"/>
      <c r="Q46" s="1263">
        <f t="shared" si="11"/>
        <v>111</v>
      </c>
      <c r="R46" s="667" t="s">
        <v>14</v>
      </c>
      <c r="S46" s="668">
        <f t="shared" si="12"/>
        <v>100</v>
      </c>
      <c r="T46" s="667" t="s">
        <v>14</v>
      </c>
      <c r="U46" s="668">
        <f t="shared" si="13"/>
        <v>100</v>
      </c>
      <c r="V46" s="667" t="s">
        <v>14</v>
      </c>
      <c r="W46" s="668">
        <f t="shared" si="14"/>
        <v>100</v>
      </c>
      <c r="X46" s="1265"/>
      <c r="Y46" s="3476"/>
      <c r="Z46" s="1264">
        <f t="shared" si="15"/>
        <v>111</v>
      </c>
      <c r="AA46" s="1264">
        <f t="shared" si="3"/>
        <v>1</v>
      </c>
      <c r="AB46" s="1264">
        <f t="shared" si="4"/>
        <v>1</v>
      </c>
      <c r="AC46" s="1264">
        <f t="shared" si="5"/>
        <v>1</v>
      </c>
    </row>
    <row r="47" spans="1:29" ht="15">
      <c r="A47" s="416" t="s">
        <v>1707</v>
      </c>
      <c r="B47" s="417"/>
      <c r="C47" s="1081" t="s">
        <v>0</v>
      </c>
      <c r="D47" s="418"/>
      <c r="E47" s="419"/>
      <c r="F47" s="420"/>
      <c r="G47" s="421"/>
      <c r="H47" s="422"/>
      <c r="I47" s="419"/>
      <c r="J47" s="422"/>
      <c r="K47" s="674"/>
      <c r="L47" s="2493"/>
      <c r="M47" s="2486"/>
      <c r="N47" s="2486"/>
      <c r="O47" s="2486"/>
      <c r="P47" s="3469" t="str">
        <f>A47</f>
        <v>成交单价（元/平方米）</v>
      </c>
      <c r="Q47" s="3469"/>
      <c r="R47" s="3464">
        <f>E47</f>
        <v>0</v>
      </c>
      <c r="S47" s="3464"/>
      <c r="T47" s="3464">
        <f>G47</f>
        <v>0</v>
      </c>
      <c r="U47" s="3464"/>
      <c r="V47" s="3464">
        <f>I47</f>
        <v>0</v>
      </c>
      <c r="W47" s="3464"/>
      <c r="X47" s="385"/>
      <c r="Y47" s="673"/>
      <c r="Z47" s="385"/>
      <c r="AA47" s="385"/>
      <c r="AB47" s="385"/>
      <c r="AC47" s="385"/>
    </row>
    <row r="48" spans="1:29" ht="15.75" thickBot="1">
      <c r="A48" s="423" t="s">
        <v>1792</v>
      </c>
      <c r="B48" s="424"/>
      <c r="C48" s="1082" t="e">
        <f>R49</f>
        <v>#DIV/0!</v>
      </c>
      <c r="D48" s="2141" t="s">
        <v>2137</v>
      </c>
      <c r="E48" s="1083" t="e">
        <f>R48</f>
        <v>#DIV/0!</v>
      </c>
      <c r="F48" s="2142"/>
      <c r="G48" s="1082" t="e">
        <f>T48</f>
        <v>#DIV/0!</v>
      </c>
      <c r="H48" s="2142"/>
      <c r="I48" s="1083" t="e">
        <f>V48</f>
        <v>#DIV/0!</v>
      </c>
      <c r="J48" s="2142"/>
      <c r="K48" s="2144">
        <f>F48+H48+J48</f>
        <v>0</v>
      </c>
      <c r="L48" s="2493"/>
      <c r="M48" s="2486"/>
      <c r="N48" s="2486"/>
      <c r="O48" s="2486"/>
      <c r="P48" s="3469" t="str">
        <f>A48</f>
        <v>比较价值（元/平方米）</v>
      </c>
      <c r="Q48" s="3469"/>
      <c r="R48" s="3464" t="e">
        <f>IF(F1="售价",ROUND(PRODUCT(R47,AA7:AA46),0),ROUND(PRODUCT(R47,AA7:AA46),1))</f>
        <v>#DIV/0!</v>
      </c>
      <c r="S48" s="3464"/>
      <c r="T48" s="3464" t="e">
        <f>IF(F1="售价",ROUND(PRODUCT(T47,AB7:AB46),0),ROUND(PRODUCT(T47,AB7:AB46),1))</f>
        <v>#DIV/0!</v>
      </c>
      <c r="U48" s="3464"/>
      <c r="V48" s="3464" t="e">
        <f>IF(F1="售价",ROUND(PRODUCT(V47,AC7:AC46),0),ROUND(PRODUCT(V47,AC7:AC46),1))</f>
        <v>#DIV/0!</v>
      </c>
      <c r="W48" s="3464"/>
      <c r="X48" s="385"/>
      <c r="Y48" s="385"/>
      <c r="Z48" s="385"/>
      <c r="AA48" s="385"/>
      <c r="AB48" s="385"/>
      <c r="AC48" s="385"/>
    </row>
    <row r="49" spans="1:29" ht="15.75" thickBot="1">
      <c r="A49" s="427" t="s">
        <v>1793</v>
      </c>
      <c r="B49" s="428"/>
      <c r="C49" s="351" t="e">
        <f>R49</f>
        <v>#DIV/0!</v>
      </c>
      <c r="D49" s="351"/>
      <c r="E49" s="351"/>
      <c r="F49" s="351"/>
      <c r="G49" s="351"/>
      <c r="H49" s="351"/>
      <c r="I49" s="351"/>
      <c r="J49" s="351"/>
      <c r="K49" s="675"/>
      <c r="L49" s="2493"/>
      <c r="M49" s="2486"/>
      <c r="N49" s="2486"/>
      <c r="O49" s="2486"/>
      <c r="P49" s="3466" t="str">
        <f>A49</f>
        <v>估价对象XX用房的比较价值（楼面单价，元/平方米）</v>
      </c>
      <c r="Q49" s="3467"/>
      <c r="R49" s="3468" t="e">
        <f>IF(F1="售价",ROUND(IF(D48="简单平均",AVERAGE(R48:V48),R48*F48+T48*H48+V48*J48),0),ROUND(IF(D48="简单平均",AVERAGE(R48:V48),R48*F48+T48*H48+V48*J48),1))</f>
        <v>#DIV/0!</v>
      </c>
      <c r="S49" s="3468"/>
      <c r="T49" s="3468"/>
      <c r="U49" s="3468"/>
      <c r="V49" s="3468"/>
      <c r="W49" s="3468"/>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1794</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1795</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1796</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8" t="s">
        <v>1797</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5">
      <c r="A58" s="440" t="s">
        <v>1678</v>
      </c>
      <c r="B58" s="441"/>
      <c r="C58" s="1103" t="str">
        <f>YEAR(C7)&amp;"-"&amp;MONTH(C7)</f>
        <v>2023-5</v>
      </c>
      <c r="D58" s="1104">
        <f>EDATE(C58,-1)</f>
        <v>45017</v>
      </c>
      <c r="E58" s="1104">
        <f t="shared" ref="E58:N58" si="16">EDATE(D58,-1)</f>
        <v>44986</v>
      </c>
      <c r="F58" s="1104">
        <f t="shared" si="16"/>
        <v>44958</v>
      </c>
      <c r="G58" s="1104">
        <f t="shared" si="16"/>
        <v>44927</v>
      </c>
      <c r="H58" s="1104">
        <f t="shared" si="16"/>
        <v>44896</v>
      </c>
      <c r="I58" s="1104">
        <f t="shared" si="16"/>
        <v>44866</v>
      </c>
      <c r="J58" s="1104">
        <f t="shared" si="16"/>
        <v>44835</v>
      </c>
      <c r="K58" s="1104">
        <f t="shared" si="16"/>
        <v>44805</v>
      </c>
      <c r="L58" s="1104">
        <f t="shared" si="16"/>
        <v>44774</v>
      </c>
      <c r="M58" s="1104">
        <f t="shared" si="16"/>
        <v>44743</v>
      </c>
      <c r="N58" s="1104">
        <f t="shared" si="16"/>
        <v>44713</v>
      </c>
      <c r="O58" s="1104">
        <f>EDATE(N58,-1)</f>
        <v>44682</v>
      </c>
      <c r="P58" s="2508"/>
      <c r="Q58" s="2509"/>
      <c r="R58" s="2509"/>
      <c r="S58" s="2509"/>
      <c r="T58" s="2509"/>
      <c r="U58" s="2509"/>
      <c r="V58" s="2509"/>
      <c r="W58" s="2509"/>
      <c r="X58" s="2509"/>
      <c r="Y58" s="2509"/>
      <c r="Z58" s="2509"/>
      <c r="AA58" s="2509"/>
      <c r="AB58" s="2509"/>
      <c r="AC58" s="2509"/>
    </row>
    <row r="59" spans="1:29" s="102" customFormat="1" ht="15">
      <c r="A59" s="443"/>
      <c r="B59" s="444"/>
      <c r="C59" s="1102">
        <v>100</v>
      </c>
      <c r="D59" s="446"/>
      <c r="E59" s="446"/>
      <c r="F59" s="446"/>
      <c r="G59" s="446"/>
      <c r="H59" s="446"/>
      <c r="I59" s="446"/>
      <c r="J59" s="446"/>
      <c r="K59" s="446"/>
      <c r="L59" s="446"/>
      <c r="M59" s="447"/>
      <c r="N59" s="446"/>
      <c r="O59" s="447"/>
      <c r="P59" s="2510"/>
      <c r="Q59" s="2438"/>
      <c r="R59" s="2438"/>
      <c r="S59" s="2438"/>
      <c r="T59" s="2438"/>
      <c r="U59" s="2438"/>
      <c r="V59" s="2438"/>
      <c r="W59" s="2438"/>
      <c r="X59" s="2438"/>
      <c r="Y59" s="2438"/>
      <c r="Z59" s="2438"/>
      <c r="AA59" s="2438"/>
      <c r="AB59" s="2438"/>
      <c r="AC59" s="2438"/>
    </row>
    <row r="60" spans="1:29" s="102" customFormat="1" ht="15.75" thickBot="1">
      <c r="A60" s="449" t="s">
        <v>1715</v>
      </c>
      <c r="B60" s="450"/>
      <c r="C60" s="451"/>
      <c r="D60" s="452"/>
      <c r="E60" s="452"/>
      <c r="F60" s="452"/>
      <c r="G60" s="452"/>
      <c r="H60" s="452"/>
      <c r="I60" s="452"/>
      <c r="J60" s="452"/>
      <c r="K60" s="452"/>
      <c r="L60" s="452"/>
      <c r="M60" s="453"/>
      <c r="N60" s="452"/>
      <c r="O60" s="453"/>
      <c r="P60" s="2510"/>
      <c r="Q60" s="2507"/>
      <c r="R60" s="2438"/>
      <c r="S60" s="2438"/>
      <c r="T60" s="2438"/>
      <c r="U60" s="2438"/>
      <c r="V60" s="2438"/>
      <c r="W60" s="2438"/>
      <c r="X60" s="2438"/>
      <c r="Y60" s="2438"/>
      <c r="Z60" s="2438"/>
      <c r="AA60" s="2438"/>
      <c r="AB60" s="2438"/>
      <c r="AC60" s="2438"/>
    </row>
    <row r="61" spans="1:29" s="102" customFormat="1" ht="15">
      <c r="A61" s="455" t="s">
        <v>1680</v>
      </c>
      <c r="B61" s="444"/>
      <c r="C61" s="456" t="s">
        <v>1775</v>
      </c>
      <c r="D61" s="31"/>
      <c r="E61" s="31"/>
      <c r="F61" s="31"/>
      <c r="G61" s="31"/>
      <c r="H61" s="31"/>
      <c r="I61" s="31"/>
      <c r="J61" s="31"/>
      <c r="K61" s="31"/>
      <c r="L61" s="457"/>
      <c r="M61" s="458"/>
      <c r="N61" s="2519"/>
      <c r="O61" s="2519"/>
      <c r="P61" s="2511"/>
      <c r="Q61" s="2507"/>
      <c r="R61" s="2438"/>
      <c r="S61" s="2438"/>
      <c r="T61" s="2438"/>
      <c r="U61" s="2438"/>
      <c r="V61" s="2438"/>
      <c r="W61" s="2438"/>
      <c r="X61" s="2438"/>
      <c r="Y61" s="2438"/>
      <c r="Z61" s="2438"/>
      <c r="AA61" s="2438"/>
      <c r="AB61" s="2438"/>
      <c r="AC61" s="2438"/>
    </row>
    <row r="62" spans="1:29" s="102" customFormat="1" ht="15.75" thickBot="1">
      <c r="A62" s="455"/>
      <c r="B62" s="444"/>
      <c r="C62" s="445">
        <v>100</v>
      </c>
      <c r="D62" s="446"/>
      <c r="E62" s="446"/>
      <c r="F62" s="446"/>
      <c r="G62" s="446"/>
      <c r="H62" s="446"/>
      <c r="I62" s="446"/>
      <c r="J62" s="446"/>
      <c r="K62" s="446"/>
      <c r="L62" s="446"/>
      <c r="M62" s="448"/>
      <c r="N62" s="2519"/>
      <c r="O62" s="2519"/>
      <c r="P62" s="2510"/>
      <c r="Q62" s="2507"/>
      <c r="R62" s="2438"/>
      <c r="S62" s="2438"/>
      <c r="T62" s="2438"/>
      <c r="U62" s="2438"/>
      <c r="V62" s="2438"/>
      <c r="W62" s="2438"/>
      <c r="X62" s="2438"/>
      <c r="Y62" s="2438"/>
      <c r="Z62" s="2438"/>
      <c r="AA62" s="2438"/>
      <c r="AB62" s="2438"/>
      <c r="AC62" s="2438"/>
    </row>
    <row r="63" spans="1:29">
      <c r="A63" s="379" t="s">
        <v>1718</v>
      </c>
      <c r="B63" s="460" t="s">
        <v>1684</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5.7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7.75" thickTop="1">
      <c r="A65" s="367"/>
      <c r="B65" s="469" t="s">
        <v>1687</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5.7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75" thickTop="1">
      <c r="A67" s="367"/>
      <c r="B67" s="477" t="s">
        <v>1688</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5.7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5.7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5.7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5.7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5.7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5.7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1689</v>
      </c>
      <c r="B76" s="460" t="s">
        <v>1719</v>
      </c>
      <c r="C76" s="504" t="s">
        <v>1720</v>
      </c>
      <c r="D76" s="504" t="s">
        <v>1721</v>
      </c>
      <c r="E76" s="504" t="s">
        <v>1722</v>
      </c>
      <c r="F76" s="504" t="s">
        <v>1723</v>
      </c>
      <c r="G76" s="504" t="s">
        <v>1724</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75" thickTop="1">
      <c r="A78" s="367"/>
      <c r="B78" s="469" t="s">
        <v>1725</v>
      </c>
      <c r="C78" s="509" t="s">
        <v>1720</v>
      </c>
      <c r="D78" s="509" t="s">
        <v>1721</v>
      </c>
      <c r="E78" s="509" t="s">
        <v>1722</v>
      </c>
      <c r="F78" s="509" t="s">
        <v>1723</v>
      </c>
      <c r="G78" s="509" t="s">
        <v>1724</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75" thickTop="1">
      <c r="A80" s="367"/>
      <c r="B80" s="469" t="s">
        <v>1726</v>
      </c>
      <c r="C80" s="509" t="s">
        <v>1720</v>
      </c>
      <c r="D80" s="509" t="s">
        <v>1721</v>
      </c>
      <c r="E80" s="509" t="s">
        <v>1722</v>
      </c>
      <c r="F80" s="509" t="s">
        <v>1723</v>
      </c>
      <c r="G80" s="509" t="s">
        <v>1724</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75" thickTop="1">
      <c r="A82" s="367"/>
      <c r="B82" s="477" t="s">
        <v>1778</v>
      </c>
      <c r="C82" s="581" t="s">
        <v>1798</v>
      </c>
      <c r="D82" s="581" t="s">
        <v>1799</v>
      </c>
      <c r="E82" s="581" t="s">
        <v>1800</v>
      </c>
      <c r="F82" s="581" t="s">
        <v>1801</v>
      </c>
      <c r="G82" s="581" t="s">
        <v>1802</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75" thickTop="1">
      <c r="A84" s="367"/>
      <c r="B84" s="469" t="s">
        <v>1732</v>
      </c>
      <c r="C84" s="509" t="s">
        <v>1720</v>
      </c>
      <c r="D84" s="509" t="s">
        <v>1721</v>
      </c>
      <c r="E84" s="509" t="s">
        <v>1722</v>
      </c>
      <c r="F84" s="509" t="s">
        <v>1723</v>
      </c>
      <c r="G84" s="509" t="s">
        <v>1724</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75" thickTop="1">
      <c r="A86" s="370"/>
      <c r="B86" s="469" t="s">
        <v>1803</v>
      </c>
      <c r="C86" s="485"/>
      <c r="D86" s="485"/>
      <c r="E86" s="485"/>
      <c r="F86" s="485"/>
      <c r="G86" s="485"/>
      <c r="H86" s="485"/>
      <c r="I86" s="485"/>
      <c r="J86" s="485"/>
      <c r="K86" s="485"/>
      <c r="L86" s="510"/>
      <c r="M86" s="511"/>
      <c r="N86" s="2519"/>
      <c r="O86" s="2519"/>
      <c r="P86" s="2512"/>
      <c r="Q86" s="2507"/>
      <c r="R86" s="2438"/>
      <c r="S86" s="2438"/>
      <c r="T86" s="2438"/>
      <c r="U86" s="2438"/>
      <c r="V86" s="2438"/>
      <c r="W86" s="2438"/>
      <c r="X86" s="2438"/>
      <c r="Y86" s="2438"/>
      <c r="Z86" s="2438"/>
      <c r="AA86" s="2438"/>
      <c r="AB86" s="2438"/>
      <c r="AC86" s="2438"/>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8"/>
      <c r="S87" s="2438"/>
      <c r="T87" s="2438"/>
      <c r="U87" s="2438"/>
      <c r="V87" s="2438"/>
      <c r="W87" s="2438"/>
      <c r="X87" s="2438"/>
      <c r="Y87" s="2438"/>
      <c r="Z87" s="2438"/>
      <c r="AA87" s="2438"/>
      <c r="AB87" s="2438"/>
      <c r="AC87" s="2438"/>
    </row>
    <row r="88" spans="1:29" s="102" customFormat="1" ht="15.75" thickTop="1">
      <c r="A88" s="370"/>
      <c r="B88" s="469" t="str">
        <f>B26</f>
        <v>平面位置/可视性</v>
      </c>
      <c r="C88" s="485"/>
      <c r="D88" s="485"/>
      <c r="E88" s="485"/>
      <c r="F88" s="1780"/>
      <c r="G88" s="485"/>
      <c r="H88" s="485"/>
      <c r="I88" s="485"/>
      <c r="J88" s="485"/>
      <c r="K88" s="485"/>
      <c r="L88" s="485"/>
      <c r="M88" s="511"/>
      <c r="N88" s="2519"/>
      <c r="O88" s="2519"/>
      <c r="P88" s="2512"/>
      <c r="Q88" s="2507"/>
      <c r="R88" s="2438"/>
      <c r="S88" s="2438"/>
      <c r="T88" s="2438"/>
      <c r="U88" s="2438"/>
      <c r="V88" s="2438"/>
      <c r="W88" s="2438"/>
      <c r="X88" s="2438"/>
      <c r="Y88" s="2438"/>
      <c r="Z88" s="2438"/>
      <c r="AA88" s="2438"/>
      <c r="AB88" s="2438"/>
      <c r="AC88" s="2438"/>
    </row>
    <row r="89" spans="1:29" s="102" customFormat="1" ht="15.75" thickBot="1">
      <c r="A89" s="370"/>
      <c r="B89" s="474"/>
      <c r="C89" s="491"/>
      <c r="D89" s="467"/>
      <c r="E89" s="467"/>
      <c r="F89" s="467"/>
      <c r="G89" s="467"/>
      <c r="H89" s="467"/>
      <c r="I89" s="467"/>
      <c r="J89" s="467"/>
      <c r="K89" s="467"/>
      <c r="L89" s="467"/>
      <c r="M89" s="467"/>
      <c r="N89" s="2521"/>
      <c r="O89" s="2521"/>
      <c r="P89" s="2512"/>
      <c r="Q89" s="2507"/>
      <c r="R89" s="2438"/>
      <c r="S89" s="2438"/>
      <c r="T89" s="2438"/>
      <c r="U89" s="2438"/>
      <c r="V89" s="2438"/>
      <c r="W89" s="2438"/>
      <c r="X89" s="2438"/>
      <c r="Y89" s="2438"/>
      <c r="Z89" s="2438"/>
      <c r="AA89" s="2438"/>
      <c r="AB89" s="2438"/>
      <c r="AC89" s="2438"/>
    </row>
    <row r="90" spans="1:29" s="408" customFormat="1" ht="15.75"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5.75"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5.75"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7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5.7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5.7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5.7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5.7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5.7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1693</v>
      </c>
      <c r="B100" s="460" t="s">
        <v>1804</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75" thickTop="1">
      <c r="A102" s="367"/>
      <c r="B102" s="469" t="s">
        <v>1736</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5.75"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1737</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1739</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1189</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1741</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1805</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1806</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1807</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5.7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1808</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1743</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9"/>
      <c r="B124" s="469" t="s">
        <v>1744</v>
      </c>
      <c r="C124" s="509" t="s">
        <v>1720</v>
      </c>
      <c r="D124" s="509" t="s">
        <v>1721</v>
      </c>
      <c r="E124" s="509" t="s">
        <v>1722</v>
      </c>
      <c r="F124" s="509" t="s">
        <v>1723</v>
      </c>
      <c r="G124" s="509" t="s">
        <v>1724</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7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5.7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5.7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1659</v>
      </c>
      <c r="B1" s="1808" t="s">
        <v>1809</v>
      </c>
      <c r="C1" s="1141" t="s">
        <v>1661</v>
      </c>
      <c r="D1" s="1142"/>
      <c r="E1" s="3130"/>
      <c r="F1" s="1735"/>
      <c r="G1" s="1152" t="s">
        <v>1766</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1461</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1462</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1463</v>
      </c>
      <c r="B3" s="536">
        <f>IF(C2="——",C50,ROUND(B2*10000/D3,0))</f>
        <v>0</v>
      </c>
      <c r="C3" s="344" t="s">
        <v>1767</v>
      </c>
      <c r="D3" s="343">
        <f>IF(D1="",'数据-汇总表'!E3,SUMIF('数据-汇总表'!$C19:$C33,D1,'数据-汇总表'!$E19:$E33))</f>
        <v>6547.83</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5">
      <c r="A4" s="345" t="s">
        <v>1768</v>
      </c>
      <c r="B4" s="346"/>
      <c r="C4" s="3452" t="s">
        <v>1769</v>
      </c>
      <c r="D4" s="3453"/>
      <c r="E4" s="3454" t="s">
        <v>1770</v>
      </c>
      <c r="F4" s="3455"/>
      <c r="G4" s="3452" t="s">
        <v>1771</v>
      </c>
      <c r="H4" s="3453"/>
      <c r="I4" s="3452" t="s">
        <v>1772</v>
      </c>
      <c r="J4" s="3453"/>
      <c r="K4" s="537" t="s">
        <v>1773</v>
      </c>
      <c r="L4" s="2485"/>
      <c r="M4" s="2486"/>
      <c r="N4" s="2486"/>
      <c r="O4" s="2486"/>
      <c r="P4" s="3485" t="s">
        <v>1774</v>
      </c>
      <c r="Q4" s="3486"/>
      <c r="R4" s="3480" t="s">
        <v>1770</v>
      </c>
      <c r="S4" s="3481"/>
      <c r="T4" s="3480" t="s">
        <v>1771</v>
      </c>
      <c r="U4" s="3481"/>
      <c r="V4" s="3489" t="s">
        <v>1772</v>
      </c>
      <c r="W4" s="3489"/>
      <c r="X4" s="1809"/>
      <c r="Y4" s="3480" t="s">
        <v>1774</v>
      </c>
      <c r="Z4" s="3481"/>
      <c r="AA4" s="3479" t="s">
        <v>1770</v>
      </c>
      <c r="AB4" s="3479" t="s">
        <v>1771</v>
      </c>
      <c r="AC4" s="3482" t="s">
        <v>1772</v>
      </c>
    </row>
    <row r="5" spans="1:29" ht="15">
      <c r="A5" s="348"/>
      <c r="B5" s="349"/>
      <c r="C5" s="3445" t="s">
        <v>1672</v>
      </c>
      <c r="D5" s="3446"/>
      <c r="E5" s="3443" t="s">
        <v>1673</v>
      </c>
      <c r="F5" s="3444"/>
      <c r="G5" s="3445" t="s">
        <v>1674</v>
      </c>
      <c r="H5" s="3446"/>
      <c r="I5" s="3445" t="s">
        <v>1675</v>
      </c>
      <c r="J5" s="3446"/>
      <c r="K5" s="537"/>
      <c r="L5" s="2485"/>
      <c r="M5" s="2486"/>
      <c r="N5" s="2486"/>
      <c r="O5" s="2486"/>
      <c r="P5" s="3487"/>
      <c r="Q5" s="3459"/>
      <c r="R5" s="3441"/>
      <c r="S5" s="3442"/>
      <c r="T5" s="3441"/>
      <c r="U5" s="3442"/>
      <c r="V5" s="3464"/>
      <c r="W5" s="3464"/>
      <c r="X5" s="1265"/>
      <c r="Y5" s="3441"/>
      <c r="Z5" s="3442"/>
      <c r="AA5" s="3435"/>
      <c r="AB5" s="3435"/>
      <c r="AC5" s="3483"/>
    </row>
    <row r="6" spans="1:29" ht="15.75" thickBot="1">
      <c r="A6" s="350"/>
      <c r="B6" s="351"/>
      <c r="C6" s="3447" t="s">
        <v>1676</v>
      </c>
      <c r="D6" s="3448"/>
      <c r="E6" s="3449" t="s">
        <v>1676</v>
      </c>
      <c r="F6" s="3450"/>
      <c r="G6" s="3447" t="s">
        <v>1676</v>
      </c>
      <c r="H6" s="3448"/>
      <c r="I6" s="3447" t="s">
        <v>1676</v>
      </c>
      <c r="J6" s="3448"/>
      <c r="K6" s="537" t="s">
        <v>1677</v>
      </c>
      <c r="L6" s="2485"/>
      <c r="M6" s="2486"/>
      <c r="N6" s="2486"/>
      <c r="O6" s="2486"/>
      <c r="P6" s="3488"/>
      <c r="Q6" s="3461"/>
      <c r="R6" s="3441"/>
      <c r="S6" s="3442"/>
      <c r="T6" s="3462"/>
      <c r="U6" s="3463"/>
      <c r="V6" s="3464"/>
      <c r="W6" s="3464"/>
      <c r="X6" s="1265"/>
      <c r="Y6" s="3462"/>
      <c r="Z6" s="3463"/>
      <c r="AA6" s="3436"/>
      <c r="AB6" s="3436"/>
      <c r="AC6" s="3484"/>
    </row>
    <row r="7" spans="1:29" s="102" customFormat="1" ht="15.75" thickBot="1">
      <c r="A7" s="352" t="s">
        <v>1678</v>
      </c>
      <c r="B7" s="353"/>
      <c r="C7" s="354">
        <f>'数据-取费表'!B2</f>
        <v>45051</v>
      </c>
      <c r="D7" s="355">
        <v>100</v>
      </c>
      <c r="E7" s="356"/>
      <c r="F7" s="357">
        <f>SUMIF(59:59,YEAR(E7)&amp;"-"&amp;MONTH(E7),60:60)</f>
        <v>0</v>
      </c>
      <c r="G7" s="356"/>
      <c r="H7" s="355">
        <f>SUMIF(59:59,YEAR(G7)&amp;"-"&amp;MONTH(G7),60:60)</f>
        <v>0</v>
      </c>
      <c r="I7" s="356"/>
      <c r="J7" s="355">
        <f>SUMIF(59:59,YEAR(I7)&amp;"-"&amp;MONTH(I7),60:60)</f>
        <v>0</v>
      </c>
      <c r="K7" s="38"/>
      <c r="L7" s="2487"/>
      <c r="M7" s="2438"/>
      <c r="N7" s="2438"/>
      <c r="O7" s="2438"/>
      <c r="P7" s="3490" t="s">
        <v>1679</v>
      </c>
      <c r="Q7" s="3465"/>
      <c r="R7" s="664" t="s">
        <v>14</v>
      </c>
      <c r="S7" s="665">
        <f t="shared" ref="S7:S15" si="0">F7</f>
        <v>0</v>
      </c>
      <c r="T7" s="664" t="s">
        <v>14</v>
      </c>
      <c r="U7" s="665">
        <f t="shared" ref="U7:U15" si="1">H7</f>
        <v>0</v>
      </c>
      <c r="V7" s="664" t="s">
        <v>14</v>
      </c>
      <c r="W7" s="665">
        <f t="shared" ref="W7:W15" si="2">J7</f>
        <v>0</v>
      </c>
      <c r="X7" s="666"/>
      <c r="Y7" s="3437" t="s">
        <v>1679</v>
      </c>
      <c r="Z7" s="3438"/>
      <c r="AA7" s="50" t="e">
        <f>D7/F7</f>
        <v>#DIV/0!</v>
      </c>
      <c r="AB7" s="50" t="e">
        <f>D7/H7</f>
        <v>#DIV/0!</v>
      </c>
      <c r="AC7" s="802" t="e">
        <f>D7/J7</f>
        <v>#DIV/0!</v>
      </c>
    </row>
    <row r="8" spans="1:29" s="102" customFormat="1" ht="15.75" thickBot="1">
      <c r="A8" s="352" t="s">
        <v>1680</v>
      </c>
      <c r="B8" s="353"/>
      <c r="C8" s="358"/>
      <c r="D8" s="355">
        <v>100</v>
      </c>
      <c r="E8" s="358"/>
      <c r="F8" s="357">
        <f>SUMIF(62:62,E8,63:63)-SUMIF(62:62,C8,63:63)+100</f>
        <v>100</v>
      </c>
      <c r="G8" s="358"/>
      <c r="H8" s="355">
        <f>SUMIF(62:62,G8,63:63)-SUMIF(62:62,C8,63:63)+100</f>
        <v>100</v>
      </c>
      <c r="I8" s="358"/>
      <c r="J8" s="355">
        <f>SUMIF(62:62,I8,63:63)-SUMIF(62:62,C8,63:63)+100</f>
        <v>100</v>
      </c>
      <c r="K8" s="38"/>
      <c r="L8" s="2487"/>
      <c r="M8" s="2438"/>
      <c r="N8" s="2438"/>
      <c r="O8" s="2438"/>
      <c r="P8" s="3490" t="s">
        <v>1682</v>
      </c>
      <c r="Q8" s="3438"/>
      <c r="R8" s="664" t="s">
        <v>14</v>
      </c>
      <c r="S8" s="665">
        <f t="shared" si="0"/>
        <v>100</v>
      </c>
      <c r="T8" s="664" t="s">
        <v>14</v>
      </c>
      <c r="U8" s="665">
        <f t="shared" si="1"/>
        <v>100</v>
      </c>
      <c r="V8" s="664" t="s">
        <v>14</v>
      </c>
      <c r="W8" s="665">
        <f t="shared" si="2"/>
        <v>100</v>
      </c>
      <c r="X8" s="666"/>
      <c r="Y8" s="3437" t="s">
        <v>1682</v>
      </c>
      <c r="Z8" s="3438"/>
      <c r="AA8" s="50">
        <f t="shared" ref="AA8:AA47" si="3">D8/F8</f>
        <v>1</v>
      </c>
      <c r="AB8" s="50">
        <f t="shared" ref="AB8:AB47" si="4">D8/H8</f>
        <v>1</v>
      </c>
      <c r="AC8" s="802">
        <f t="shared" ref="AC8:AC47" si="5">D8/J8</f>
        <v>1</v>
      </c>
    </row>
    <row r="9" spans="1:29" s="102" customFormat="1">
      <c r="A9" s="359" t="s">
        <v>1683</v>
      </c>
      <c r="B9" s="60" t="s">
        <v>1684</v>
      </c>
      <c r="C9" s="360"/>
      <c r="D9" s="59">
        <v>100</v>
      </c>
      <c r="E9" s="362"/>
      <c r="F9" s="59">
        <f>SUMIF(64:64,E9,65:65)-SUMIF(64:64,C9,65:65)+100</f>
        <v>100</v>
      </c>
      <c r="G9" s="361"/>
      <c r="H9" s="59">
        <f>SUMIF(64:64,G9,65:65)-SUMIF(64:64,C9,65:65)+100</f>
        <v>100</v>
      </c>
      <c r="I9" s="361"/>
      <c r="J9" s="59">
        <f>SUMIF(64:64,I9,65:65)-SUMIF(64:64,C9,65:65)+100</f>
        <v>100</v>
      </c>
      <c r="K9" s="38"/>
      <c r="L9" s="2487"/>
      <c r="M9" s="2438"/>
      <c r="N9" s="2438"/>
      <c r="O9" s="2438"/>
      <c r="P9" s="3451" t="s">
        <v>1685</v>
      </c>
      <c r="Q9" s="530" t="str">
        <f t="shared" ref="Q9:Q15" si="6">B9</f>
        <v>用途</v>
      </c>
      <c r="R9" s="664" t="s">
        <v>14</v>
      </c>
      <c r="S9" s="665">
        <f t="shared" si="0"/>
        <v>100</v>
      </c>
      <c r="T9" s="664" t="s">
        <v>14</v>
      </c>
      <c r="U9" s="665">
        <f t="shared" si="1"/>
        <v>100</v>
      </c>
      <c r="V9" s="664" t="s">
        <v>14</v>
      </c>
      <c r="W9" s="665">
        <f t="shared" si="2"/>
        <v>100</v>
      </c>
      <c r="X9" s="666"/>
      <c r="Y9" s="3362" t="s">
        <v>1686</v>
      </c>
      <c r="Z9" s="50" t="str">
        <f t="shared" ref="Z9:Z15" si="7">Q9</f>
        <v>用途</v>
      </c>
      <c r="AA9" s="50">
        <f t="shared" si="3"/>
        <v>1</v>
      </c>
      <c r="AB9" s="50">
        <f t="shared" si="4"/>
        <v>1</v>
      </c>
      <c r="AC9" s="802">
        <f t="shared" si="5"/>
        <v>1</v>
      </c>
    </row>
    <row r="10" spans="1:29" s="366" customFormat="1" ht="27">
      <c r="A10" s="363"/>
      <c r="B10" s="364" t="s">
        <v>1687</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451"/>
      <c r="Q10" s="530" t="str">
        <f t="shared" si="6"/>
        <v>土地使用年限（年）</v>
      </c>
      <c r="R10" s="664" t="s">
        <v>14</v>
      </c>
      <c r="S10" s="665">
        <f t="shared" si="0"/>
        <v>100</v>
      </c>
      <c r="T10" s="664" t="s">
        <v>14</v>
      </c>
      <c r="U10" s="665">
        <f t="shared" si="1"/>
        <v>100</v>
      </c>
      <c r="V10" s="664" t="s">
        <v>14</v>
      </c>
      <c r="W10" s="665">
        <f t="shared" si="2"/>
        <v>100</v>
      </c>
      <c r="X10" s="666"/>
      <c r="Y10" s="3362"/>
      <c r="Z10" s="50" t="str">
        <f t="shared" si="7"/>
        <v>土地使用年限（年）</v>
      </c>
      <c r="AA10" s="50">
        <f t="shared" si="3"/>
        <v>1</v>
      </c>
      <c r="AB10" s="50">
        <f t="shared" si="4"/>
        <v>1</v>
      </c>
      <c r="AC10" s="802">
        <f t="shared" si="5"/>
        <v>1</v>
      </c>
    </row>
    <row r="11" spans="1:29" ht="15">
      <c r="A11" s="367"/>
      <c r="B11" s="364" t="s">
        <v>1688</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451"/>
      <c r="Q11" s="530" t="str">
        <f t="shared" si="6"/>
        <v>容积率</v>
      </c>
      <c r="R11" s="664" t="s">
        <v>14</v>
      </c>
      <c r="S11" s="665">
        <f t="shared" si="0"/>
        <v>100</v>
      </c>
      <c r="T11" s="664" t="s">
        <v>14</v>
      </c>
      <c r="U11" s="665">
        <f t="shared" si="1"/>
        <v>100</v>
      </c>
      <c r="V11" s="664" t="s">
        <v>14</v>
      </c>
      <c r="W11" s="665">
        <f t="shared" si="2"/>
        <v>100</v>
      </c>
      <c r="X11" s="666"/>
      <c r="Y11" s="3362"/>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8"/>
      <c r="N12" s="2438"/>
      <c r="O12" s="2438"/>
      <c r="P12" s="3451"/>
      <c r="Q12" s="530">
        <f t="shared" si="6"/>
        <v>111</v>
      </c>
      <c r="R12" s="664" t="s">
        <v>14</v>
      </c>
      <c r="S12" s="665">
        <f t="shared" si="0"/>
        <v>100</v>
      </c>
      <c r="T12" s="664" t="s">
        <v>14</v>
      </c>
      <c r="U12" s="665">
        <f t="shared" si="1"/>
        <v>100</v>
      </c>
      <c r="V12" s="664" t="s">
        <v>14</v>
      </c>
      <c r="W12" s="665">
        <f t="shared" si="2"/>
        <v>100</v>
      </c>
      <c r="X12" s="666"/>
      <c r="Y12" s="336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451"/>
      <c r="Q13" s="530">
        <f t="shared" si="6"/>
        <v>111</v>
      </c>
      <c r="R13" s="664" t="s">
        <v>14</v>
      </c>
      <c r="S13" s="665">
        <f t="shared" si="0"/>
        <v>100</v>
      </c>
      <c r="T13" s="664" t="s">
        <v>14</v>
      </c>
      <c r="U13" s="665">
        <f t="shared" si="1"/>
        <v>100</v>
      </c>
      <c r="V13" s="664" t="s">
        <v>14</v>
      </c>
      <c r="W13" s="665">
        <f t="shared" si="2"/>
        <v>100</v>
      </c>
      <c r="X13" s="666"/>
      <c r="Y13" s="3362"/>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451"/>
      <c r="Q14" s="530">
        <f t="shared" si="6"/>
        <v>111</v>
      </c>
      <c r="R14" s="664" t="s">
        <v>14</v>
      </c>
      <c r="S14" s="665">
        <f t="shared" si="0"/>
        <v>100</v>
      </c>
      <c r="T14" s="664" t="s">
        <v>14</v>
      </c>
      <c r="U14" s="665">
        <f t="shared" si="1"/>
        <v>100</v>
      </c>
      <c r="V14" s="664" t="s">
        <v>14</v>
      </c>
      <c r="W14" s="665">
        <f t="shared" si="2"/>
        <v>100</v>
      </c>
      <c r="X14" s="666"/>
      <c r="Y14" s="3362"/>
      <c r="Z14" s="50">
        <f t="shared" si="7"/>
        <v>111</v>
      </c>
      <c r="AA14" s="50">
        <f t="shared" si="3"/>
        <v>1</v>
      </c>
      <c r="AB14" s="50">
        <f t="shared" si="4"/>
        <v>1</v>
      </c>
      <c r="AC14" s="802">
        <f t="shared" si="5"/>
        <v>1</v>
      </c>
    </row>
    <row r="15" spans="1:29" ht="15">
      <c r="A15" s="379" t="s">
        <v>1689</v>
      </c>
      <c r="B15" s="554" t="s">
        <v>1810</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477" t="s">
        <v>1690</v>
      </c>
      <c r="Q15" s="1263" t="str">
        <f t="shared" si="6"/>
        <v>办公集聚程度</v>
      </c>
      <c r="R15" s="667" t="s">
        <v>14</v>
      </c>
      <c r="S15" s="668">
        <f t="shared" si="0"/>
        <v>100</v>
      </c>
      <c r="T15" s="667" t="s">
        <v>14</v>
      </c>
      <c r="U15" s="668">
        <f t="shared" si="1"/>
        <v>100</v>
      </c>
      <c r="V15" s="667" t="s">
        <v>14</v>
      </c>
      <c r="W15" s="668">
        <f t="shared" si="2"/>
        <v>100</v>
      </c>
      <c r="X15" s="1265"/>
      <c r="Y15" s="3470" t="s">
        <v>1690</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1"/>
      <c r="M16" s="2486"/>
      <c r="N16" s="2486"/>
      <c r="O16" s="2486"/>
      <c r="P16" s="3478"/>
      <c r="Q16" s="1263"/>
      <c r="R16" s="667"/>
      <c r="S16" s="668"/>
      <c r="T16" s="667"/>
      <c r="U16" s="668"/>
      <c r="V16" s="667"/>
      <c r="W16" s="668"/>
      <c r="X16" s="1265"/>
      <c r="Y16" s="3471"/>
      <c r="Z16" s="1264"/>
      <c r="AA16" s="1264">
        <v>1</v>
      </c>
      <c r="AB16" s="1264">
        <v>1</v>
      </c>
      <c r="AC16" s="1812">
        <v>1</v>
      </c>
    </row>
    <row r="17" spans="1:29" ht="85.5">
      <c r="A17" s="367"/>
      <c r="B17" s="556" t="s">
        <v>1258</v>
      </c>
      <c r="C17" s="1813" t="str">
        <f>估价对象房地状况!C6</f>
        <v>周边有75、110、420路及地铁2号、6号线，周边道路密集，停车便捷程度，综合评价交通便捷度好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478"/>
      <c r="Q17" s="1263" t="str">
        <f>B17</f>
        <v>交通便捷度</v>
      </c>
      <c r="R17" s="667" t="s">
        <v>14</v>
      </c>
      <c r="S17" s="668">
        <f>F17</f>
        <v>100</v>
      </c>
      <c r="T17" s="667" t="s">
        <v>14</v>
      </c>
      <c r="U17" s="668">
        <f>H17</f>
        <v>100</v>
      </c>
      <c r="V17" s="667" t="s">
        <v>14</v>
      </c>
      <c r="W17" s="668">
        <f>J17</f>
        <v>100</v>
      </c>
      <c r="X17" s="1265"/>
      <c r="Y17" s="3471"/>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1"/>
      <c r="M18" s="2486"/>
      <c r="N18" s="2486"/>
      <c r="O18" s="2486"/>
      <c r="P18" s="3478"/>
      <c r="Q18" s="1263"/>
      <c r="R18" s="667"/>
      <c r="S18" s="668"/>
      <c r="T18" s="667"/>
      <c r="U18" s="668"/>
      <c r="V18" s="667"/>
      <c r="W18" s="668"/>
      <c r="X18" s="1265"/>
      <c r="Y18" s="3471"/>
      <c r="Z18" s="1264"/>
      <c r="AA18" s="1264">
        <v>1</v>
      </c>
      <c r="AB18" s="1264">
        <v>1</v>
      </c>
      <c r="AC18" s="1812">
        <v>1</v>
      </c>
    </row>
    <row r="19" spans="1:29" ht="85.5">
      <c r="A19" s="367"/>
      <c r="B19" s="556" t="s">
        <v>1811</v>
      </c>
      <c r="C19" s="1813" t="str">
        <f>估价对象房地状况!C7</f>
        <v>估价对象所在区域银行、购物场所、学校等公共配套设施齐备，综合评价公共配套设施水平好。</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478"/>
      <c r="Q19" s="1263" t="str">
        <f>B19</f>
        <v>公共配套设施</v>
      </c>
      <c r="R19" s="667" t="s">
        <v>14</v>
      </c>
      <c r="S19" s="668">
        <f>F19</f>
        <v>100</v>
      </c>
      <c r="T19" s="667" t="s">
        <v>14</v>
      </c>
      <c r="U19" s="668">
        <f>H19</f>
        <v>100</v>
      </c>
      <c r="V19" s="667" t="s">
        <v>14</v>
      </c>
      <c r="W19" s="668">
        <f>J19</f>
        <v>100</v>
      </c>
      <c r="X19" s="1265"/>
      <c r="Y19" s="3471"/>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1"/>
      <c r="M20" s="2486"/>
      <c r="N20" s="2486"/>
      <c r="O20" s="2486"/>
      <c r="P20" s="3478"/>
      <c r="Q20" s="1263"/>
      <c r="R20" s="667"/>
      <c r="S20" s="668"/>
      <c r="T20" s="667"/>
      <c r="U20" s="668"/>
      <c r="V20" s="667"/>
      <c r="W20" s="668"/>
      <c r="X20" s="1265"/>
      <c r="Y20" s="3471"/>
      <c r="Z20" s="1264"/>
      <c r="AA20" s="1264">
        <v>1</v>
      </c>
      <c r="AB20" s="1264">
        <v>1</v>
      </c>
      <c r="AC20" s="1812">
        <v>1</v>
      </c>
    </row>
    <row r="21" spans="1:29" ht="42.75">
      <c r="A21" s="367"/>
      <c r="B21" s="557" t="s">
        <v>1812</v>
      </c>
      <c r="C21" s="1813" t="str">
        <f>估价对象房地状况!C8</f>
        <v>估价对象所在区域基础设施水平“七通一平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478"/>
      <c r="Q21" s="1263" t="str">
        <f>B21</f>
        <v>基础设施水平</v>
      </c>
      <c r="R21" s="667" t="s">
        <v>14</v>
      </c>
      <c r="S21" s="668">
        <f>F21</f>
        <v>100</v>
      </c>
      <c r="T21" s="667" t="s">
        <v>14</v>
      </c>
      <c r="U21" s="668">
        <f>H21</f>
        <v>100</v>
      </c>
      <c r="V21" s="667" t="s">
        <v>14</v>
      </c>
      <c r="W21" s="668">
        <f>J21</f>
        <v>100</v>
      </c>
      <c r="X21" s="1265"/>
      <c r="Y21" s="3471"/>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1"/>
      <c r="M22" s="2486"/>
      <c r="N22" s="2486"/>
      <c r="O22" s="2486"/>
      <c r="P22" s="3478"/>
      <c r="Q22" s="1263"/>
      <c r="R22" s="667"/>
      <c r="S22" s="668"/>
      <c r="T22" s="667"/>
      <c r="U22" s="668"/>
      <c r="V22" s="667"/>
      <c r="W22" s="668"/>
      <c r="X22" s="1265"/>
      <c r="Y22" s="3471"/>
      <c r="Z22" s="1264"/>
      <c r="AA22" s="1264">
        <v>1</v>
      </c>
      <c r="AB22" s="1264">
        <v>1</v>
      </c>
      <c r="AC22" s="1812">
        <v>1</v>
      </c>
    </row>
    <row r="23" spans="1:29" ht="85.5">
      <c r="A23" s="367"/>
      <c r="B23" s="556" t="s">
        <v>1813</v>
      </c>
      <c r="C23" s="1813" t="str">
        <f>估价对象房地状况!C9</f>
        <v>区域内有东城职业大学、日坛公园、富国海底世界等自然及人文环境，综合评价自然及人文环境状况较好。</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478"/>
      <c r="Q23" s="1263" t="str">
        <f>B23</f>
        <v>环境质量</v>
      </c>
      <c r="R23" s="667" t="s">
        <v>14</v>
      </c>
      <c r="S23" s="668">
        <f>F23</f>
        <v>100</v>
      </c>
      <c r="T23" s="667" t="s">
        <v>14</v>
      </c>
      <c r="U23" s="668">
        <f>H23</f>
        <v>100</v>
      </c>
      <c r="V23" s="667" t="s">
        <v>14</v>
      </c>
      <c r="W23" s="668">
        <f>J23</f>
        <v>100</v>
      </c>
      <c r="X23" s="1265"/>
      <c r="Y23" s="3471"/>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1"/>
      <c r="M24" s="2486"/>
      <c r="N24" s="2486"/>
      <c r="O24" s="2486"/>
      <c r="P24" s="3478"/>
      <c r="Q24" s="1263"/>
      <c r="R24" s="667"/>
      <c r="S24" s="668"/>
      <c r="T24" s="667"/>
      <c r="U24" s="668"/>
      <c r="V24" s="667"/>
      <c r="W24" s="668"/>
      <c r="X24" s="1265"/>
      <c r="Y24" s="3471"/>
      <c r="Z24" s="1264"/>
      <c r="AA24" s="1264">
        <v>1</v>
      </c>
      <c r="AB24" s="1264">
        <v>1</v>
      </c>
      <c r="AC24" s="1812">
        <v>1</v>
      </c>
    </row>
    <row r="25" spans="1:29" ht="27">
      <c r="A25" s="348"/>
      <c r="B25" s="556" t="s">
        <v>1814</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478"/>
      <c r="Q25" s="1263" t="str">
        <f>B25</f>
        <v>毗邻道路的类型与等级</v>
      </c>
      <c r="R25" s="667" t="s">
        <v>14</v>
      </c>
      <c r="S25" s="668">
        <f>F25</f>
        <v>100</v>
      </c>
      <c r="T25" s="667" t="s">
        <v>14</v>
      </c>
      <c r="U25" s="668">
        <f>H25</f>
        <v>100</v>
      </c>
      <c r="V25" s="667" t="s">
        <v>14</v>
      </c>
      <c r="W25" s="668">
        <f>J25</f>
        <v>100</v>
      </c>
      <c r="X25" s="1265"/>
      <c r="Y25" s="3471"/>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1"/>
      <c r="M26" s="2486"/>
      <c r="N26" s="2486"/>
      <c r="O26" s="2486"/>
      <c r="P26" s="3478"/>
      <c r="Q26" s="1263"/>
      <c r="R26" s="667"/>
      <c r="S26" s="668"/>
      <c r="T26" s="667"/>
      <c r="U26" s="668"/>
      <c r="V26" s="667"/>
      <c r="W26" s="668"/>
      <c r="X26" s="1265"/>
      <c r="Y26" s="3471"/>
      <c r="Z26" s="1264"/>
      <c r="AA26" s="1264">
        <v>1</v>
      </c>
      <c r="AB26" s="1264">
        <v>1</v>
      </c>
      <c r="AC26" s="1812">
        <v>1</v>
      </c>
    </row>
    <row r="27" spans="1:29" ht="15">
      <c r="A27" s="367"/>
      <c r="B27" s="401" t="s">
        <v>1782</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478"/>
      <c r="Q27" s="1263" t="str">
        <f t="shared" ref="Q27:Q47" si="11">B27</f>
        <v>楼层</v>
      </c>
      <c r="R27" s="667" t="s">
        <v>14</v>
      </c>
      <c r="S27" s="668">
        <f>F27</f>
        <v>100</v>
      </c>
      <c r="T27" s="667" t="s">
        <v>14</v>
      </c>
      <c r="U27" s="668">
        <f>H27</f>
        <v>100</v>
      </c>
      <c r="V27" s="667" t="s">
        <v>14</v>
      </c>
      <c r="W27" s="668">
        <f>J27</f>
        <v>100</v>
      </c>
      <c r="X27" s="1265"/>
      <c r="Y27" s="3471"/>
      <c r="Z27" s="1264" t="str">
        <f>Q27</f>
        <v>楼层</v>
      </c>
      <c r="AA27" s="1264">
        <f t="shared" si="3"/>
        <v>1</v>
      </c>
      <c r="AB27" s="1264">
        <f t="shared" si="4"/>
        <v>1</v>
      </c>
      <c r="AC27" s="1812">
        <f t="shared" si="5"/>
        <v>1</v>
      </c>
    </row>
    <row r="28" spans="1:29" s="102" customFormat="1" ht="15">
      <c r="A28" s="370"/>
      <c r="B28" s="556" t="s">
        <v>1815</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8"/>
      <c r="N28" s="2438"/>
      <c r="O28" s="2438"/>
      <c r="P28" s="3478"/>
      <c r="Q28" s="530" t="str">
        <f t="shared" si="11"/>
        <v>朝向</v>
      </c>
      <c r="R28" s="664" t="s">
        <v>14</v>
      </c>
      <c r="S28" s="665">
        <f>F28</f>
        <v>100</v>
      </c>
      <c r="T28" s="664" t="s">
        <v>14</v>
      </c>
      <c r="U28" s="665">
        <f>H28</f>
        <v>100</v>
      </c>
      <c r="V28" s="664" t="s">
        <v>14</v>
      </c>
      <c r="W28" s="665">
        <f>J28</f>
        <v>100</v>
      </c>
      <c r="X28" s="666"/>
      <c r="Y28" s="3471"/>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478"/>
      <c r="Q29" s="1263">
        <f t="shared" si="11"/>
        <v>111</v>
      </c>
      <c r="R29" s="667" t="s">
        <v>14</v>
      </c>
      <c r="S29" s="668">
        <f t="shared" ref="S29:S47" si="12">F29</f>
        <v>100</v>
      </c>
      <c r="T29" s="667" t="s">
        <v>14</v>
      </c>
      <c r="U29" s="668">
        <f t="shared" ref="U29:U47" si="13">H29</f>
        <v>100</v>
      </c>
      <c r="V29" s="667" t="s">
        <v>14</v>
      </c>
      <c r="W29" s="668">
        <f t="shared" ref="W29:W47" si="14">J29</f>
        <v>100</v>
      </c>
      <c r="X29" s="1265"/>
      <c r="Y29" s="3471"/>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478"/>
      <c r="Q30" s="1263">
        <f t="shared" si="11"/>
        <v>111</v>
      </c>
      <c r="R30" s="667" t="s">
        <v>14</v>
      </c>
      <c r="S30" s="668">
        <f t="shared" si="12"/>
        <v>100</v>
      </c>
      <c r="T30" s="667" t="s">
        <v>14</v>
      </c>
      <c r="U30" s="668">
        <f t="shared" si="13"/>
        <v>100</v>
      </c>
      <c r="V30" s="667" t="s">
        <v>14</v>
      </c>
      <c r="W30" s="668">
        <f t="shared" si="14"/>
        <v>100</v>
      </c>
      <c r="X30" s="1265"/>
      <c r="Y30" s="3471"/>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478"/>
      <c r="Q31" s="1263">
        <f t="shared" si="11"/>
        <v>111</v>
      </c>
      <c r="R31" s="667" t="s">
        <v>14</v>
      </c>
      <c r="S31" s="668">
        <f t="shared" si="12"/>
        <v>100</v>
      </c>
      <c r="T31" s="667" t="s">
        <v>14</v>
      </c>
      <c r="U31" s="668">
        <f t="shared" si="13"/>
        <v>100</v>
      </c>
      <c r="V31" s="667" t="s">
        <v>14</v>
      </c>
      <c r="W31" s="668">
        <f t="shared" si="14"/>
        <v>100</v>
      </c>
      <c r="X31" s="1265"/>
      <c r="Y31" s="3471"/>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478"/>
      <c r="Q32" s="1263">
        <f t="shared" si="11"/>
        <v>111</v>
      </c>
      <c r="R32" s="667" t="s">
        <v>14</v>
      </c>
      <c r="S32" s="668">
        <f t="shared" si="12"/>
        <v>100</v>
      </c>
      <c r="T32" s="667" t="s">
        <v>14</v>
      </c>
      <c r="U32" s="668">
        <f t="shared" si="13"/>
        <v>100</v>
      </c>
      <c r="V32" s="667" t="s">
        <v>14</v>
      </c>
      <c r="W32" s="668">
        <f t="shared" si="14"/>
        <v>100</v>
      </c>
      <c r="X32" s="1265"/>
      <c r="Y32" s="3471"/>
      <c r="Z32" s="1264">
        <f t="shared" si="15"/>
        <v>111</v>
      </c>
      <c r="AA32" s="1264">
        <f t="shared" si="3"/>
        <v>1</v>
      </c>
      <c r="AB32" s="1264">
        <f t="shared" si="4"/>
        <v>1</v>
      </c>
      <c r="AC32" s="1812">
        <f t="shared" si="5"/>
        <v>1</v>
      </c>
    </row>
    <row r="33" spans="1:29" ht="15">
      <c r="A33" s="379" t="s">
        <v>1693</v>
      </c>
      <c r="B33" s="60" t="s">
        <v>1816</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472" t="s">
        <v>1695</v>
      </c>
      <c r="Q33" s="1263" t="str">
        <f t="shared" si="11"/>
        <v>建筑类型</v>
      </c>
      <c r="R33" s="667" t="s">
        <v>14</v>
      </c>
      <c r="S33" s="668">
        <f t="shared" si="12"/>
        <v>100</v>
      </c>
      <c r="T33" s="667" t="s">
        <v>14</v>
      </c>
      <c r="U33" s="668">
        <f t="shared" si="13"/>
        <v>100</v>
      </c>
      <c r="V33" s="667" t="s">
        <v>14</v>
      </c>
      <c r="W33" s="668">
        <f t="shared" si="14"/>
        <v>100</v>
      </c>
      <c r="X33" s="1265"/>
      <c r="Y33" s="3475" t="s">
        <v>1695</v>
      </c>
      <c r="Z33" s="1264" t="str">
        <f t="shared" si="15"/>
        <v>建筑类型</v>
      </c>
      <c r="AA33" s="1264">
        <f t="shared" si="3"/>
        <v>1</v>
      </c>
      <c r="AB33" s="1264">
        <f t="shared" si="4"/>
        <v>1</v>
      </c>
      <c r="AC33" s="1812">
        <f t="shared" si="5"/>
        <v>1</v>
      </c>
    </row>
    <row r="34" spans="1:29" s="408" customFormat="1" ht="15">
      <c r="A34" s="406"/>
      <c r="B34" s="364" t="s">
        <v>1696</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473"/>
      <c r="Q34" s="531" t="str">
        <f t="shared" si="11"/>
        <v>项目建筑规模</v>
      </c>
      <c r="R34" s="669" t="s">
        <v>14</v>
      </c>
      <c r="S34" s="670" t="e">
        <f t="shared" si="12"/>
        <v>#N/A</v>
      </c>
      <c r="T34" s="669" t="s">
        <v>14</v>
      </c>
      <c r="U34" s="670" t="e">
        <f t="shared" si="13"/>
        <v>#N/A</v>
      </c>
      <c r="V34" s="669" t="s">
        <v>14</v>
      </c>
      <c r="W34" s="670" t="e">
        <f t="shared" si="14"/>
        <v>#N/A</v>
      </c>
      <c r="X34" s="671"/>
      <c r="Y34" s="3475"/>
      <c r="Z34" s="672" t="str">
        <f t="shared" si="15"/>
        <v>项目建筑规模</v>
      </c>
      <c r="AA34" s="1264" t="e">
        <f t="shared" si="3"/>
        <v>#N/A</v>
      </c>
      <c r="AB34" s="1264" t="e">
        <f t="shared" si="4"/>
        <v>#N/A</v>
      </c>
      <c r="AC34" s="1812" t="e">
        <f t="shared" si="5"/>
        <v>#N/A</v>
      </c>
    </row>
    <row r="35" spans="1:29" ht="15">
      <c r="A35" s="409"/>
      <c r="B35" s="364" t="s">
        <v>1697</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473"/>
      <c r="Q35" s="1263" t="str">
        <f t="shared" si="11"/>
        <v>建筑结构</v>
      </c>
      <c r="R35" s="667" t="s">
        <v>14</v>
      </c>
      <c r="S35" s="668">
        <f t="shared" si="12"/>
        <v>100</v>
      </c>
      <c r="T35" s="667" t="s">
        <v>14</v>
      </c>
      <c r="U35" s="668">
        <f t="shared" si="13"/>
        <v>100</v>
      </c>
      <c r="V35" s="667" t="s">
        <v>14</v>
      </c>
      <c r="W35" s="668">
        <f t="shared" si="14"/>
        <v>100</v>
      </c>
      <c r="X35" s="1265"/>
      <c r="Y35" s="3475"/>
      <c r="Z35" s="1264" t="str">
        <f t="shared" si="15"/>
        <v>建筑结构</v>
      </c>
      <c r="AA35" s="1264">
        <f t="shared" si="3"/>
        <v>1</v>
      </c>
      <c r="AB35" s="1264">
        <f t="shared" si="4"/>
        <v>1</v>
      </c>
      <c r="AC35" s="1812">
        <f t="shared" si="5"/>
        <v>1</v>
      </c>
    </row>
    <row r="36" spans="1:29" ht="15">
      <c r="A36" s="409"/>
      <c r="B36" s="364" t="s">
        <v>1784</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473"/>
      <c r="Q36" s="1263" t="str">
        <f t="shared" si="11"/>
        <v>公共部分装修</v>
      </c>
      <c r="R36" s="667" t="s">
        <v>14</v>
      </c>
      <c r="S36" s="668">
        <f t="shared" si="12"/>
        <v>100</v>
      </c>
      <c r="T36" s="667" t="s">
        <v>14</v>
      </c>
      <c r="U36" s="668">
        <f t="shared" si="13"/>
        <v>100</v>
      </c>
      <c r="V36" s="667" t="s">
        <v>14</v>
      </c>
      <c r="W36" s="668">
        <f t="shared" si="14"/>
        <v>100</v>
      </c>
      <c r="X36" s="1265"/>
      <c r="Y36" s="3475"/>
      <c r="Z36" s="1264" t="str">
        <f t="shared" si="15"/>
        <v>公共部分装修</v>
      </c>
      <c r="AA36" s="1264">
        <f t="shared" si="3"/>
        <v>1</v>
      </c>
      <c r="AB36" s="1264">
        <f t="shared" si="4"/>
        <v>1</v>
      </c>
      <c r="AC36" s="1812">
        <f t="shared" si="5"/>
        <v>1</v>
      </c>
    </row>
    <row r="37" spans="1:29" ht="15">
      <c r="A37" s="409"/>
      <c r="B37" s="364" t="s">
        <v>1785</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473"/>
      <c r="Q37" s="1263" t="str">
        <f t="shared" si="11"/>
        <v>成新度</v>
      </c>
      <c r="R37" s="667" t="s">
        <v>14</v>
      </c>
      <c r="S37" s="668" t="e">
        <f t="shared" si="12"/>
        <v>#N/A</v>
      </c>
      <c r="T37" s="667" t="s">
        <v>14</v>
      </c>
      <c r="U37" s="668" t="e">
        <f t="shared" si="13"/>
        <v>#N/A</v>
      </c>
      <c r="V37" s="667" t="s">
        <v>14</v>
      </c>
      <c r="W37" s="668" t="e">
        <f t="shared" si="14"/>
        <v>#N/A</v>
      </c>
      <c r="X37" s="1265"/>
      <c r="Y37" s="3475"/>
      <c r="Z37" s="1264" t="str">
        <f t="shared" si="15"/>
        <v>成新度</v>
      </c>
      <c r="AA37" s="1264" t="e">
        <f t="shared" si="3"/>
        <v>#N/A</v>
      </c>
      <c r="AB37" s="1264" t="e">
        <f t="shared" si="4"/>
        <v>#N/A</v>
      </c>
      <c r="AC37" s="1812" t="e">
        <f t="shared" si="5"/>
        <v>#N/A</v>
      </c>
    </row>
    <row r="38" spans="1:29" s="102" customFormat="1" ht="15">
      <c r="A38" s="410"/>
      <c r="B38" s="364" t="s">
        <v>1817</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8"/>
      <c r="N38" s="2438"/>
      <c r="O38" s="2438"/>
      <c r="P38" s="3473"/>
      <c r="Q38" s="530" t="str">
        <f t="shared" si="11"/>
        <v>写字楼等级</v>
      </c>
      <c r="R38" s="664" t="s">
        <v>14</v>
      </c>
      <c r="S38" s="665">
        <f t="shared" si="12"/>
        <v>100</v>
      </c>
      <c r="T38" s="664" t="s">
        <v>14</v>
      </c>
      <c r="U38" s="665">
        <f t="shared" si="13"/>
        <v>100</v>
      </c>
      <c r="V38" s="664" t="s">
        <v>14</v>
      </c>
      <c r="W38" s="665">
        <f t="shared" si="14"/>
        <v>100</v>
      </c>
      <c r="X38" s="666"/>
      <c r="Y38" s="3475"/>
      <c r="Z38" s="50" t="str">
        <f t="shared" si="15"/>
        <v>写字楼等级</v>
      </c>
      <c r="AA38" s="50">
        <f t="shared" si="3"/>
        <v>1</v>
      </c>
      <c r="AB38" s="50">
        <f t="shared" si="4"/>
        <v>1</v>
      </c>
      <c r="AC38" s="802">
        <f t="shared" si="5"/>
        <v>1</v>
      </c>
    </row>
    <row r="39" spans="1:29" ht="15">
      <c r="A39" s="409"/>
      <c r="B39" s="364" t="s">
        <v>1818</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473" t="s">
        <v>1695</v>
      </c>
      <c r="Q39" s="1263" t="str">
        <f t="shared" si="11"/>
        <v>物业管理</v>
      </c>
      <c r="R39" s="667" t="s">
        <v>14</v>
      </c>
      <c r="S39" s="668">
        <f t="shared" si="12"/>
        <v>100</v>
      </c>
      <c r="T39" s="667" t="s">
        <v>14</v>
      </c>
      <c r="U39" s="668">
        <f t="shared" si="13"/>
        <v>100</v>
      </c>
      <c r="V39" s="667" t="s">
        <v>14</v>
      </c>
      <c r="W39" s="668">
        <f t="shared" si="14"/>
        <v>100</v>
      </c>
      <c r="X39" s="1265"/>
      <c r="Y39" s="3475" t="s">
        <v>1695</v>
      </c>
      <c r="Z39" s="1264" t="str">
        <f t="shared" si="15"/>
        <v>物业管理</v>
      </c>
      <c r="AA39" s="1264">
        <f t="shared" si="3"/>
        <v>1</v>
      </c>
      <c r="AB39" s="1264">
        <f t="shared" si="4"/>
        <v>1</v>
      </c>
      <c r="AC39" s="1812">
        <f t="shared" si="5"/>
        <v>1</v>
      </c>
    </row>
    <row r="40" spans="1:29" ht="15">
      <c r="A40" s="409"/>
      <c r="B40" s="364" t="s">
        <v>1786</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473"/>
      <c r="Q40" s="1263" t="str">
        <f t="shared" si="11"/>
        <v>市政基础设施</v>
      </c>
      <c r="R40" s="667" t="s">
        <v>14</v>
      </c>
      <c r="S40" s="668">
        <f t="shared" si="12"/>
        <v>100</v>
      </c>
      <c r="T40" s="667" t="s">
        <v>14</v>
      </c>
      <c r="U40" s="668">
        <f t="shared" si="13"/>
        <v>100</v>
      </c>
      <c r="V40" s="667" t="s">
        <v>14</v>
      </c>
      <c r="W40" s="668">
        <f t="shared" si="14"/>
        <v>100</v>
      </c>
      <c r="X40" s="1265"/>
      <c r="Y40" s="3475"/>
      <c r="Z40" s="1264" t="str">
        <f t="shared" si="15"/>
        <v>市政基础设施</v>
      </c>
      <c r="AA40" s="1264">
        <f t="shared" si="3"/>
        <v>1</v>
      </c>
      <c r="AB40" s="1264">
        <f t="shared" si="4"/>
        <v>1</v>
      </c>
      <c r="AC40" s="1812">
        <f t="shared" si="5"/>
        <v>1</v>
      </c>
    </row>
    <row r="41" spans="1:29" ht="15">
      <c r="A41" s="409"/>
      <c r="B41" s="364" t="s">
        <v>1788</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473"/>
      <c r="Q41" s="1263" t="str">
        <f t="shared" si="11"/>
        <v>层高</v>
      </c>
      <c r="R41" s="667" t="s">
        <v>14</v>
      </c>
      <c r="S41" s="668">
        <f t="shared" si="12"/>
        <v>100</v>
      </c>
      <c r="T41" s="667" t="s">
        <v>14</v>
      </c>
      <c r="U41" s="668">
        <f t="shared" si="13"/>
        <v>100</v>
      </c>
      <c r="V41" s="667" t="s">
        <v>14</v>
      </c>
      <c r="W41" s="668">
        <f t="shared" si="14"/>
        <v>100</v>
      </c>
      <c r="X41" s="1265"/>
      <c r="Y41" s="3475"/>
      <c r="Z41" s="1264" t="str">
        <f t="shared" si="15"/>
        <v>层高</v>
      </c>
      <c r="AA41" s="1264">
        <f t="shared" si="3"/>
        <v>1</v>
      </c>
      <c r="AB41" s="1264">
        <f t="shared" si="4"/>
        <v>1</v>
      </c>
      <c r="AC41" s="1812">
        <f t="shared" si="5"/>
        <v>1</v>
      </c>
    </row>
    <row r="42" spans="1:29" s="408" customFormat="1" ht="15">
      <c r="A42" s="406"/>
      <c r="B42" s="400" t="s">
        <v>1819</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73"/>
      <c r="Q42" s="531" t="str">
        <f t="shared" si="11"/>
        <v>单套建筑面积</v>
      </c>
      <c r="R42" s="669" t="s">
        <v>14</v>
      </c>
      <c r="S42" s="670">
        <f t="shared" si="12"/>
        <v>100</v>
      </c>
      <c r="T42" s="669" t="s">
        <v>14</v>
      </c>
      <c r="U42" s="670">
        <f t="shared" si="13"/>
        <v>100</v>
      </c>
      <c r="V42" s="669" t="s">
        <v>14</v>
      </c>
      <c r="W42" s="670">
        <f t="shared" si="14"/>
        <v>100</v>
      </c>
      <c r="X42" s="671"/>
      <c r="Y42" s="3475"/>
      <c r="Z42" s="672" t="str">
        <f t="shared" si="15"/>
        <v>单套建筑面积</v>
      </c>
      <c r="AA42" s="1264">
        <f t="shared" si="3"/>
        <v>1</v>
      </c>
      <c r="AB42" s="1264">
        <f t="shared" si="4"/>
        <v>1</v>
      </c>
      <c r="AC42" s="1812">
        <f t="shared" si="5"/>
        <v>1</v>
      </c>
    </row>
    <row r="43" spans="1:29" ht="15">
      <c r="A43" s="409"/>
      <c r="B43" s="364" t="s">
        <v>1791</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473"/>
      <c r="Q43" s="1263" t="str">
        <f t="shared" si="11"/>
        <v>内部装修</v>
      </c>
      <c r="R43" s="667" t="s">
        <v>14</v>
      </c>
      <c r="S43" s="668">
        <f t="shared" si="12"/>
        <v>100</v>
      </c>
      <c r="T43" s="667" t="s">
        <v>14</v>
      </c>
      <c r="U43" s="668">
        <f t="shared" si="13"/>
        <v>100</v>
      </c>
      <c r="V43" s="667" t="s">
        <v>14</v>
      </c>
      <c r="W43" s="668">
        <f t="shared" si="14"/>
        <v>100</v>
      </c>
      <c r="X43" s="1265"/>
      <c r="Y43" s="3475"/>
      <c r="Z43" s="1264" t="str">
        <f t="shared" si="15"/>
        <v>内部装修</v>
      </c>
      <c r="AA43" s="1264">
        <f t="shared" si="3"/>
        <v>1</v>
      </c>
      <c r="AB43" s="1264">
        <f t="shared" si="4"/>
        <v>1</v>
      </c>
      <c r="AC43" s="1812">
        <f t="shared" si="5"/>
        <v>1</v>
      </c>
    </row>
    <row r="44" spans="1:29" ht="15">
      <c r="A44" s="409"/>
      <c r="B44" s="364" t="s">
        <v>1706</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473"/>
      <c r="Q44" s="1263" t="str">
        <f t="shared" si="11"/>
        <v>内部装修维护情况</v>
      </c>
      <c r="R44" s="667" t="s">
        <v>14</v>
      </c>
      <c r="S44" s="668">
        <f t="shared" si="12"/>
        <v>100</v>
      </c>
      <c r="T44" s="667" t="s">
        <v>14</v>
      </c>
      <c r="U44" s="668">
        <f t="shared" si="13"/>
        <v>100</v>
      </c>
      <c r="V44" s="667" t="s">
        <v>14</v>
      </c>
      <c r="W44" s="668">
        <f t="shared" si="14"/>
        <v>100</v>
      </c>
      <c r="X44" s="1265"/>
      <c r="Y44" s="3475"/>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8"/>
      <c r="N45" s="2438"/>
      <c r="O45" s="2438"/>
      <c r="P45" s="3473"/>
      <c r="Q45" s="530">
        <f t="shared" si="11"/>
        <v>111</v>
      </c>
      <c r="R45" s="664" t="s">
        <v>14</v>
      </c>
      <c r="S45" s="665">
        <f t="shared" si="12"/>
        <v>100</v>
      </c>
      <c r="T45" s="664" t="s">
        <v>14</v>
      </c>
      <c r="U45" s="665">
        <f t="shared" si="13"/>
        <v>100</v>
      </c>
      <c r="V45" s="664" t="s">
        <v>14</v>
      </c>
      <c r="W45" s="665">
        <f t="shared" si="14"/>
        <v>100</v>
      </c>
      <c r="X45" s="666"/>
      <c r="Y45" s="3475"/>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73"/>
      <c r="Q46" s="1263">
        <f t="shared" si="11"/>
        <v>111</v>
      </c>
      <c r="R46" s="667" t="s">
        <v>14</v>
      </c>
      <c r="S46" s="668">
        <f t="shared" si="12"/>
        <v>100</v>
      </c>
      <c r="T46" s="667" t="s">
        <v>14</v>
      </c>
      <c r="U46" s="668">
        <f t="shared" si="13"/>
        <v>100</v>
      </c>
      <c r="V46" s="667" t="s">
        <v>14</v>
      </c>
      <c r="W46" s="668">
        <f t="shared" si="14"/>
        <v>100</v>
      </c>
      <c r="X46" s="1265"/>
      <c r="Y46" s="3475"/>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74"/>
      <c r="Q47" s="1263">
        <f t="shared" si="11"/>
        <v>111</v>
      </c>
      <c r="R47" s="667" t="s">
        <v>14</v>
      </c>
      <c r="S47" s="668">
        <f t="shared" si="12"/>
        <v>100</v>
      </c>
      <c r="T47" s="667" t="s">
        <v>14</v>
      </c>
      <c r="U47" s="668">
        <f t="shared" si="13"/>
        <v>100</v>
      </c>
      <c r="V47" s="667" t="s">
        <v>14</v>
      </c>
      <c r="W47" s="668">
        <f t="shared" si="14"/>
        <v>100</v>
      </c>
      <c r="X47" s="1265"/>
      <c r="Y47" s="3476"/>
      <c r="Z47" s="1264">
        <f t="shared" si="15"/>
        <v>111</v>
      </c>
      <c r="AA47" s="1264">
        <f t="shared" si="3"/>
        <v>1</v>
      </c>
      <c r="AB47" s="1264">
        <f t="shared" si="4"/>
        <v>1</v>
      </c>
      <c r="AC47" s="1812">
        <f t="shared" si="5"/>
        <v>1</v>
      </c>
    </row>
    <row r="48" spans="1:29" ht="15">
      <c r="A48" s="416" t="s">
        <v>1707</v>
      </c>
      <c r="B48" s="417"/>
      <c r="C48" s="1081" t="s">
        <v>0</v>
      </c>
      <c r="D48" s="418"/>
      <c r="E48" s="419"/>
      <c r="F48" s="420"/>
      <c r="G48" s="421"/>
      <c r="H48" s="422"/>
      <c r="I48" s="419"/>
      <c r="J48" s="422"/>
      <c r="K48" s="674"/>
      <c r="L48" s="2493"/>
      <c r="M48" s="2486"/>
      <c r="N48" s="2486"/>
      <c r="O48" s="2486"/>
      <c r="P48" s="3451" t="str">
        <f>A48</f>
        <v>成交单价（元/平方米）</v>
      </c>
      <c r="Q48" s="3469"/>
      <c r="R48" s="3464">
        <f>E48</f>
        <v>0</v>
      </c>
      <c r="S48" s="3464"/>
      <c r="T48" s="3464">
        <f>G48</f>
        <v>0</v>
      </c>
      <c r="U48" s="3464"/>
      <c r="V48" s="3464">
        <f>I48</f>
        <v>0</v>
      </c>
      <c r="W48" s="3464"/>
      <c r="X48" s="385"/>
      <c r="Y48" s="673"/>
      <c r="Z48" s="385"/>
      <c r="AA48" s="385"/>
      <c r="AB48" s="385"/>
      <c r="AC48" s="555"/>
    </row>
    <row r="49" spans="1:29" ht="15.75" thickBot="1">
      <c r="A49" s="423" t="s">
        <v>1792</v>
      </c>
      <c r="B49" s="424"/>
      <c r="C49" s="1082" t="e">
        <f>R50</f>
        <v>#DIV/0!</v>
      </c>
      <c r="D49" s="2141" t="s">
        <v>2137</v>
      </c>
      <c r="E49" s="1083" t="e">
        <f>R49</f>
        <v>#DIV/0!</v>
      </c>
      <c r="F49" s="2142"/>
      <c r="G49" s="1082" t="e">
        <f>T49</f>
        <v>#DIV/0!</v>
      </c>
      <c r="H49" s="2142"/>
      <c r="I49" s="1083" t="e">
        <f>V49</f>
        <v>#DIV/0!</v>
      </c>
      <c r="J49" s="2142"/>
      <c r="K49" s="2144">
        <f>F49+H49+J49</f>
        <v>0</v>
      </c>
      <c r="L49" s="2493"/>
      <c r="M49" s="2486"/>
      <c r="N49" s="2486"/>
      <c r="O49" s="2486"/>
      <c r="P49" s="3451" t="str">
        <f>A49</f>
        <v>比较价值（元/平方米）</v>
      </c>
      <c r="Q49" s="3469"/>
      <c r="R49" s="3464" t="e">
        <f>IF(F1="售价",ROUND(PRODUCT(R48,AA7:AA47),0),ROUND(PRODUCT(R48,AA7:AA47),1))</f>
        <v>#DIV/0!</v>
      </c>
      <c r="S49" s="3464"/>
      <c r="T49" s="3464" t="e">
        <f>IF(F1="售价",ROUND(PRODUCT(T48,AB7:AB47),0),ROUND(PRODUCT(T48,AB7:AB47),1))</f>
        <v>#DIV/0!</v>
      </c>
      <c r="U49" s="3464"/>
      <c r="V49" s="3464" t="e">
        <f>IF(F1="售价",ROUND(PRODUCT(V48,AC7:AC47),0),ROUND(PRODUCT(V48,AC7:AC47),1))</f>
        <v>#DIV/0!</v>
      </c>
      <c r="W49" s="3464"/>
      <c r="X49" s="385"/>
      <c r="Y49" s="385"/>
      <c r="Z49" s="385"/>
      <c r="AA49" s="385"/>
      <c r="AB49" s="385"/>
      <c r="AC49" s="555"/>
    </row>
    <row r="50" spans="1:29" ht="15.75" thickBot="1">
      <c r="A50" s="427" t="s">
        <v>1793</v>
      </c>
      <c r="B50" s="428"/>
      <c r="C50" s="351" t="e">
        <f>R50</f>
        <v>#DIV/0!</v>
      </c>
      <c r="D50" s="351"/>
      <c r="E50" s="351"/>
      <c r="F50" s="351"/>
      <c r="G50" s="351"/>
      <c r="H50" s="351"/>
      <c r="I50" s="351"/>
      <c r="J50" s="429"/>
      <c r="K50" s="675"/>
      <c r="L50" s="2493"/>
      <c r="M50" s="2486"/>
      <c r="N50" s="2486"/>
      <c r="O50" s="2486"/>
      <c r="P50" s="3491" t="str">
        <f>A50</f>
        <v>估价对象XX用房的比较价值（楼面单价，元/平方米）</v>
      </c>
      <c r="Q50" s="3492"/>
      <c r="R50" s="3493" t="e">
        <f>IF(F1="售价",ROUND(IF(D49="简单平均",AVERAGE(R49:V49),R49*F49+T49*H49+V49*J49),0),ROUND(IF(D49="简单平均",AVERAGE(R49:V49),R49*F49+T49*H49+V49*J49),1))</f>
        <v>#DIV/0!</v>
      </c>
      <c r="S50" s="3493"/>
      <c r="T50" s="3493"/>
      <c r="U50" s="3493"/>
      <c r="V50" s="3493"/>
      <c r="W50" s="3493"/>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1794</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1795</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1796</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8" t="s">
        <v>1797</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5">
      <c r="A59" s="440" t="s">
        <v>1678</v>
      </c>
      <c r="B59" s="441"/>
      <c r="C59" s="1103" t="str">
        <f>YEAR(C7)&amp;"-"&amp;MONTH(C7)</f>
        <v>2023-5</v>
      </c>
      <c r="D59" s="1104">
        <f>EDATE(C59,-1)</f>
        <v>45017</v>
      </c>
      <c r="E59" s="1104">
        <f>EDATE(D59,-1)</f>
        <v>44986</v>
      </c>
      <c r="F59" s="1104">
        <f t="shared" ref="F59:O59" si="16">EDATE(E59,-1)</f>
        <v>44958</v>
      </c>
      <c r="G59" s="1104">
        <f t="shared" si="16"/>
        <v>44927</v>
      </c>
      <c r="H59" s="1104">
        <f t="shared" si="16"/>
        <v>44896</v>
      </c>
      <c r="I59" s="1104">
        <f t="shared" si="16"/>
        <v>44866</v>
      </c>
      <c r="J59" s="1104">
        <f t="shared" si="16"/>
        <v>44835</v>
      </c>
      <c r="K59" s="1104">
        <f t="shared" si="16"/>
        <v>44805</v>
      </c>
      <c r="L59" s="1104">
        <f t="shared" si="16"/>
        <v>44774</v>
      </c>
      <c r="M59" s="1104">
        <f t="shared" si="16"/>
        <v>44743</v>
      </c>
      <c r="N59" s="1104">
        <f t="shared" si="16"/>
        <v>44713</v>
      </c>
      <c r="O59" s="1104">
        <f t="shared" si="16"/>
        <v>44682</v>
      </c>
      <c r="P59" s="2526"/>
      <c r="Q59" s="2509"/>
      <c r="R59" s="2509"/>
      <c r="S59" s="2509"/>
      <c r="T59" s="2509"/>
      <c r="U59" s="2509"/>
      <c r="V59" s="2509"/>
      <c r="W59" s="2509"/>
      <c r="X59" s="2509"/>
      <c r="Y59" s="2509"/>
      <c r="Z59" s="2509"/>
      <c r="AA59" s="2509"/>
      <c r="AB59" s="2509"/>
      <c r="AC59" s="2509"/>
    </row>
    <row r="60" spans="1:29" s="102" customFormat="1" ht="15">
      <c r="A60" s="443"/>
      <c r="B60" s="444"/>
      <c r="C60" s="1102">
        <v>100</v>
      </c>
      <c r="D60" s="446"/>
      <c r="E60" s="446"/>
      <c r="F60" s="446"/>
      <c r="G60" s="446"/>
      <c r="H60" s="446"/>
      <c r="I60" s="446"/>
      <c r="J60" s="446"/>
      <c r="K60" s="446"/>
      <c r="L60" s="446"/>
      <c r="M60" s="447"/>
      <c r="N60" s="446"/>
      <c r="O60" s="447"/>
      <c r="P60" s="2527"/>
      <c r="Q60" s="2438"/>
      <c r="R60" s="2438"/>
      <c r="S60" s="2438"/>
      <c r="T60" s="2438"/>
      <c r="U60" s="2438"/>
      <c r="V60" s="2438"/>
      <c r="W60" s="2438"/>
      <c r="X60" s="2438"/>
      <c r="Y60" s="2438"/>
      <c r="Z60" s="2438"/>
      <c r="AA60" s="2438"/>
      <c r="AB60" s="2438"/>
      <c r="AC60" s="2438"/>
    </row>
    <row r="61" spans="1:29" s="102" customFormat="1" ht="15.75" thickBot="1">
      <c r="A61" s="449" t="s">
        <v>1715</v>
      </c>
      <c r="B61" s="450"/>
      <c r="C61" s="451"/>
      <c r="D61" s="452"/>
      <c r="E61" s="452"/>
      <c r="F61" s="452"/>
      <c r="G61" s="452"/>
      <c r="H61" s="452"/>
      <c r="I61" s="452"/>
      <c r="J61" s="452"/>
      <c r="K61" s="452"/>
      <c r="L61" s="452"/>
      <c r="M61" s="453"/>
      <c r="N61" s="452"/>
      <c r="O61" s="453"/>
      <c r="P61" s="2527"/>
      <c r="Q61" s="2507"/>
      <c r="R61" s="2438"/>
      <c r="S61" s="2438"/>
      <c r="T61" s="2438"/>
      <c r="U61" s="2438"/>
      <c r="V61" s="2438"/>
      <c r="W61" s="2438"/>
      <c r="X61" s="2438"/>
      <c r="Y61" s="2438"/>
      <c r="Z61" s="2438"/>
      <c r="AA61" s="2438"/>
      <c r="AB61" s="2438"/>
      <c r="AC61" s="2438"/>
    </row>
    <row r="62" spans="1:29" s="102" customFormat="1" ht="15">
      <c r="A62" s="455" t="s">
        <v>1680</v>
      </c>
      <c r="B62" s="444"/>
      <c r="C62" s="456" t="s">
        <v>1775</v>
      </c>
      <c r="D62" s="31"/>
      <c r="E62" s="31"/>
      <c r="F62" s="31"/>
      <c r="G62" s="31"/>
      <c r="H62" s="31"/>
      <c r="I62" s="31"/>
      <c r="J62" s="31"/>
      <c r="K62" s="31"/>
      <c r="L62" s="457"/>
      <c r="M62" s="458"/>
      <c r="N62" s="2519"/>
      <c r="O62" s="2519"/>
      <c r="P62" s="2528"/>
      <c r="Q62" s="2507"/>
      <c r="R62" s="2438"/>
      <c r="S62" s="2438"/>
      <c r="T62" s="2438"/>
      <c r="U62" s="2438"/>
      <c r="V62" s="2438"/>
      <c r="W62" s="2438"/>
      <c r="X62" s="2438"/>
      <c r="Y62" s="2438"/>
      <c r="Z62" s="2438"/>
      <c r="AA62" s="2438"/>
      <c r="AB62" s="2438"/>
      <c r="AC62" s="2438"/>
    </row>
    <row r="63" spans="1:29" s="102" customFormat="1" ht="15.75" thickBot="1">
      <c r="A63" s="455"/>
      <c r="B63" s="444"/>
      <c r="C63" s="445">
        <v>100</v>
      </c>
      <c r="D63" s="446"/>
      <c r="E63" s="446"/>
      <c r="F63" s="446"/>
      <c r="G63" s="446"/>
      <c r="H63" s="446"/>
      <c r="I63" s="446"/>
      <c r="J63" s="446"/>
      <c r="K63" s="446"/>
      <c r="L63" s="446"/>
      <c r="M63" s="448"/>
      <c r="N63" s="2519"/>
      <c r="O63" s="2519"/>
      <c r="P63" s="2527"/>
      <c r="Q63" s="2507"/>
      <c r="R63" s="2438"/>
      <c r="S63" s="2438"/>
      <c r="T63" s="2438"/>
      <c r="U63" s="2438"/>
      <c r="V63" s="2438"/>
      <c r="W63" s="2438"/>
      <c r="X63" s="2438"/>
      <c r="Y63" s="2438"/>
      <c r="Z63" s="2438"/>
      <c r="AA63" s="2438"/>
      <c r="AB63" s="2438"/>
      <c r="AC63" s="2438"/>
    </row>
    <row r="64" spans="1:29">
      <c r="A64" s="379" t="s">
        <v>1718</v>
      </c>
      <c r="B64" s="460" t="s">
        <v>1684</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5.7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7.75" thickTop="1">
      <c r="A66" s="367"/>
      <c r="B66" s="469" t="s">
        <v>1687</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5.7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75" thickTop="1">
      <c r="A68" s="367"/>
      <c r="B68" s="477" t="s">
        <v>1688</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5.7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5.7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5.7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5.7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5.7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5.7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1689</v>
      </c>
      <c r="B77" s="460" t="s">
        <v>1820</v>
      </c>
      <c r="C77" s="504" t="s">
        <v>1720</v>
      </c>
      <c r="D77" s="504" t="s">
        <v>1721</v>
      </c>
      <c r="E77" s="504" t="s">
        <v>1722</v>
      </c>
      <c r="F77" s="504" t="s">
        <v>1723</v>
      </c>
      <c r="G77" s="504" t="s">
        <v>1724</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75" thickTop="1">
      <c r="A79" s="367"/>
      <c r="B79" s="469" t="s">
        <v>1725</v>
      </c>
      <c r="C79" s="509" t="s">
        <v>1720</v>
      </c>
      <c r="D79" s="509" t="s">
        <v>1721</v>
      </c>
      <c r="E79" s="509" t="s">
        <v>1722</v>
      </c>
      <c r="F79" s="509" t="s">
        <v>1723</v>
      </c>
      <c r="G79" s="509" t="s">
        <v>1724</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75" thickTop="1">
      <c r="A81" s="367"/>
      <c r="B81" s="469" t="s">
        <v>1726</v>
      </c>
      <c r="C81" s="509" t="s">
        <v>1720</v>
      </c>
      <c r="D81" s="509" t="s">
        <v>1721</v>
      </c>
      <c r="E81" s="509" t="s">
        <v>1722</v>
      </c>
      <c r="F81" s="509" t="s">
        <v>1723</v>
      </c>
      <c r="G81" s="509" t="s">
        <v>1724</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75" thickTop="1">
      <c r="A83" s="367"/>
      <c r="B83" s="477" t="s">
        <v>1812</v>
      </c>
      <c r="C83" s="581" t="s">
        <v>1798</v>
      </c>
      <c r="D83" s="581" t="s">
        <v>1799</v>
      </c>
      <c r="E83" s="581" t="s">
        <v>1800</v>
      </c>
      <c r="F83" s="581" t="s">
        <v>1801</v>
      </c>
      <c r="G83" s="581" t="s">
        <v>1802</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75" thickTop="1">
      <c r="A85" s="367"/>
      <c r="B85" s="469" t="s">
        <v>1821</v>
      </c>
      <c r="C85" s="509" t="s">
        <v>1720</v>
      </c>
      <c r="D85" s="509" t="s">
        <v>1721</v>
      </c>
      <c r="E85" s="509" t="s">
        <v>1722</v>
      </c>
      <c r="F85" s="509" t="s">
        <v>1723</v>
      </c>
      <c r="G85" s="509" t="s">
        <v>1724</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7.75" thickTop="1">
      <c r="A87" s="370"/>
      <c r="B87" s="469" t="s">
        <v>1822</v>
      </c>
      <c r="C87" s="485"/>
      <c r="D87" s="485"/>
      <c r="E87" s="485"/>
      <c r="F87" s="485"/>
      <c r="G87" s="485"/>
      <c r="H87" s="485"/>
      <c r="I87" s="485"/>
      <c r="J87" s="485"/>
      <c r="K87" s="485"/>
      <c r="L87" s="510"/>
      <c r="M87" s="511"/>
      <c r="N87" s="2519"/>
      <c r="O87" s="2519"/>
      <c r="P87" s="2529"/>
      <c r="Q87" s="2507"/>
      <c r="R87" s="2438"/>
      <c r="S87" s="2438"/>
      <c r="T87" s="2438"/>
      <c r="U87" s="2438"/>
      <c r="V87" s="2438"/>
      <c r="W87" s="2438"/>
      <c r="X87" s="2438"/>
      <c r="Y87" s="2438"/>
      <c r="Z87" s="2438"/>
      <c r="AA87" s="2438"/>
      <c r="AB87" s="2438"/>
      <c r="AC87" s="2438"/>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8"/>
      <c r="S88" s="2438"/>
      <c r="T88" s="2438"/>
      <c r="U88" s="2438"/>
      <c r="V88" s="2438"/>
      <c r="W88" s="2438"/>
      <c r="X88" s="2438"/>
      <c r="Y88" s="2438"/>
      <c r="Z88" s="2438"/>
      <c r="AA88" s="2438"/>
      <c r="AB88" s="2438"/>
      <c r="AC88" s="2438"/>
    </row>
    <row r="89" spans="1:29" s="102" customFormat="1" ht="15.75" thickTop="1">
      <c r="A89" s="370"/>
      <c r="B89" s="469" t="str">
        <f>B27</f>
        <v>楼层</v>
      </c>
      <c r="C89" s="485"/>
      <c r="D89" s="485"/>
      <c r="E89" s="485"/>
      <c r="F89" s="1780"/>
      <c r="G89" s="485"/>
      <c r="H89" s="485"/>
      <c r="I89" s="485"/>
      <c r="J89" s="485"/>
      <c r="K89" s="485"/>
      <c r="L89" s="485"/>
      <c r="M89" s="511"/>
      <c r="N89" s="2519"/>
      <c r="O89" s="2519"/>
      <c r="P89" s="2529"/>
      <c r="Q89" s="2507"/>
      <c r="R89" s="2438"/>
      <c r="S89" s="2438"/>
      <c r="T89" s="2438"/>
      <c r="U89" s="2438"/>
      <c r="V89" s="2438"/>
      <c r="W89" s="2438"/>
      <c r="X89" s="2438"/>
      <c r="Y89" s="2438"/>
      <c r="Z89" s="2438"/>
      <c r="AA89" s="2438"/>
      <c r="AB89" s="2438"/>
      <c r="AC89" s="2438"/>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8"/>
      <c r="S90" s="2438"/>
      <c r="T90" s="2438"/>
      <c r="U90" s="2438"/>
      <c r="V90" s="2438"/>
      <c r="W90" s="2438"/>
      <c r="X90" s="2438"/>
      <c r="Y90" s="2438"/>
      <c r="Z90" s="2438"/>
      <c r="AA90" s="2438"/>
      <c r="AB90" s="2438"/>
      <c r="AC90" s="2438"/>
    </row>
    <row r="91" spans="1:29" s="408" customFormat="1" ht="15.7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5.7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5.7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5.7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5.7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5.7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5.7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1693</v>
      </c>
      <c r="B101" s="460" t="s">
        <v>1735</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75" thickTop="1">
      <c r="A103" s="367"/>
      <c r="B103" s="469" t="s">
        <v>1736</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5.75"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1737</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1739</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1189</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1823</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1740</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1741</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1824</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1807</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5.7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1743</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9"/>
      <c r="B125" s="469" t="s">
        <v>1744</v>
      </c>
      <c r="C125" s="509" t="s">
        <v>1720</v>
      </c>
      <c r="D125" s="509" t="s">
        <v>1721</v>
      </c>
      <c r="E125" s="509" t="s">
        <v>1722</v>
      </c>
      <c r="F125" s="509" t="s">
        <v>1723</v>
      </c>
      <c r="G125" s="509" t="s">
        <v>1724</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5.7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5.7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5.7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H3" sqref="H3"/>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1659</v>
      </c>
      <c r="B1" s="1808" t="s">
        <v>1825</v>
      </c>
      <c r="C1" s="1141" t="s">
        <v>1661</v>
      </c>
      <c r="D1" s="1142"/>
      <c r="E1" s="3130"/>
      <c r="F1" s="1735"/>
      <c r="G1" s="1152" t="s">
        <v>1766</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1461</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1462</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1463</v>
      </c>
      <c r="B3" s="536">
        <f>IF(C2="——",C43,ROUND(B2*10000/D3,0))</f>
        <v>0</v>
      </c>
      <c r="C3" s="344" t="s">
        <v>1767</v>
      </c>
      <c r="D3" s="343">
        <f>IF(D1="",'数据-汇总表'!E3,SUMIF('数据-汇总表'!$C19:$C33,D1,'数据-汇总表'!$E19:$E33))</f>
        <v>6547.83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1768</v>
      </c>
      <c r="B4" s="346"/>
      <c r="C4" s="3452" t="s">
        <v>1769</v>
      </c>
      <c r="D4" s="3453"/>
      <c r="E4" s="3454" t="s">
        <v>1770</v>
      </c>
      <c r="F4" s="3455"/>
      <c r="G4" s="3452" t="s">
        <v>1771</v>
      </c>
      <c r="H4" s="3453"/>
      <c r="I4" s="3452" t="s">
        <v>1772</v>
      </c>
      <c r="J4" s="3453"/>
      <c r="K4" s="537" t="s">
        <v>1773</v>
      </c>
      <c r="L4" s="860"/>
      <c r="M4" s="861"/>
      <c r="N4" s="861"/>
      <c r="O4" s="861"/>
      <c r="P4" s="3456" t="s">
        <v>1774</v>
      </c>
      <c r="Q4" s="3457"/>
      <c r="R4" s="3439" t="s">
        <v>1770</v>
      </c>
      <c r="S4" s="3440"/>
      <c r="T4" s="3439" t="s">
        <v>1771</v>
      </c>
      <c r="U4" s="3440"/>
      <c r="V4" s="3464" t="s">
        <v>1772</v>
      </c>
      <c r="W4" s="3464"/>
      <c r="X4" s="1265"/>
      <c r="Y4" s="3439" t="s">
        <v>1774</v>
      </c>
      <c r="Z4" s="3440"/>
      <c r="AA4" s="3434" t="s">
        <v>1770</v>
      </c>
      <c r="AB4" s="3435" t="s">
        <v>1771</v>
      </c>
      <c r="AC4" s="3434" t="s">
        <v>1772</v>
      </c>
    </row>
    <row r="5" spans="1:29" ht="15">
      <c r="A5" s="348"/>
      <c r="B5" s="349"/>
      <c r="C5" s="3445" t="s">
        <v>1672</v>
      </c>
      <c r="D5" s="3446"/>
      <c r="E5" s="3443" t="s">
        <v>1673</v>
      </c>
      <c r="F5" s="3444"/>
      <c r="G5" s="3445" t="s">
        <v>1674</v>
      </c>
      <c r="H5" s="3446"/>
      <c r="I5" s="3445" t="s">
        <v>1675</v>
      </c>
      <c r="J5" s="3446"/>
      <c r="K5" s="537"/>
      <c r="L5" s="860"/>
      <c r="M5" s="861"/>
      <c r="N5" s="861"/>
      <c r="O5" s="861"/>
      <c r="P5" s="3458"/>
      <c r="Q5" s="3459"/>
      <c r="R5" s="3441"/>
      <c r="S5" s="3442"/>
      <c r="T5" s="3441"/>
      <c r="U5" s="3442"/>
      <c r="V5" s="3464"/>
      <c r="W5" s="3464"/>
      <c r="X5" s="1265"/>
      <c r="Y5" s="3441"/>
      <c r="Z5" s="3442"/>
      <c r="AA5" s="3435"/>
      <c r="AB5" s="3435"/>
      <c r="AC5" s="3435"/>
    </row>
    <row r="6" spans="1:29" ht="15.75" thickBot="1">
      <c r="A6" s="350"/>
      <c r="B6" s="351"/>
      <c r="C6" s="3447" t="s">
        <v>1676</v>
      </c>
      <c r="D6" s="3448"/>
      <c r="E6" s="3449" t="s">
        <v>1676</v>
      </c>
      <c r="F6" s="3450"/>
      <c r="G6" s="3447" t="s">
        <v>1676</v>
      </c>
      <c r="H6" s="3448"/>
      <c r="I6" s="3447" t="s">
        <v>1676</v>
      </c>
      <c r="J6" s="3448"/>
      <c r="K6" s="537" t="s">
        <v>1677</v>
      </c>
      <c r="L6" s="860"/>
      <c r="M6" s="861"/>
      <c r="N6" s="861"/>
      <c r="O6" s="861"/>
      <c r="P6" s="3460"/>
      <c r="Q6" s="3461"/>
      <c r="R6" s="3441"/>
      <c r="S6" s="3442"/>
      <c r="T6" s="3462"/>
      <c r="U6" s="3463"/>
      <c r="V6" s="3464"/>
      <c r="W6" s="3464"/>
      <c r="X6" s="1265"/>
      <c r="Y6" s="3462"/>
      <c r="Z6" s="3463"/>
      <c r="AA6" s="3436"/>
      <c r="AB6" s="3436"/>
      <c r="AC6" s="3436"/>
    </row>
    <row r="7" spans="1:29" s="102" customFormat="1" ht="15.75" thickBot="1">
      <c r="A7" s="352" t="s">
        <v>1678</v>
      </c>
      <c r="B7" s="353"/>
      <c r="C7" s="354">
        <f>'数据-取费表'!B2</f>
        <v>45051</v>
      </c>
      <c r="D7" s="355">
        <v>100</v>
      </c>
      <c r="E7" s="356"/>
      <c r="F7" s="357">
        <f>SUMIF(52:52,YEAR(E7)&amp;"-"&amp;MONTH(E7),53:53)</f>
        <v>0</v>
      </c>
      <c r="G7" s="356"/>
      <c r="H7" s="355">
        <f>SUMIF(52:52,YEAR(G7)&amp;"-"&amp;MONTH(G7),53:53)</f>
        <v>0</v>
      </c>
      <c r="I7" s="356"/>
      <c r="J7" s="355">
        <f>SUMIF(52:52,YEAR(I7)&amp;"-"&amp;MONTH(I7),53:53)</f>
        <v>0</v>
      </c>
      <c r="K7" s="38"/>
      <c r="L7" s="862"/>
      <c r="M7" s="863"/>
      <c r="N7" s="863"/>
      <c r="O7" s="863"/>
      <c r="P7" s="3437" t="s">
        <v>1679</v>
      </c>
      <c r="Q7" s="3465"/>
      <c r="R7" s="664" t="s">
        <v>14</v>
      </c>
      <c r="S7" s="665">
        <f t="shared" ref="S7:S15" si="0">F7</f>
        <v>0</v>
      </c>
      <c r="T7" s="664" t="s">
        <v>14</v>
      </c>
      <c r="U7" s="665">
        <f t="shared" ref="U7:U15" si="1">H7</f>
        <v>0</v>
      </c>
      <c r="V7" s="664" t="s">
        <v>14</v>
      </c>
      <c r="W7" s="665">
        <f t="shared" ref="W7:W15" si="2">J7</f>
        <v>0</v>
      </c>
      <c r="X7" s="666"/>
      <c r="Y7" s="3437" t="s">
        <v>1679</v>
      </c>
      <c r="Z7" s="3438"/>
      <c r="AA7" s="50" t="e">
        <f>D7/F7</f>
        <v>#DIV/0!</v>
      </c>
      <c r="AB7" s="50" t="e">
        <f>D7/H7</f>
        <v>#DIV/0!</v>
      </c>
      <c r="AC7" s="50" t="e">
        <f>D7/J7</f>
        <v>#DIV/0!</v>
      </c>
    </row>
    <row r="8" spans="1:29" s="102" customFormat="1" ht="15.75" thickBot="1">
      <c r="A8" s="352" t="s">
        <v>1680</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37" t="s">
        <v>1682</v>
      </c>
      <c r="Q8" s="3438"/>
      <c r="R8" s="664" t="s">
        <v>14</v>
      </c>
      <c r="S8" s="665">
        <f t="shared" si="0"/>
        <v>100</v>
      </c>
      <c r="T8" s="664" t="s">
        <v>14</v>
      </c>
      <c r="U8" s="665">
        <f t="shared" si="1"/>
        <v>100</v>
      </c>
      <c r="V8" s="664" t="s">
        <v>14</v>
      </c>
      <c r="W8" s="665">
        <f t="shared" si="2"/>
        <v>100</v>
      </c>
      <c r="X8" s="666"/>
      <c r="Y8" s="3437" t="s">
        <v>1682</v>
      </c>
      <c r="Z8" s="3438"/>
      <c r="AA8" s="50">
        <f t="shared" ref="AA8:AA40" si="3">D8/F8</f>
        <v>1</v>
      </c>
      <c r="AB8" s="50">
        <f t="shared" ref="AB8:AB40" si="4">D8/H8</f>
        <v>1</v>
      </c>
      <c r="AC8" s="50">
        <f t="shared" ref="AC8:AC40" si="5">D8/J8</f>
        <v>1</v>
      </c>
    </row>
    <row r="9" spans="1:29" s="102" customFormat="1">
      <c r="A9" s="359" t="s">
        <v>1683</v>
      </c>
      <c r="B9" s="60" t="s">
        <v>1684</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69" t="s">
        <v>1685</v>
      </c>
      <c r="Q9" s="530" t="str">
        <f t="shared" ref="Q9:Q15" si="6">B9</f>
        <v>用途</v>
      </c>
      <c r="R9" s="664" t="s">
        <v>14</v>
      </c>
      <c r="S9" s="665">
        <f t="shared" si="0"/>
        <v>100</v>
      </c>
      <c r="T9" s="664" t="s">
        <v>14</v>
      </c>
      <c r="U9" s="665">
        <f t="shared" si="1"/>
        <v>100</v>
      </c>
      <c r="V9" s="664" t="s">
        <v>14</v>
      </c>
      <c r="W9" s="665">
        <f t="shared" si="2"/>
        <v>100</v>
      </c>
      <c r="X9" s="666"/>
      <c r="Y9" s="3362" t="s">
        <v>1686</v>
      </c>
      <c r="Z9" s="50" t="str">
        <f t="shared" ref="Z9:Z15" si="7">Q9</f>
        <v>用途</v>
      </c>
      <c r="AA9" s="50">
        <f t="shared" si="3"/>
        <v>1</v>
      </c>
      <c r="AB9" s="50">
        <f t="shared" si="4"/>
        <v>1</v>
      </c>
      <c r="AC9" s="50">
        <f t="shared" si="5"/>
        <v>1</v>
      </c>
    </row>
    <row r="10" spans="1:29" s="366" customFormat="1" ht="27">
      <c r="A10" s="363"/>
      <c r="B10" s="364" t="s">
        <v>1687</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469"/>
      <c r="Q10" s="530" t="str">
        <f t="shared" si="6"/>
        <v>土地使用年限（年）</v>
      </c>
      <c r="R10" s="664" t="s">
        <v>14</v>
      </c>
      <c r="S10" s="665">
        <f t="shared" si="0"/>
        <v>100</v>
      </c>
      <c r="T10" s="664" t="s">
        <v>14</v>
      </c>
      <c r="U10" s="665">
        <f t="shared" si="1"/>
        <v>100</v>
      </c>
      <c r="V10" s="664" t="s">
        <v>14</v>
      </c>
      <c r="W10" s="665">
        <f t="shared" si="2"/>
        <v>100</v>
      </c>
      <c r="X10" s="666"/>
      <c r="Y10" s="3362"/>
      <c r="Z10" s="50" t="str">
        <f t="shared" si="7"/>
        <v>土地使用年限（年）</v>
      </c>
      <c r="AA10" s="50">
        <f t="shared" si="3"/>
        <v>1</v>
      </c>
      <c r="AB10" s="50">
        <f t="shared" si="4"/>
        <v>1</v>
      </c>
      <c r="AC10" s="50">
        <f t="shared" si="5"/>
        <v>1</v>
      </c>
    </row>
    <row r="11" spans="1:29" ht="15">
      <c r="A11" s="367"/>
      <c r="B11" s="364" t="s">
        <v>1688</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69"/>
      <c r="Q11" s="530" t="str">
        <f t="shared" si="6"/>
        <v>容积率</v>
      </c>
      <c r="R11" s="664" t="s">
        <v>14</v>
      </c>
      <c r="S11" s="665">
        <f t="shared" si="0"/>
        <v>100</v>
      </c>
      <c r="T11" s="664" t="s">
        <v>14</v>
      </c>
      <c r="U11" s="665">
        <f t="shared" si="1"/>
        <v>100</v>
      </c>
      <c r="V11" s="664" t="s">
        <v>14</v>
      </c>
      <c r="W11" s="665">
        <f t="shared" si="2"/>
        <v>100</v>
      </c>
      <c r="X11" s="666"/>
      <c r="Y11" s="336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69"/>
      <c r="Q12" s="530">
        <f t="shared" si="6"/>
        <v>111</v>
      </c>
      <c r="R12" s="664" t="s">
        <v>14</v>
      </c>
      <c r="S12" s="665">
        <f t="shared" si="0"/>
        <v>100</v>
      </c>
      <c r="T12" s="664" t="s">
        <v>14</v>
      </c>
      <c r="U12" s="665">
        <f t="shared" si="1"/>
        <v>100</v>
      </c>
      <c r="V12" s="664" t="s">
        <v>14</v>
      </c>
      <c r="W12" s="665">
        <f t="shared" si="2"/>
        <v>100</v>
      </c>
      <c r="X12" s="666"/>
      <c r="Y12" s="336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69"/>
      <c r="Q13" s="530">
        <f t="shared" si="6"/>
        <v>111</v>
      </c>
      <c r="R13" s="664" t="s">
        <v>14</v>
      </c>
      <c r="S13" s="665">
        <f t="shared" si="0"/>
        <v>100</v>
      </c>
      <c r="T13" s="664" t="s">
        <v>14</v>
      </c>
      <c r="U13" s="665">
        <f t="shared" si="1"/>
        <v>100</v>
      </c>
      <c r="V13" s="664" t="s">
        <v>14</v>
      </c>
      <c r="W13" s="665">
        <f t="shared" si="2"/>
        <v>100</v>
      </c>
      <c r="X13" s="666"/>
      <c r="Y13" s="3362"/>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69"/>
      <c r="Q14" s="530">
        <f t="shared" si="6"/>
        <v>111</v>
      </c>
      <c r="R14" s="664" t="s">
        <v>14</v>
      </c>
      <c r="S14" s="665">
        <f t="shared" si="0"/>
        <v>100</v>
      </c>
      <c r="T14" s="664" t="s">
        <v>14</v>
      </c>
      <c r="U14" s="665">
        <f t="shared" si="1"/>
        <v>100</v>
      </c>
      <c r="V14" s="664" t="s">
        <v>14</v>
      </c>
      <c r="W14" s="665">
        <f t="shared" si="2"/>
        <v>100</v>
      </c>
      <c r="X14" s="666"/>
      <c r="Y14" s="3362"/>
      <c r="Z14" s="50">
        <f t="shared" si="7"/>
        <v>111</v>
      </c>
      <c r="AA14" s="50">
        <f t="shared" si="3"/>
        <v>1</v>
      </c>
      <c r="AB14" s="50">
        <f t="shared" si="4"/>
        <v>1</v>
      </c>
      <c r="AC14" s="50">
        <f t="shared" si="5"/>
        <v>1</v>
      </c>
    </row>
    <row r="15" spans="1:29" ht="57">
      <c r="A15" s="379" t="s">
        <v>1689</v>
      </c>
      <c r="B15" s="58" t="s">
        <v>1826</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70" t="s">
        <v>1690</v>
      </c>
      <c r="Q15" s="1263" t="str">
        <f t="shared" si="6"/>
        <v>产业集聚程度</v>
      </c>
      <c r="R15" s="667" t="s">
        <v>14</v>
      </c>
      <c r="S15" s="668">
        <f t="shared" si="0"/>
        <v>100</v>
      </c>
      <c r="T15" s="667" t="s">
        <v>14</v>
      </c>
      <c r="U15" s="668">
        <f t="shared" si="1"/>
        <v>100</v>
      </c>
      <c r="V15" s="667" t="s">
        <v>14</v>
      </c>
      <c r="W15" s="668">
        <f t="shared" si="2"/>
        <v>100</v>
      </c>
      <c r="X15" s="1265"/>
      <c r="Y15" s="3470" t="s">
        <v>1690</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71"/>
      <c r="Q16" s="1263"/>
      <c r="R16" s="667"/>
      <c r="S16" s="668"/>
      <c r="T16" s="667"/>
      <c r="U16" s="668"/>
      <c r="V16" s="667"/>
      <c r="W16" s="668"/>
      <c r="X16" s="1265"/>
      <c r="Y16" s="3471"/>
      <c r="Z16" s="1264"/>
      <c r="AA16" s="1264">
        <v>1</v>
      </c>
      <c r="AB16" s="1264">
        <v>1</v>
      </c>
      <c r="AC16" s="1264">
        <v>1</v>
      </c>
    </row>
    <row r="17" spans="1:29" ht="85.5">
      <c r="A17" s="367"/>
      <c r="B17" s="390" t="s">
        <v>1258</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71"/>
      <c r="Q17" s="1263" t="str">
        <f>B17</f>
        <v>交通便捷度</v>
      </c>
      <c r="R17" s="667" t="s">
        <v>14</v>
      </c>
      <c r="S17" s="668">
        <f>F17</f>
        <v>100</v>
      </c>
      <c r="T17" s="667" t="s">
        <v>14</v>
      </c>
      <c r="U17" s="668">
        <f>H17</f>
        <v>100</v>
      </c>
      <c r="V17" s="667" t="s">
        <v>14</v>
      </c>
      <c r="W17" s="668">
        <f>J17</f>
        <v>100</v>
      </c>
      <c r="X17" s="1265"/>
      <c r="Y17" s="347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71"/>
      <c r="Q18" s="1263"/>
      <c r="R18" s="667"/>
      <c r="S18" s="668"/>
      <c r="T18" s="667"/>
      <c r="U18" s="668"/>
      <c r="V18" s="667"/>
      <c r="W18" s="668"/>
      <c r="X18" s="1265"/>
      <c r="Y18" s="3471"/>
      <c r="Z18" s="1264"/>
      <c r="AA18" s="1264">
        <v>1</v>
      </c>
      <c r="AB18" s="1264">
        <v>1</v>
      </c>
      <c r="AC18" s="1264">
        <v>1</v>
      </c>
    </row>
    <row r="19" spans="1:29" ht="42.75">
      <c r="A19" s="367"/>
      <c r="B19" s="390" t="s">
        <v>1811</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71"/>
      <c r="Q19" s="1263" t="str">
        <f>B19</f>
        <v>公共配套设施</v>
      </c>
      <c r="R19" s="667" t="s">
        <v>14</v>
      </c>
      <c r="S19" s="668">
        <f>F19</f>
        <v>100</v>
      </c>
      <c r="T19" s="667" t="s">
        <v>14</v>
      </c>
      <c r="U19" s="668">
        <f>H19</f>
        <v>100</v>
      </c>
      <c r="V19" s="667" t="s">
        <v>14</v>
      </c>
      <c r="W19" s="668">
        <f>J19</f>
        <v>100</v>
      </c>
      <c r="X19" s="1265"/>
      <c r="Y19" s="347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71"/>
      <c r="Q20" s="1263"/>
      <c r="R20" s="667"/>
      <c r="S20" s="668"/>
      <c r="T20" s="667"/>
      <c r="U20" s="668"/>
      <c r="V20" s="667"/>
      <c r="W20" s="668"/>
      <c r="X20" s="1265"/>
      <c r="Y20" s="3471"/>
      <c r="Z20" s="1264"/>
      <c r="AA20" s="1264">
        <v>1</v>
      </c>
      <c r="AB20" s="1264">
        <v>1</v>
      </c>
      <c r="AC20" s="1264">
        <v>1</v>
      </c>
    </row>
    <row r="21" spans="1:29" ht="28.5">
      <c r="A21" s="367"/>
      <c r="B21" s="586" t="s">
        <v>1812</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71"/>
      <c r="Q21" s="1263" t="str">
        <f>B21</f>
        <v>基础设施水平</v>
      </c>
      <c r="R21" s="667" t="s">
        <v>14</v>
      </c>
      <c r="S21" s="668">
        <f>F21</f>
        <v>100</v>
      </c>
      <c r="T21" s="667" t="s">
        <v>14</v>
      </c>
      <c r="U21" s="668">
        <f>H21</f>
        <v>100</v>
      </c>
      <c r="V21" s="667" t="s">
        <v>14</v>
      </c>
      <c r="W21" s="668">
        <f>J21</f>
        <v>100</v>
      </c>
      <c r="X21" s="1265"/>
      <c r="Y21" s="347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71"/>
      <c r="Q22" s="1263"/>
      <c r="R22" s="667"/>
      <c r="S22" s="668"/>
      <c r="T22" s="667"/>
      <c r="U22" s="668"/>
      <c r="V22" s="667"/>
      <c r="W22" s="668"/>
      <c r="X22" s="1265"/>
      <c r="Y22" s="3471"/>
      <c r="Z22" s="1264"/>
      <c r="AA22" s="1264">
        <v>1</v>
      </c>
      <c r="AB22" s="1264">
        <v>1</v>
      </c>
      <c r="AC22" s="1264">
        <v>1</v>
      </c>
    </row>
    <row r="23" spans="1:29" ht="71.25">
      <c r="A23" s="367"/>
      <c r="B23" s="390" t="s">
        <v>1813</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71"/>
      <c r="Q23" s="1263" t="str">
        <f>B23</f>
        <v>环境质量</v>
      </c>
      <c r="R23" s="667" t="s">
        <v>14</v>
      </c>
      <c r="S23" s="668">
        <f>F23</f>
        <v>100</v>
      </c>
      <c r="T23" s="667" t="s">
        <v>14</v>
      </c>
      <c r="U23" s="668">
        <f>H23</f>
        <v>100</v>
      </c>
      <c r="V23" s="667" t="s">
        <v>14</v>
      </c>
      <c r="W23" s="668">
        <f>J23</f>
        <v>100</v>
      </c>
      <c r="X23" s="1265"/>
      <c r="Y23" s="3471"/>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71"/>
      <c r="Q24" s="1263"/>
      <c r="R24" s="667"/>
      <c r="S24" s="668"/>
      <c r="T24" s="667"/>
      <c r="U24" s="668"/>
      <c r="V24" s="667"/>
      <c r="W24" s="668"/>
      <c r="X24" s="1265"/>
      <c r="Y24" s="3471"/>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71"/>
      <c r="Q25" s="1263">
        <f>B25</f>
        <v>111</v>
      </c>
      <c r="R25" s="667" t="s">
        <v>14</v>
      </c>
      <c r="S25" s="668">
        <f>F25</f>
        <v>100</v>
      </c>
      <c r="T25" s="667" t="s">
        <v>14</v>
      </c>
      <c r="U25" s="668">
        <f>H25</f>
        <v>100</v>
      </c>
      <c r="V25" s="667" t="s">
        <v>14</v>
      </c>
      <c r="W25" s="668">
        <f>J25</f>
        <v>100</v>
      </c>
      <c r="X25" s="1265"/>
      <c r="Y25" s="3471"/>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71"/>
      <c r="Q26" s="1263">
        <f t="shared" ref="Q26:Q40" si="11">B26</f>
        <v>111</v>
      </c>
      <c r="R26" s="667" t="s">
        <v>14</v>
      </c>
      <c r="S26" s="668">
        <f>F26</f>
        <v>100</v>
      </c>
      <c r="T26" s="667" t="s">
        <v>14</v>
      </c>
      <c r="U26" s="668">
        <f>H26</f>
        <v>100</v>
      </c>
      <c r="V26" s="667" t="s">
        <v>14</v>
      </c>
      <c r="W26" s="668">
        <f>J26</f>
        <v>100</v>
      </c>
      <c r="X26" s="1265"/>
      <c r="Y26" s="3471"/>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71"/>
      <c r="Q27" s="530">
        <f t="shared" si="11"/>
        <v>111</v>
      </c>
      <c r="R27" s="664" t="s">
        <v>14</v>
      </c>
      <c r="S27" s="665">
        <f>F27</f>
        <v>100</v>
      </c>
      <c r="T27" s="664" t="s">
        <v>14</v>
      </c>
      <c r="U27" s="665">
        <f>H27</f>
        <v>100</v>
      </c>
      <c r="V27" s="664" t="s">
        <v>14</v>
      </c>
      <c r="W27" s="665">
        <f>J27</f>
        <v>100</v>
      </c>
      <c r="X27" s="666"/>
      <c r="Y27" s="3471"/>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71"/>
      <c r="Q28" s="1263">
        <f t="shared" si="11"/>
        <v>111</v>
      </c>
      <c r="R28" s="667" t="s">
        <v>14</v>
      </c>
      <c r="S28" s="668">
        <f t="shared" ref="S28:S40" si="12">F28</f>
        <v>100</v>
      </c>
      <c r="T28" s="667" t="s">
        <v>14</v>
      </c>
      <c r="U28" s="668">
        <f t="shared" ref="U28:U40" si="13">H28</f>
        <v>100</v>
      </c>
      <c r="V28" s="667" t="s">
        <v>14</v>
      </c>
      <c r="W28" s="668">
        <f t="shared" ref="W28:W40" si="14">J28</f>
        <v>100</v>
      </c>
      <c r="X28" s="1265"/>
      <c r="Y28" s="3471"/>
      <c r="Z28" s="1264">
        <f t="shared" ref="Z28:Z40" si="15">Q28</f>
        <v>111</v>
      </c>
      <c r="AA28" s="1264">
        <f t="shared" si="3"/>
        <v>1</v>
      </c>
      <c r="AB28" s="1264">
        <f t="shared" si="4"/>
        <v>1</v>
      </c>
      <c r="AC28" s="1264">
        <f t="shared" si="5"/>
        <v>1</v>
      </c>
    </row>
    <row r="29" spans="1:29" ht="28.5">
      <c r="A29" s="404" t="s">
        <v>1693</v>
      </c>
      <c r="B29" s="60" t="s">
        <v>1816</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94" t="s">
        <v>1695</v>
      </c>
      <c r="Q29" s="1263" t="str">
        <f t="shared" si="11"/>
        <v>建筑类型</v>
      </c>
      <c r="R29" s="667" t="s">
        <v>14</v>
      </c>
      <c r="S29" s="668">
        <f t="shared" si="12"/>
        <v>100</v>
      </c>
      <c r="T29" s="667" t="s">
        <v>14</v>
      </c>
      <c r="U29" s="668">
        <f t="shared" si="13"/>
        <v>100</v>
      </c>
      <c r="V29" s="667" t="s">
        <v>14</v>
      </c>
      <c r="W29" s="668">
        <f t="shared" si="14"/>
        <v>100</v>
      </c>
      <c r="X29" s="1265"/>
      <c r="Y29" s="3475" t="s">
        <v>1695</v>
      </c>
      <c r="Z29" s="1264" t="str">
        <f t="shared" si="15"/>
        <v>建筑类型</v>
      </c>
      <c r="AA29" s="1264">
        <f t="shared" si="3"/>
        <v>1</v>
      </c>
      <c r="AB29" s="1264">
        <f t="shared" si="4"/>
        <v>1</v>
      </c>
      <c r="AC29" s="1264">
        <f t="shared" si="5"/>
        <v>1</v>
      </c>
    </row>
    <row r="30" spans="1:29" s="408" customFormat="1" ht="15">
      <c r="A30" s="406"/>
      <c r="B30" s="364" t="s">
        <v>1696</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75"/>
      <c r="Q30" s="531" t="str">
        <f t="shared" si="11"/>
        <v>项目建筑规模</v>
      </c>
      <c r="R30" s="669" t="s">
        <v>14</v>
      </c>
      <c r="S30" s="670" t="e">
        <f t="shared" si="12"/>
        <v>#N/A</v>
      </c>
      <c r="T30" s="669" t="s">
        <v>14</v>
      </c>
      <c r="U30" s="670" t="e">
        <f t="shared" si="13"/>
        <v>#N/A</v>
      </c>
      <c r="V30" s="669" t="s">
        <v>14</v>
      </c>
      <c r="W30" s="670" t="e">
        <f t="shared" si="14"/>
        <v>#N/A</v>
      </c>
      <c r="X30" s="671"/>
      <c r="Y30" s="3475"/>
      <c r="Z30" s="672" t="str">
        <f t="shared" si="15"/>
        <v>项目建筑规模</v>
      </c>
      <c r="AA30" s="1264" t="e">
        <f t="shared" si="3"/>
        <v>#N/A</v>
      </c>
      <c r="AB30" s="1264" t="e">
        <f t="shared" si="4"/>
        <v>#N/A</v>
      </c>
      <c r="AC30" s="1264" t="e">
        <f t="shared" si="5"/>
        <v>#N/A</v>
      </c>
    </row>
    <row r="31" spans="1:29" ht="15">
      <c r="A31" s="409"/>
      <c r="B31" s="364" t="s">
        <v>1697</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75"/>
      <c r="Q31" s="1263" t="str">
        <f t="shared" si="11"/>
        <v>建筑结构</v>
      </c>
      <c r="R31" s="667" t="s">
        <v>14</v>
      </c>
      <c r="S31" s="668">
        <f t="shared" si="12"/>
        <v>100</v>
      </c>
      <c r="T31" s="667" t="s">
        <v>14</v>
      </c>
      <c r="U31" s="668">
        <f t="shared" si="13"/>
        <v>100</v>
      </c>
      <c r="V31" s="667" t="s">
        <v>14</v>
      </c>
      <c r="W31" s="668">
        <f t="shared" si="14"/>
        <v>100</v>
      </c>
      <c r="X31" s="1265"/>
      <c r="Y31" s="3475"/>
      <c r="Z31" s="1264" t="str">
        <f t="shared" si="15"/>
        <v>建筑结构</v>
      </c>
      <c r="AA31" s="1264">
        <f t="shared" si="3"/>
        <v>1</v>
      </c>
      <c r="AB31" s="1264">
        <f t="shared" si="4"/>
        <v>1</v>
      </c>
      <c r="AC31" s="1264">
        <f t="shared" si="5"/>
        <v>1</v>
      </c>
    </row>
    <row r="32" spans="1:29" ht="15">
      <c r="A32" s="409"/>
      <c r="B32" s="364" t="s">
        <v>1784</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75"/>
      <c r="Q32" s="1263" t="str">
        <f t="shared" si="11"/>
        <v>公共部分装修</v>
      </c>
      <c r="R32" s="667" t="s">
        <v>14</v>
      </c>
      <c r="S32" s="668">
        <f t="shared" si="12"/>
        <v>100</v>
      </c>
      <c r="T32" s="667" t="s">
        <v>14</v>
      </c>
      <c r="U32" s="668">
        <f t="shared" si="13"/>
        <v>100</v>
      </c>
      <c r="V32" s="667" t="s">
        <v>14</v>
      </c>
      <c r="W32" s="668">
        <f t="shared" si="14"/>
        <v>100</v>
      </c>
      <c r="X32" s="1265"/>
      <c r="Y32" s="3475"/>
      <c r="Z32" s="1264" t="str">
        <f t="shared" si="15"/>
        <v>公共部分装修</v>
      </c>
      <c r="AA32" s="1264">
        <f t="shared" si="3"/>
        <v>1</v>
      </c>
      <c r="AB32" s="1264">
        <f t="shared" si="4"/>
        <v>1</v>
      </c>
      <c r="AC32" s="1264">
        <f t="shared" si="5"/>
        <v>1</v>
      </c>
    </row>
    <row r="33" spans="1:29" ht="15">
      <c r="A33" s="409"/>
      <c r="B33" s="364" t="s">
        <v>1785</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75"/>
      <c r="Q33" s="1263" t="str">
        <f t="shared" si="11"/>
        <v>成新度</v>
      </c>
      <c r="R33" s="667" t="s">
        <v>14</v>
      </c>
      <c r="S33" s="668" t="e">
        <f t="shared" si="12"/>
        <v>#N/A</v>
      </c>
      <c r="T33" s="667" t="s">
        <v>14</v>
      </c>
      <c r="U33" s="668" t="e">
        <f t="shared" si="13"/>
        <v>#N/A</v>
      </c>
      <c r="V33" s="667" t="s">
        <v>14</v>
      </c>
      <c r="W33" s="668" t="e">
        <f t="shared" si="14"/>
        <v>#N/A</v>
      </c>
      <c r="X33" s="1265"/>
      <c r="Y33" s="3475"/>
      <c r="Z33" s="1264" t="str">
        <f t="shared" si="15"/>
        <v>成新度</v>
      </c>
      <c r="AA33" s="1264" t="e">
        <f t="shared" si="3"/>
        <v>#N/A</v>
      </c>
      <c r="AB33" s="1264" t="e">
        <f t="shared" si="4"/>
        <v>#N/A</v>
      </c>
      <c r="AC33" s="1264" t="e">
        <f t="shared" si="5"/>
        <v>#N/A</v>
      </c>
    </row>
    <row r="34" spans="1:29" s="102" customFormat="1" ht="15">
      <c r="A34" s="410"/>
      <c r="B34" s="364" t="s">
        <v>1818</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75"/>
      <c r="Q34" s="530" t="str">
        <f t="shared" si="11"/>
        <v>物业管理</v>
      </c>
      <c r="R34" s="664" t="s">
        <v>14</v>
      </c>
      <c r="S34" s="665">
        <f t="shared" si="12"/>
        <v>100</v>
      </c>
      <c r="T34" s="664" t="s">
        <v>14</v>
      </c>
      <c r="U34" s="665">
        <f t="shared" si="13"/>
        <v>100</v>
      </c>
      <c r="V34" s="664" t="s">
        <v>14</v>
      </c>
      <c r="W34" s="665">
        <f t="shared" si="14"/>
        <v>100</v>
      </c>
      <c r="X34" s="666"/>
      <c r="Y34" s="3475"/>
      <c r="Z34" s="50" t="str">
        <f t="shared" si="15"/>
        <v>物业管理</v>
      </c>
      <c r="AA34" s="50">
        <f t="shared" si="3"/>
        <v>1</v>
      </c>
      <c r="AB34" s="50">
        <f t="shared" si="4"/>
        <v>1</v>
      </c>
      <c r="AC34" s="50">
        <f t="shared" si="5"/>
        <v>1</v>
      </c>
    </row>
    <row r="35" spans="1:29" ht="15">
      <c r="A35" s="409"/>
      <c r="B35" s="364" t="s">
        <v>1786</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75" t="s">
        <v>1695</v>
      </c>
      <c r="Q35" s="1263" t="str">
        <f t="shared" si="11"/>
        <v>市政基础设施</v>
      </c>
      <c r="R35" s="667" t="s">
        <v>14</v>
      </c>
      <c r="S35" s="668">
        <f t="shared" si="12"/>
        <v>100</v>
      </c>
      <c r="T35" s="667" t="s">
        <v>14</v>
      </c>
      <c r="U35" s="668">
        <f t="shared" si="13"/>
        <v>100</v>
      </c>
      <c r="V35" s="667" t="s">
        <v>14</v>
      </c>
      <c r="W35" s="668">
        <f t="shared" si="14"/>
        <v>100</v>
      </c>
      <c r="X35" s="1265"/>
      <c r="Y35" s="3475" t="s">
        <v>1695</v>
      </c>
      <c r="Z35" s="1264" t="str">
        <f t="shared" si="15"/>
        <v>市政基础设施</v>
      </c>
      <c r="AA35" s="1264">
        <f t="shared" si="3"/>
        <v>1</v>
      </c>
      <c r="AB35" s="1264">
        <f t="shared" si="4"/>
        <v>1</v>
      </c>
      <c r="AC35" s="1264">
        <f t="shared" si="5"/>
        <v>1</v>
      </c>
    </row>
    <row r="36" spans="1:29" ht="15">
      <c r="A36" s="409"/>
      <c r="B36" s="364" t="s">
        <v>1791</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75"/>
      <c r="Q36" s="1263" t="str">
        <f t="shared" si="11"/>
        <v>内部装修</v>
      </c>
      <c r="R36" s="667" t="s">
        <v>14</v>
      </c>
      <c r="S36" s="668">
        <f t="shared" si="12"/>
        <v>100</v>
      </c>
      <c r="T36" s="667" t="s">
        <v>14</v>
      </c>
      <c r="U36" s="668">
        <f t="shared" si="13"/>
        <v>100</v>
      </c>
      <c r="V36" s="667" t="s">
        <v>14</v>
      </c>
      <c r="W36" s="668">
        <f t="shared" si="14"/>
        <v>100</v>
      </c>
      <c r="X36" s="1265"/>
      <c r="Y36" s="3475"/>
      <c r="Z36" s="1264" t="str">
        <f t="shared" si="15"/>
        <v>内部装修</v>
      </c>
      <c r="AA36" s="1264">
        <f t="shared" si="3"/>
        <v>1</v>
      </c>
      <c r="AB36" s="1264">
        <f t="shared" si="4"/>
        <v>1</v>
      </c>
      <c r="AC36" s="1264">
        <f t="shared" si="5"/>
        <v>1</v>
      </c>
    </row>
    <row r="37" spans="1:29" ht="15">
      <c r="A37" s="409"/>
      <c r="B37" s="364" t="s">
        <v>1827</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75"/>
      <c r="Q37" s="1263" t="str">
        <f t="shared" si="11"/>
        <v>内部装修状况</v>
      </c>
      <c r="R37" s="667" t="s">
        <v>14</v>
      </c>
      <c r="S37" s="668">
        <f t="shared" si="12"/>
        <v>100</v>
      </c>
      <c r="T37" s="667" t="s">
        <v>14</v>
      </c>
      <c r="U37" s="668">
        <f t="shared" si="13"/>
        <v>100</v>
      </c>
      <c r="V37" s="667" t="s">
        <v>14</v>
      </c>
      <c r="W37" s="668">
        <f t="shared" si="14"/>
        <v>100</v>
      </c>
      <c r="X37" s="1265"/>
      <c r="Y37" s="3475"/>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75"/>
      <c r="Q38" s="531">
        <f t="shared" si="11"/>
        <v>111</v>
      </c>
      <c r="R38" s="669" t="s">
        <v>14</v>
      </c>
      <c r="S38" s="670">
        <f t="shared" si="12"/>
        <v>100</v>
      </c>
      <c r="T38" s="669" t="s">
        <v>14</v>
      </c>
      <c r="U38" s="670">
        <f t="shared" si="13"/>
        <v>100</v>
      </c>
      <c r="V38" s="669" t="s">
        <v>14</v>
      </c>
      <c r="W38" s="670">
        <f t="shared" si="14"/>
        <v>100</v>
      </c>
      <c r="X38" s="671"/>
      <c r="Y38" s="3475"/>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75"/>
      <c r="Q39" s="1263">
        <f t="shared" si="11"/>
        <v>111</v>
      </c>
      <c r="R39" s="667" t="s">
        <v>14</v>
      </c>
      <c r="S39" s="668">
        <f t="shared" si="12"/>
        <v>100</v>
      </c>
      <c r="T39" s="667" t="s">
        <v>14</v>
      </c>
      <c r="U39" s="668">
        <f t="shared" si="13"/>
        <v>100</v>
      </c>
      <c r="V39" s="667" t="s">
        <v>14</v>
      </c>
      <c r="W39" s="668">
        <f t="shared" si="14"/>
        <v>100</v>
      </c>
      <c r="X39" s="1265"/>
      <c r="Y39" s="3475"/>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76"/>
      <c r="Q40" s="1263">
        <f t="shared" si="11"/>
        <v>111</v>
      </c>
      <c r="R40" s="667" t="s">
        <v>14</v>
      </c>
      <c r="S40" s="668">
        <f t="shared" si="12"/>
        <v>100</v>
      </c>
      <c r="T40" s="667" t="s">
        <v>14</v>
      </c>
      <c r="U40" s="668">
        <f t="shared" si="13"/>
        <v>100</v>
      </c>
      <c r="V40" s="667" t="s">
        <v>14</v>
      </c>
      <c r="W40" s="668">
        <f t="shared" si="14"/>
        <v>100</v>
      </c>
      <c r="X40" s="1265"/>
      <c r="Y40" s="3476"/>
      <c r="Z40" s="1264">
        <f t="shared" si="15"/>
        <v>111</v>
      </c>
      <c r="AA40" s="1264">
        <f t="shared" si="3"/>
        <v>1</v>
      </c>
      <c r="AB40" s="1264">
        <f t="shared" si="4"/>
        <v>1</v>
      </c>
      <c r="AC40" s="1264">
        <f t="shared" si="5"/>
        <v>1</v>
      </c>
    </row>
    <row r="41" spans="1:29" ht="15">
      <c r="A41" s="416" t="s">
        <v>1707</v>
      </c>
      <c r="B41" s="417"/>
      <c r="C41" s="1081" t="s">
        <v>0</v>
      </c>
      <c r="D41" s="418"/>
      <c r="E41" s="419"/>
      <c r="F41" s="420"/>
      <c r="G41" s="421"/>
      <c r="H41" s="422"/>
      <c r="I41" s="419"/>
      <c r="J41" s="422"/>
      <c r="K41" s="674"/>
      <c r="L41" s="873"/>
      <c r="M41" s="861"/>
      <c r="N41" s="861"/>
      <c r="O41" s="861"/>
      <c r="P41" s="3469" t="str">
        <f>A41</f>
        <v>成交单价（元/平方米）</v>
      </c>
      <c r="Q41" s="3469"/>
      <c r="R41" s="3464">
        <f>E41</f>
        <v>0</v>
      </c>
      <c r="S41" s="3464"/>
      <c r="T41" s="3464">
        <f>G41</f>
        <v>0</v>
      </c>
      <c r="U41" s="3464"/>
      <c r="V41" s="3464">
        <f>I41</f>
        <v>0</v>
      </c>
      <c r="W41" s="3464"/>
      <c r="X41" s="385"/>
      <c r="Y41" s="673"/>
      <c r="Z41" s="385"/>
      <c r="AA41" s="385"/>
      <c r="AB41" s="385"/>
      <c r="AC41" s="385"/>
    </row>
    <row r="42" spans="1:29" ht="15.75" thickBot="1">
      <c r="A42" s="423" t="s">
        <v>1792</v>
      </c>
      <c r="B42" s="424"/>
      <c r="C42" s="1082" t="e">
        <f>R43</f>
        <v>#DIV/0!</v>
      </c>
      <c r="D42" s="2141" t="s">
        <v>2137</v>
      </c>
      <c r="E42" s="1083" t="e">
        <f>R42</f>
        <v>#DIV/0!</v>
      </c>
      <c r="F42" s="2142"/>
      <c r="G42" s="1082" t="e">
        <f>T42</f>
        <v>#DIV/0!</v>
      </c>
      <c r="H42" s="2142"/>
      <c r="I42" s="1083" t="e">
        <f>V42</f>
        <v>#DIV/0!</v>
      </c>
      <c r="J42" s="2142"/>
      <c r="K42" s="2144">
        <f>F42+H42+J42</f>
        <v>0</v>
      </c>
      <c r="L42" s="873"/>
      <c r="M42" s="861"/>
      <c r="N42" s="861"/>
      <c r="O42" s="861"/>
      <c r="P42" s="3469" t="str">
        <f>A42</f>
        <v>比较价值（元/平方米）</v>
      </c>
      <c r="Q42" s="3469"/>
      <c r="R42" s="3464" t="e">
        <f>IF(F1="售价",ROUND(PRODUCT(R41,AA7:AA40),0),ROUND(PRODUCT(R41,AA7:AA40),1))</f>
        <v>#DIV/0!</v>
      </c>
      <c r="S42" s="3464"/>
      <c r="T42" s="3464" t="e">
        <f>IF(F1="售价",ROUND(PRODUCT(T41,AB7:AB40),0),ROUND(PRODUCT(T41,AB7:AB40),1))</f>
        <v>#DIV/0!</v>
      </c>
      <c r="U42" s="3464"/>
      <c r="V42" s="3464" t="e">
        <f>IF(F1="售价",ROUND(PRODUCT(V41,AC7:AC40),0),ROUND(PRODUCT(V41,AC7:AC40),1))</f>
        <v>#DIV/0!</v>
      </c>
      <c r="W42" s="3464"/>
      <c r="X42" s="385"/>
      <c r="Y42" s="385"/>
      <c r="Z42" s="385"/>
      <c r="AA42" s="385"/>
      <c r="AB42" s="385"/>
      <c r="AC42" s="385"/>
    </row>
    <row r="43" spans="1:29" ht="15.75" thickBot="1">
      <c r="A43" s="427" t="s">
        <v>1793</v>
      </c>
      <c r="B43" s="428"/>
      <c r="C43" s="351" t="e">
        <f>R43</f>
        <v>#DIV/0!</v>
      </c>
      <c r="D43" s="351"/>
      <c r="E43" s="351"/>
      <c r="F43" s="351"/>
      <c r="G43" s="351"/>
      <c r="H43" s="351"/>
      <c r="I43" s="351"/>
      <c r="J43" s="351"/>
      <c r="K43" s="675"/>
      <c r="L43" s="873"/>
      <c r="M43" s="861"/>
      <c r="N43" s="861"/>
      <c r="O43" s="861"/>
      <c r="P43" s="3466" t="str">
        <f>A43</f>
        <v>估价对象XX用房的比较价值（楼面单价，元/平方米）</v>
      </c>
      <c r="Q43" s="3467"/>
      <c r="R43" s="3468" t="e">
        <f>IF(F1="售价",ROUND(IF(D42="简单平均",AVERAGE(R42:V42),R42*F42+T42*H42+V42*J42),0),ROUND(IF(D42="简单平均",AVERAGE(R42:V42),R42*F42+T42*H42+V42*J42),1))</f>
        <v>#DIV/0!</v>
      </c>
      <c r="S43" s="3468"/>
      <c r="T43" s="3468"/>
      <c r="U43" s="3468"/>
      <c r="V43" s="3468"/>
      <c r="W43" s="3468"/>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1794</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1795</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1796</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75" thickBot="1">
      <c r="A51" s="658" t="s">
        <v>1797</v>
      </c>
      <c r="B51" s="385"/>
      <c r="C51" s="659"/>
      <c r="D51" s="659"/>
      <c r="E51" s="659"/>
      <c r="F51" s="660"/>
      <c r="G51" s="660"/>
      <c r="H51" s="659"/>
      <c r="I51" s="659"/>
      <c r="J51" s="659"/>
      <c r="K51" s="887"/>
      <c r="L51" s="888"/>
      <c r="M51" s="886"/>
      <c r="N51" s="886"/>
      <c r="O51" s="886"/>
      <c r="P51" s="438"/>
      <c r="Q51" s="439"/>
    </row>
    <row r="52" spans="1:17" s="442" customFormat="1" ht="15">
      <c r="A52" s="440" t="s">
        <v>1678</v>
      </c>
      <c r="B52" s="441"/>
      <c r="C52" s="1103" t="str">
        <f>YEAR(C7)&amp;"-"&amp;MONTH(C7)</f>
        <v>2023-5</v>
      </c>
      <c r="D52" s="1104">
        <f>EDATE(C52,-1)</f>
        <v>45017</v>
      </c>
      <c r="E52" s="1104">
        <f t="shared" ref="E52:O52" si="16">EDATE(D52,-1)</f>
        <v>44986</v>
      </c>
      <c r="F52" s="1104">
        <f t="shared" si="16"/>
        <v>44958</v>
      </c>
      <c r="G52" s="1104">
        <f t="shared" si="16"/>
        <v>44927</v>
      </c>
      <c r="H52" s="1104">
        <f t="shared" si="16"/>
        <v>44896</v>
      </c>
      <c r="I52" s="1104">
        <f t="shared" si="16"/>
        <v>44866</v>
      </c>
      <c r="J52" s="1104">
        <f t="shared" si="16"/>
        <v>44835</v>
      </c>
      <c r="K52" s="1104">
        <f t="shared" si="16"/>
        <v>44805</v>
      </c>
      <c r="L52" s="1104">
        <f t="shared" si="16"/>
        <v>44774</v>
      </c>
      <c r="M52" s="1104">
        <f t="shared" si="16"/>
        <v>44743</v>
      </c>
      <c r="N52" s="1104">
        <f t="shared" si="16"/>
        <v>44713</v>
      </c>
      <c r="O52" s="1104">
        <f t="shared" si="16"/>
        <v>44682</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1715</v>
      </c>
      <c r="B54" s="450"/>
      <c r="C54" s="451"/>
      <c r="D54" s="452"/>
      <c r="E54" s="452"/>
      <c r="F54" s="452"/>
      <c r="G54" s="452"/>
      <c r="H54" s="452"/>
      <c r="I54" s="452"/>
      <c r="J54" s="452"/>
      <c r="K54" s="452"/>
      <c r="L54" s="452"/>
      <c r="M54" s="453"/>
      <c r="N54" s="2537"/>
      <c r="O54" s="2538"/>
      <c r="P54" s="439"/>
      <c r="Q54" s="439"/>
    </row>
    <row r="55" spans="1:17" s="102" customFormat="1" ht="15">
      <c r="A55" s="455" t="s">
        <v>1680</v>
      </c>
      <c r="B55" s="444"/>
      <c r="C55" s="456" t="s">
        <v>1775</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1718</v>
      </c>
      <c r="B57" s="460" t="s">
        <v>1684</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1687</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1688</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1689</v>
      </c>
      <c r="B70" s="460" t="s">
        <v>1828</v>
      </c>
      <c r="C70" s="504" t="s">
        <v>1720</v>
      </c>
      <c r="D70" s="504" t="s">
        <v>1721</v>
      </c>
      <c r="E70" s="504" t="s">
        <v>1722</v>
      </c>
      <c r="F70" s="504" t="s">
        <v>1723</v>
      </c>
      <c r="G70" s="504" t="s">
        <v>1724</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1725</v>
      </c>
      <c r="C72" s="509" t="s">
        <v>1720</v>
      </c>
      <c r="D72" s="509" t="s">
        <v>1721</v>
      </c>
      <c r="E72" s="509" t="s">
        <v>1722</v>
      </c>
      <c r="F72" s="509" t="s">
        <v>1723</v>
      </c>
      <c r="G72" s="509" t="s">
        <v>1724</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1726</v>
      </c>
      <c r="C74" s="509" t="s">
        <v>1720</v>
      </c>
      <c r="D74" s="509" t="s">
        <v>1721</v>
      </c>
      <c r="E74" s="509" t="s">
        <v>1722</v>
      </c>
      <c r="F74" s="509" t="s">
        <v>1723</v>
      </c>
      <c r="G74" s="509" t="s">
        <v>1724</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1812</v>
      </c>
      <c r="C76" s="581" t="s">
        <v>1798</v>
      </c>
      <c r="D76" s="581" t="s">
        <v>1799</v>
      </c>
      <c r="E76" s="581" t="s">
        <v>1800</v>
      </c>
      <c r="F76" s="581" t="s">
        <v>1801</v>
      </c>
      <c r="G76" s="581" t="s">
        <v>1802</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1821</v>
      </c>
      <c r="C78" s="509" t="s">
        <v>1720</v>
      </c>
      <c r="D78" s="509" t="s">
        <v>1721</v>
      </c>
      <c r="E78" s="509" t="s">
        <v>1722</v>
      </c>
      <c r="F78" s="509" t="s">
        <v>1723</v>
      </c>
      <c r="G78" s="509" t="s">
        <v>1724</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1693</v>
      </c>
      <c r="B88" s="460" t="s">
        <v>1735</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1736</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1737</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1739</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1189</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1740</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1741</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1743</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1829</v>
      </c>
      <c r="C106" s="509" t="s">
        <v>1720</v>
      </c>
      <c r="D106" s="509" t="s">
        <v>1721</v>
      </c>
      <c r="E106" s="509" t="s">
        <v>1722</v>
      </c>
      <c r="F106" s="509" t="s">
        <v>1723</v>
      </c>
      <c r="G106" s="509" t="s">
        <v>1724</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H3" sqref="H3"/>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1830</v>
      </c>
      <c r="B1" s="1140" t="s">
        <v>3333</v>
      </c>
      <c r="C1" s="1141" t="s">
        <v>1661</v>
      </c>
      <c r="D1" s="1142"/>
      <c r="E1" s="3130"/>
      <c r="F1" s="1735"/>
      <c r="G1" s="1144" t="s">
        <v>1766</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1461</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1462</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1463</v>
      </c>
      <c r="B3" s="536" t="e">
        <f>IF(AND(C2="——",B37="元/平方米"),C39,ROUND(B2*10000/D3,0))</f>
        <v>#DIV/0!</v>
      </c>
      <c r="C3" s="344" t="s">
        <v>1767</v>
      </c>
      <c r="D3" s="343">
        <f>SUMIF('数据-汇总表'!$C19:$C33,D1,'数据-汇总表'!$E19:$E33)</f>
        <v>0</v>
      </c>
      <c r="E3" s="344" t="s">
        <v>1831</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5">
      <c r="A4" s="345" t="s">
        <v>1768</v>
      </c>
      <c r="B4" s="346"/>
      <c r="C4" s="3452" t="s">
        <v>1769</v>
      </c>
      <c r="D4" s="3453"/>
      <c r="E4" s="3454" t="s">
        <v>1770</v>
      </c>
      <c r="F4" s="3455"/>
      <c r="G4" s="3452" t="s">
        <v>1771</v>
      </c>
      <c r="H4" s="3453"/>
      <c r="I4" s="3452" t="s">
        <v>1772</v>
      </c>
      <c r="J4" s="3453"/>
      <c r="K4" s="537" t="s">
        <v>1773</v>
      </c>
      <c r="L4" s="2485"/>
      <c r="M4" s="2486"/>
      <c r="N4" s="2486"/>
      <c r="O4" s="2486"/>
      <c r="P4" s="3456" t="s">
        <v>1774</v>
      </c>
      <c r="Q4" s="3457"/>
      <c r="R4" s="3439" t="s">
        <v>1770</v>
      </c>
      <c r="S4" s="3440"/>
      <c r="T4" s="3439" t="s">
        <v>1771</v>
      </c>
      <c r="U4" s="3440"/>
      <c r="V4" s="3464" t="s">
        <v>1772</v>
      </c>
      <c r="W4" s="3464"/>
      <c r="X4" s="1265"/>
      <c r="Y4" s="3439" t="s">
        <v>1774</v>
      </c>
      <c r="Z4" s="3440"/>
      <c r="AA4" s="3434" t="s">
        <v>1770</v>
      </c>
      <c r="AB4" s="3435" t="s">
        <v>1771</v>
      </c>
      <c r="AC4" s="3434" t="s">
        <v>1772</v>
      </c>
    </row>
    <row r="5" spans="1:29" ht="15">
      <c r="A5" s="348"/>
      <c r="B5" s="349"/>
      <c r="C5" s="3445" t="s">
        <v>1672</v>
      </c>
      <c r="D5" s="3446"/>
      <c r="E5" s="3443" t="s">
        <v>1673</v>
      </c>
      <c r="F5" s="3444"/>
      <c r="G5" s="3445" t="s">
        <v>1674</v>
      </c>
      <c r="H5" s="3446"/>
      <c r="I5" s="3445" t="s">
        <v>1675</v>
      </c>
      <c r="J5" s="3446"/>
      <c r="K5" s="537"/>
      <c r="L5" s="2485"/>
      <c r="M5" s="2486"/>
      <c r="N5" s="2486"/>
      <c r="O5" s="2486"/>
      <c r="P5" s="3458"/>
      <c r="Q5" s="3459"/>
      <c r="R5" s="3441"/>
      <c r="S5" s="3442"/>
      <c r="T5" s="3441"/>
      <c r="U5" s="3442"/>
      <c r="V5" s="3464"/>
      <c r="W5" s="3464"/>
      <c r="X5" s="1265"/>
      <c r="Y5" s="3441"/>
      <c r="Z5" s="3442"/>
      <c r="AA5" s="3435"/>
      <c r="AB5" s="3435"/>
      <c r="AC5" s="3435"/>
    </row>
    <row r="6" spans="1:29" ht="15.75" thickBot="1">
      <c r="A6" s="350"/>
      <c r="B6" s="351"/>
      <c r="C6" s="3447" t="s">
        <v>1676</v>
      </c>
      <c r="D6" s="3448"/>
      <c r="E6" s="3449" t="s">
        <v>1676</v>
      </c>
      <c r="F6" s="3450"/>
      <c r="G6" s="3447" t="s">
        <v>1676</v>
      </c>
      <c r="H6" s="3448"/>
      <c r="I6" s="3447" t="s">
        <v>1676</v>
      </c>
      <c r="J6" s="3448"/>
      <c r="K6" s="537" t="s">
        <v>1677</v>
      </c>
      <c r="L6" s="2485"/>
      <c r="M6" s="2486"/>
      <c r="N6" s="2486"/>
      <c r="O6" s="2486"/>
      <c r="P6" s="3460"/>
      <c r="Q6" s="3461"/>
      <c r="R6" s="3441"/>
      <c r="S6" s="3442"/>
      <c r="T6" s="3462"/>
      <c r="U6" s="3463"/>
      <c r="V6" s="3464"/>
      <c r="W6" s="3464"/>
      <c r="X6" s="1265"/>
      <c r="Y6" s="3462"/>
      <c r="Z6" s="3463"/>
      <c r="AA6" s="3436"/>
      <c r="AB6" s="3436"/>
      <c r="AC6" s="3436"/>
    </row>
    <row r="7" spans="1:29" s="102" customFormat="1" ht="15.75" thickBot="1">
      <c r="A7" s="352" t="s">
        <v>1678</v>
      </c>
      <c r="B7" s="353"/>
      <c r="C7" s="354">
        <f>'数据-取费表'!B2</f>
        <v>45051</v>
      </c>
      <c r="D7" s="355">
        <v>100</v>
      </c>
      <c r="E7" s="356"/>
      <c r="F7" s="357">
        <f>SUMIF(48:48,YEAR(E7)&amp;"-"&amp;MONTH(E7),49:49)</f>
        <v>0</v>
      </c>
      <c r="G7" s="356"/>
      <c r="H7" s="355">
        <f>SUMIF(48:48,YEAR(G7)&amp;"-"&amp;MONTH(G7),49:49)</f>
        <v>0</v>
      </c>
      <c r="I7" s="356"/>
      <c r="J7" s="355">
        <f>SUMIF(48:48,YEAR(I7)&amp;"-"&amp;MONTH(I7),49:49)</f>
        <v>0</v>
      </c>
      <c r="K7" s="38"/>
      <c r="L7" s="2487"/>
      <c r="M7" s="2438"/>
      <c r="N7" s="2438"/>
      <c r="O7" s="2438"/>
      <c r="P7" s="3437" t="s">
        <v>1679</v>
      </c>
      <c r="Q7" s="3465"/>
      <c r="R7" s="664" t="s">
        <v>14</v>
      </c>
      <c r="S7" s="665">
        <f t="shared" ref="S7:S14" si="0">F7</f>
        <v>0</v>
      </c>
      <c r="T7" s="664" t="s">
        <v>14</v>
      </c>
      <c r="U7" s="665">
        <f t="shared" ref="U7:U14" si="1">H7</f>
        <v>0</v>
      </c>
      <c r="V7" s="664" t="s">
        <v>14</v>
      </c>
      <c r="W7" s="665">
        <f t="shared" ref="W7:W14" si="2">J7</f>
        <v>0</v>
      </c>
      <c r="X7" s="666"/>
      <c r="Y7" s="3437" t="s">
        <v>1679</v>
      </c>
      <c r="Z7" s="3438"/>
      <c r="AA7" s="50" t="e">
        <f>D7/F7</f>
        <v>#DIV/0!</v>
      </c>
      <c r="AB7" s="50" t="e">
        <f>D7/H7</f>
        <v>#DIV/0!</v>
      </c>
      <c r="AC7" s="50" t="e">
        <f>D7/J7</f>
        <v>#DIV/0!</v>
      </c>
    </row>
    <row r="8" spans="1:29" s="102" customFormat="1" ht="15.75" thickBot="1">
      <c r="A8" s="352" t="s">
        <v>1680</v>
      </c>
      <c r="B8" s="353"/>
      <c r="C8" s="358"/>
      <c r="D8" s="355">
        <v>100</v>
      </c>
      <c r="E8" s="358"/>
      <c r="F8" s="357">
        <f>SUMIF(51:51,E8,52:52)-SUMIF(51:51,C8,52:52)+100</f>
        <v>100</v>
      </c>
      <c r="G8" s="358"/>
      <c r="H8" s="355">
        <f>SUMIF(51:51,G8,52:52)-SUMIF(51:51,C8,52:52)+100</f>
        <v>100</v>
      </c>
      <c r="I8" s="358"/>
      <c r="J8" s="355">
        <f>SUMIF(51:51,I8,52:52)-SUMIF(51:51,C8,52:52)+100</f>
        <v>100</v>
      </c>
      <c r="K8" s="38"/>
      <c r="L8" s="2487"/>
      <c r="M8" s="2438"/>
      <c r="N8" s="2438"/>
      <c r="O8" s="2438"/>
      <c r="P8" s="3437" t="s">
        <v>1682</v>
      </c>
      <c r="Q8" s="3438"/>
      <c r="R8" s="664" t="s">
        <v>14</v>
      </c>
      <c r="S8" s="665">
        <f t="shared" si="0"/>
        <v>100</v>
      </c>
      <c r="T8" s="664" t="s">
        <v>14</v>
      </c>
      <c r="U8" s="665">
        <f t="shared" si="1"/>
        <v>100</v>
      </c>
      <c r="V8" s="664" t="s">
        <v>14</v>
      </c>
      <c r="W8" s="665">
        <f t="shared" si="2"/>
        <v>100</v>
      </c>
      <c r="X8" s="666"/>
      <c r="Y8" s="3437" t="s">
        <v>1682</v>
      </c>
      <c r="Z8" s="3438"/>
      <c r="AA8" s="50">
        <f t="shared" ref="AA8:AA36" si="3">D8/F8</f>
        <v>1</v>
      </c>
      <c r="AB8" s="50">
        <f t="shared" ref="AB8:AB36" si="4">D8/H8</f>
        <v>1</v>
      </c>
      <c r="AC8" s="50">
        <f t="shared" ref="AC8:AC36" si="5">D8/J8</f>
        <v>1</v>
      </c>
    </row>
    <row r="9" spans="1:29" s="102" customFormat="1">
      <c r="A9" s="57" t="s">
        <v>1683</v>
      </c>
      <c r="B9" s="564" t="s">
        <v>1684</v>
      </c>
      <c r="C9" s="360"/>
      <c r="D9" s="59">
        <v>100</v>
      </c>
      <c r="E9" s="362"/>
      <c r="F9" s="59">
        <f>SUMIF(53:53,E9,54:54)-SUMIF(53:53,C9,54:54)+100</f>
        <v>100</v>
      </c>
      <c r="G9" s="361"/>
      <c r="H9" s="59">
        <f>SUMIF(53:53,G9,54:54)-SUMIF(53:53,C9,54:54)+100</f>
        <v>100</v>
      </c>
      <c r="I9" s="361"/>
      <c r="J9" s="59">
        <f>SUMIF(53:53,I9,54:54)-SUMIF(53:53,C9,54:54)+100</f>
        <v>100</v>
      </c>
      <c r="K9" s="38"/>
      <c r="L9" s="2487"/>
      <c r="M9" s="2438"/>
      <c r="N9" s="2438"/>
      <c r="O9" s="2438"/>
      <c r="P9" s="3469" t="s">
        <v>1685</v>
      </c>
      <c r="Q9" s="530" t="str">
        <f t="shared" ref="Q9:Q14" si="6">B9</f>
        <v>用途</v>
      </c>
      <c r="R9" s="664" t="s">
        <v>14</v>
      </c>
      <c r="S9" s="665">
        <f t="shared" si="0"/>
        <v>100</v>
      </c>
      <c r="T9" s="664" t="s">
        <v>14</v>
      </c>
      <c r="U9" s="665">
        <f t="shared" si="1"/>
        <v>100</v>
      </c>
      <c r="V9" s="664" t="s">
        <v>14</v>
      </c>
      <c r="W9" s="665">
        <f t="shared" si="2"/>
        <v>100</v>
      </c>
      <c r="X9" s="666"/>
      <c r="Y9" s="3362" t="s">
        <v>1686</v>
      </c>
      <c r="Z9" s="50" t="str">
        <f t="shared" ref="Z9:Z14" si="7">Q9</f>
        <v>用途</v>
      </c>
      <c r="AA9" s="50">
        <f t="shared" si="3"/>
        <v>1</v>
      </c>
      <c r="AB9" s="50">
        <f t="shared" si="4"/>
        <v>1</v>
      </c>
      <c r="AC9" s="50">
        <f t="shared" si="5"/>
        <v>1</v>
      </c>
    </row>
    <row r="10" spans="1:29" s="366" customFormat="1" ht="27">
      <c r="A10" s="565"/>
      <c r="B10" s="566" t="s">
        <v>1687</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69"/>
      <c r="Q10" s="530" t="str">
        <f t="shared" si="6"/>
        <v>土地使用年限（年）</v>
      </c>
      <c r="R10" s="664" t="s">
        <v>14</v>
      </c>
      <c r="S10" s="665">
        <f t="shared" si="0"/>
        <v>100</v>
      </c>
      <c r="T10" s="664" t="s">
        <v>14</v>
      </c>
      <c r="U10" s="665">
        <f t="shared" si="1"/>
        <v>100</v>
      </c>
      <c r="V10" s="664" t="s">
        <v>14</v>
      </c>
      <c r="W10" s="665">
        <f t="shared" si="2"/>
        <v>100</v>
      </c>
      <c r="X10" s="666"/>
      <c r="Y10" s="336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69"/>
      <c r="Q11" s="530">
        <f t="shared" si="6"/>
        <v>111</v>
      </c>
      <c r="R11" s="664" t="s">
        <v>14</v>
      </c>
      <c r="S11" s="665">
        <f t="shared" si="0"/>
        <v>100</v>
      </c>
      <c r="T11" s="664" t="s">
        <v>14</v>
      </c>
      <c r="U11" s="665">
        <f t="shared" si="1"/>
        <v>100</v>
      </c>
      <c r="V11" s="664" t="s">
        <v>14</v>
      </c>
      <c r="W11" s="665">
        <f t="shared" si="2"/>
        <v>100</v>
      </c>
      <c r="X11" s="666"/>
      <c r="Y11" s="336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8"/>
      <c r="N12" s="2438"/>
      <c r="O12" s="2438"/>
      <c r="P12" s="3469"/>
      <c r="Q12" s="530">
        <f t="shared" si="6"/>
        <v>111</v>
      </c>
      <c r="R12" s="664" t="s">
        <v>14</v>
      </c>
      <c r="S12" s="665">
        <f t="shared" si="0"/>
        <v>100</v>
      </c>
      <c r="T12" s="664" t="s">
        <v>14</v>
      </c>
      <c r="U12" s="665">
        <f t="shared" si="1"/>
        <v>100</v>
      </c>
      <c r="V12" s="664" t="s">
        <v>14</v>
      </c>
      <c r="W12" s="665">
        <f t="shared" si="2"/>
        <v>100</v>
      </c>
      <c r="X12" s="666"/>
      <c r="Y12" s="3362"/>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69"/>
      <c r="Q13" s="530">
        <f t="shared" si="6"/>
        <v>111</v>
      </c>
      <c r="R13" s="664" t="s">
        <v>14</v>
      </c>
      <c r="S13" s="665">
        <f t="shared" si="0"/>
        <v>100</v>
      </c>
      <c r="T13" s="664" t="s">
        <v>14</v>
      </c>
      <c r="U13" s="665">
        <f t="shared" si="1"/>
        <v>100</v>
      </c>
      <c r="V13" s="664" t="s">
        <v>14</v>
      </c>
      <c r="W13" s="665">
        <f t="shared" si="2"/>
        <v>100</v>
      </c>
      <c r="X13" s="666"/>
      <c r="Y13" s="3362"/>
      <c r="Z13" s="50">
        <f t="shared" si="7"/>
        <v>111</v>
      </c>
      <c r="AA13" s="50">
        <f t="shared" si="3"/>
        <v>1</v>
      </c>
      <c r="AB13" s="50">
        <f t="shared" si="4"/>
        <v>1</v>
      </c>
      <c r="AC13" s="50">
        <f t="shared" si="5"/>
        <v>1</v>
      </c>
    </row>
    <row r="14" spans="1:29" ht="99.75">
      <c r="A14" s="345" t="s">
        <v>1689</v>
      </c>
      <c r="B14" s="554" t="s">
        <v>1832</v>
      </c>
      <c r="C14" s="1819" t="str">
        <f>IF(B1="工业",估价对象房地状况!G4,估价对象房地状况!C6)</f>
        <v>周边有75、110、420路及地铁2号、6号线，周边道路密集，停车便捷程度，综合评价交通便捷度好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70" t="s">
        <v>1690</v>
      </c>
      <c r="Q14" s="1263" t="str">
        <f t="shared" si="6"/>
        <v>交通便捷度</v>
      </c>
      <c r="R14" s="667" t="s">
        <v>14</v>
      </c>
      <c r="S14" s="668">
        <f t="shared" si="0"/>
        <v>100</v>
      </c>
      <c r="T14" s="667" t="s">
        <v>14</v>
      </c>
      <c r="U14" s="668">
        <f t="shared" si="1"/>
        <v>100</v>
      </c>
      <c r="V14" s="667" t="s">
        <v>14</v>
      </c>
      <c r="W14" s="668">
        <f t="shared" si="2"/>
        <v>100</v>
      </c>
      <c r="X14" s="1265"/>
      <c r="Y14" s="3470" t="s">
        <v>1690</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471"/>
      <c r="Q15" s="1263"/>
      <c r="R15" s="667"/>
      <c r="S15" s="668"/>
      <c r="T15" s="667"/>
      <c r="U15" s="668"/>
      <c r="V15" s="667"/>
      <c r="W15" s="668"/>
      <c r="X15" s="1265"/>
      <c r="Y15" s="3471"/>
      <c r="Z15" s="1264"/>
      <c r="AA15" s="1264">
        <v>1</v>
      </c>
      <c r="AB15" s="1264">
        <v>1</v>
      </c>
      <c r="AC15" s="1264">
        <v>1</v>
      </c>
    </row>
    <row r="16" spans="1:29" ht="85.5">
      <c r="A16" s="348"/>
      <c r="B16" s="556" t="s">
        <v>1811</v>
      </c>
      <c r="C16" s="1754" t="str">
        <f>IF(B1="工业",估价对象房地状况!G5,估价对象房地状况!C7)</f>
        <v>估价对象所在区域银行、购物场所、学校等公共配套设施齐备，综合评价公共配套设施水平好。</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71"/>
      <c r="Q16" s="1263" t="str">
        <f>B16</f>
        <v>公共配套设施</v>
      </c>
      <c r="R16" s="667" t="s">
        <v>14</v>
      </c>
      <c r="S16" s="668">
        <f>F16</f>
        <v>100</v>
      </c>
      <c r="T16" s="667" t="s">
        <v>14</v>
      </c>
      <c r="U16" s="668">
        <f>H16</f>
        <v>100</v>
      </c>
      <c r="V16" s="667" t="s">
        <v>14</v>
      </c>
      <c r="W16" s="668">
        <f>J16</f>
        <v>100</v>
      </c>
      <c r="X16" s="1265"/>
      <c r="Y16" s="3471"/>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471"/>
      <c r="Q17" s="1263"/>
      <c r="R17" s="667"/>
      <c r="S17" s="668"/>
      <c r="T17" s="667"/>
      <c r="U17" s="668"/>
      <c r="V17" s="667"/>
      <c r="W17" s="668"/>
      <c r="X17" s="1265"/>
      <c r="Y17" s="3471"/>
      <c r="Z17" s="1264"/>
      <c r="AA17" s="1264">
        <v>1</v>
      </c>
      <c r="AB17" s="1264">
        <v>1</v>
      </c>
      <c r="AC17" s="1264">
        <v>1</v>
      </c>
    </row>
    <row r="18" spans="1:29" ht="42.75">
      <c r="A18" s="348"/>
      <c r="B18" s="557" t="s">
        <v>1812</v>
      </c>
      <c r="C18" s="1754" t="str">
        <f>IF(B1="工业",估价对象房地状况!G6,估价对象房地状况!C8)</f>
        <v>估价对象所在区域基础设施水平“七通一平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71"/>
      <c r="Q18" s="1263" t="str">
        <f>B18</f>
        <v>基础设施水平</v>
      </c>
      <c r="R18" s="667" t="s">
        <v>14</v>
      </c>
      <c r="S18" s="668">
        <f>F18</f>
        <v>100</v>
      </c>
      <c r="T18" s="667" t="s">
        <v>14</v>
      </c>
      <c r="U18" s="668">
        <f>H18</f>
        <v>100</v>
      </c>
      <c r="V18" s="667" t="s">
        <v>14</v>
      </c>
      <c r="W18" s="668">
        <f>J18</f>
        <v>100</v>
      </c>
      <c r="X18" s="1265"/>
      <c r="Y18" s="3471"/>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471"/>
      <c r="Q19" s="1263"/>
      <c r="R19" s="667"/>
      <c r="S19" s="668"/>
      <c r="T19" s="667"/>
      <c r="U19" s="668"/>
      <c r="V19" s="667"/>
      <c r="W19" s="668"/>
      <c r="X19" s="1265"/>
      <c r="Y19" s="3471"/>
      <c r="Z19" s="1264"/>
      <c r="AA19" s="1264">
        <v>1</v>
      </c>
      <c r="AB19" s="1264">
        <v>1</v>
      </c>
      <c r="AC19" s="1264">
        <v>1</v>
      </c>
    </row>
    <row r="20" spans="1:29" ht="99.75">
      <c r="A20" s="348"/>
      <c r="B20" s="556" t="s">
        <v>1833</v>
      </c>
      <c r="C20" s="1754" t="str">
        <f>IF(B1="工业",估价对象房地状况!G7,估价对象房地状况!C9)</f>
        <v>区域内有东城职业大学、日坛公园、富国海底世界等自然及人文环境，综合评价自然及人文环境状况较好。</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71"/>
      <c r="Q20" s="1263" t="str">
        <f>B20</f>
        <v>自然及人文环境</v>
      </c>
      <c r="R20" s="667" t="s">
        <v>14</v>
      </c>
      <c r="S20" s="668">
        <f>F20</f>
        <v>100</v>
      </c>
      <c r="T20" s="667" t="s">
        <v>14</v>
      </c>
      <c r="U20" s="668">
        <f>H20</f>
        <v>100</v>
      </c>
      <c r="V20" s="667" t="s">
        <v>14</v>
      </c>
      <c r="W20" s="668">
        <f>J20</f>
        <v>100</v>
      </c>
      <c r="X20" s="1265"/>
      <c r="Y20" s="3471"/>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471"/>
      <c r="Q21" s="1263"/>
      <c r="R21" s="667"/>
      <c r="S21" s="668"/>
      <c r="T21" s="667"/>
      <c r="U21" s="668"/>
      <c r="V21" s="667"/>
      <c r="W21" s="668"/>
      <c r="X21" s="1265"/>
      <c r="Y21" s="3471"/>
      <c r="Z21" s="1264"/>
      <c r="AA21" s="1264">
        <v>1</v>
      </c>
      <c r="AB21" s="1264">
        <v>1</v>
      </c>
      <c r="AC21" s="1264">
        <v>1</v>
      </c>
    </row>
    <row r="22" spans="1:29" ht="15">
      <c r="A22" s="348"/>
      <c r="B22" s="556" t="s">
        <v>1834</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71"/>
      <c r="Q22" s="1263" t="str">
        <f>B22</f>
        <v>楼层</v>
      </c>
      <c r="R22" s="667" t="s">
        <v>14</v>
      </c>
      <c r="S22" s="668">
        <f>F22</f>
        <v>100</v>
      </c>
      <c r="T22" s="667" t="s">
        <v>14</v>
      </c>
      <c r="U22" s="668">
        <f>H22</f>
        <v>100</v>
      </c>
      <c r="V22" s="667" t="s">
        <v>14</v>
      </c>
      <c r="W22" s="668">
        <f>J22</f>
        <v>100</v>
      </c>
      <c r="X22" s="1265"/>
      <c r="Y22" s="3471"/>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71"/>
      <c r="Q23" s="1263">
        <f>B23</f>
        <v>111</v>
      </c>
      <c r="R23" s="667" t="s">
        <v>14</v>
      </c>
      <c r="S23" s="668">
        <f>F23</f>
        <v>100</v>
      </c>
      <c r="T23" s="667" t="s">
        <v>14</v>
      </c>
      <c r="U23" s="668">
        <f>H23</f>
        <v>100</v>
      </c>
      <c r="V23" s="667" t="s">
        <v>14</v>
      </c>
      <c r="W23" s="668">
        <f>J23</f>
        <v>100</v>
      </c>
      <c r="X23" s="1265"/>
      <c r="Y23" s="3471"/>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71"/>
      <c r="Q24" s="1263">
        <f t="shared" ref="Q24:Q36" si="11">B24</f>
        <v>111</v>
      </c>
      <c r="R24" s="667" t="s">
        <v>14</v>
      </c>
      <c r="S24" s="668">
        <f>F24</f>
        <v>100</v>
      </c>
      <c r="T24" s="667" t="s">
        <v>14</v>
      </c>
      <c r="U24" s="668">
        <f>H24</f>
        <v>100</v>
      </c>
      <c r="V24" s="667" t="s">
        <v>14</v>
      </c>
      <c r="W24" s="668">
        <f>J24</f>
        <v>100</v>
      </c>
      <c r="X24" s="1265"/>
      <c r="Y24" s="3471"/>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8"/>
      <c r="N25" s="2438"/>
      <c r="O25" s="2438"/>
      <c r="P25" s="3471"/>
      <c r="Q25" s="530">
        <f t="shared" si="11"/>
        <v>111</v>
      </c>
      <c r="R25" s="664" t="s">
        <v>14</v>
      </c>
      <c r="S25" s="665">
        <f>F25</f>
        <v>100</v>
      </c>
      <c r="T25" s="664" t="s">
        <v>14</v>
      </c>
      <c r="U25" s="665">
        <f>H25</f>
        <v>100</v>
      </c>
      <c r="V25" s="664" t="s">
        <v>14</v>
      </c>
      <c r="W25" s="665">
        <f>J25</f>
        <v>100</v>
      </c>
      <c r="X25" s="666"/>
      <c r="Y25" s="3471"/>
      <c r="Z25" s="50">
        <f>Q25</f>
        <v>111</v>
      </c>
      <c r="AA25" s="1264">
        <f>D25/F25</f>
        <v>1</v>
      </c>
      <c r="AB25" s="1264">
        <f>D25/H25</f>
        <v>1</v>
      </c>
      <c r="AC25" s="1264">
        <f>D25/J25</f>
        <v>1</v>
      </c>
    </row>
    <row r="26" spans="1:29" ht="28.5">
      <c r="A26" s="574" t="s">
        <v>1693</v>
      </c>
      <c r="B26" s="59" t="s">
        <v>1835</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94" t="s">
        <v>1695</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75" t="s">
        <v>1695</v>
      </c>
      <c r="Z26" s="1264" t="str">
        <f t="shared" ref="Z26:Z36" si="15">Q26</f>
        <v>配套类型</v>
      </c>
      <c r="AA26" s="1264" t="e">
        <f t="shared" si="3"/>
        <v>#DIV/0!</v>
      </c>
      <c r="AB26" s="1264" t="e">
        <f t="shared" si="4"/>
        <v>#DIV/0!</v>
      </c>
      <c r="AC26" s="1264" t="e">
        <f t="shared" si="5"/>
        <v>#DIV/0!</v>
      </c>
    </row>
    <row r="27" spans="1:29" s="408" customFormat="1" ht="15">
      <c r="A27" s="575"/>
      <c r="B27" s="119" t="s">
        <v>1836</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75"/>
      <c r="Q27" s="531" t="str">
        <f t="shared" si="11"/>
        <v>项目停车位配比</v>
      </c>
      <c r="R27" s="669" t="s">
        <v>14</v>
      </c>
      <c r="S27" s="670">
        <f t="shared" si="12"/>
        <v>100</v>
      </c>
      <c r="T27" s="669" t="s">
        <v>14</v>
      </c>
      <c r="U27" s="670">
        <f t="shared" si="13"/>
        <v>100</v>
      </c>
      <c r="V27" s="669" t="s">
        <v>14</v>
      </c>
      <c r="W27" s="670">
        <f t="shared" si="14"/>
        <v>100</v>
      </c>
      <c r="X27" s="671"/>
      <c r="Y27" s="3475"/>
      <c r="Z27" s="672" t="str">
        <f t="shared" si="15"/>
        <v>项目停车位配比</v>
      </c>
      <c r="AA27" s="1264">
        <f t="shared" si="3"/>
        <v>1</v>
      </c>
      <c r="AB27" s="1264">
        <f t="shared" si="4"/>
        <v>1</v>
      </c>
      <c r="AC27" s="1264">
        <f t="shared" si="5"/>
        <v>1</v>
      </c>
    </row>
    <row r="28" spans="1:29" ht="15">
      <c r="A28" s="577"/>
      <c r="B28" s="119" t="s">
        <v>1837</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75"/>
      <c r="Q28" s="1263" t="str">
        <f t="shared" si="11"/>
        <v>公共部分装修</v>
      </c>
      <c r="R28" s="667" t="s">
        <v>14</v>
      </c>
      <c r="S28" s="668">
        <f t="shared" si="12"/>
        <v>100</v>
      </c>
      <c r="T28" s="667" t="s">
        <v>14</v>
      </c>
      <c r="U28" s="668">
        <f t="shared" si="13"/>
        <v>100</v>
      </c>
      <c r="V28" s="667" t="s">
        <v>14</v>
      </c>
      <c r="W28" s="668">
        <f t="shared" si="14"/>
        <v>100</v>
      </c>
      <c r="X28" s="1265"/>
      <c r="Y28" s="3475"/>
      <c r="Z28" s="1264" t="str">
        <f t="shared" si="15"/>
        <v>公共部分装修</v>
      </c>
      <c r="AA28" s="1264">
        <f t="shared" si="3"/>
        <v>1</v>
      </c>
      <c r="AB28" s="1264">
        <f t="shared" si="4"/>
        <v>1</v>
      </c>
      <c r="AC28" s="1264">
        <f t="shared" si="5"/>
        <v>1</v>
      </c>
    </row>
    <row r="29" spans="1:29" ht="15">
      <c r="A29" s="577"/>
      <c r="B29" s="119" t="s">
        <v>1838</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75"/>
      <c r="Q29" s="1263" t="str">
        <f t="shared" si="11"/>
        <v>成新率</v>
      </c>
      <c r="R29" s="667" t="s">
        <v>14</v>
      </c>
      <c r="S29" s="668" t="e">
        <f t="shared" si="12"/>
        <v>#N/A</v>
      </c>
      <c r="T29" s="667" t="s">
        <v>14</v>
      </c>
      <c r="U29" s="668" t="e">
        <f t="shared" si="13"/>
        <v>#N/A</v>
      </c>
      <c r="V29" s="667" t="s">
        <v>14</v>
      </c>
      <c r="W29" s="668" t="e">
        <f t="shared" si="14"/>
        <v>#N/A</v>
      </c>
      <c r="X29" s="1265"/>
      <c r="Y29" s="3475"/>
      <c r="Z29" s="1264" t="str">
        <f t="shared" si="15"/>
        <v>成新率</v>
      </c>
      <c r="AA29" s="1264" t="e">
        <f t="shared" si="3"/>
        <v>#N/A</v>
      </c>
      <c r="AB29" s="1264" t="e">
        <f t="shared" si="4"/>
        <v>#N/A</v>
      </c>
      <c r="AC29" s="1264" t="e">
        <f t="shared" si="5"/>
        <v>#N/A</v>
      </c>
    </row>
    <row r="30" spans="1:29" ht="15">
      <c r="A30" s="577"/>
      <c r="B30" s="119" t="s">
        <v>1839</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75"/>
      <c r="Q30" s="1263" t="str">
        <f t="shared" si="11"/>
        <v>物业等级</v>
      </c>
      <c r="R30" s="667" t="s">
        <v>14</v>
      </c>
      <c r="S30" s="668">
        <f t="shared" si="12"/>
        <v>100</v>
      </c>
      <c r="T30" s="667" t="s">
        <v>14</v>
      </c>
      <c r="U30" s="668">
        <f t="shared" si="13"/>
        <v>100</v>
      </c>
      <c r="V30" s="667" t="s">
        <v>14</v>
      </c>
      <c r="W30" s="668">
        <f t="shared" si="14"/>
        <v>100</v>
      </c>
      <c r="X30" s="1265"/>
      <c r="Y30" s="3475"/>
      <c r="Z30" s="1264" t="str">
        <f t="shared" si="15"/>
        <v>物业等级</v>
      </c>
      <c r="AA30" s="1264">
        <f t="shared" si="3"/>
        <v>1</v>
      </c>
      <c r="AB30" s="1264">
        <f t="shared" si="4"/>
        <v>1</v>
      </c>
      <c r="AC30" s="1264">
        <f t="shared" si="5"/>
        <v>1</v>
      </c>
    </row>
    <row r="31" spans="1:29" s="102" customFormat="1" ht="15">
      <c r="A31" s="579"/>
      <c r="B31" s="119" t="s">
        <v>1840</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8"/>
      <c r="N31" s="2438"/>
      <c r="O31" s="2438"/>
      <c r="P31" s="3475"/>
      <c r="Q31" s="530" t="str">
        <f t="shared" si="11"/>
        <v>停车位面积</v>
      </c>
      <c r="R31" s="664" t="s">
        <v>14</v>
      </c>
      <c r="S31" s="665" t="e">
        <f t="shared" si="12"/>
        <v>#N/A</v>
      </c>
      <c r="T31" s="664" t="s">
        <v>14</v>
      </c>
      <c r="U31" s="665" t="e">
        <f t="shared" si="13"/>
        <v>#N/A</v>
      </c>
      <c r="V31" s="664" t="s">
        <v>14</v>
      </c>
      <c r="W31" s="665" t="e">
        <f t="shared" si="14"/>
        <v>#N/A</v>
      </c>
      <c r="X31" s="666"/>
      <c r="Y31" s="3475"/>
      <c r="Z31" s="50" t="str">
        <f t="shared" si="15"/>
        <v>停车位面积</v>
      </c>
      <c r="AA31" s="50" t="e">
        <f t="shared" si="3"/>
        <v>#N/A</v>
      </c>
      <c r="AB31" s="50" t="e">
        <f t="shared" si="4"/>
        <v>#N/A</v>
      </c>
      <c r="AC31" s="50" t="e">
        <f t="shared" si="5"/>
        <v>#N/A</v>
      </c>
    </row>
    <row r="32" spans="1:29" ht="15">
      <c r="A32" s="577"/>
      <c r="B32" s="119" t="s">
        <v>1841</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75" t="s">
        <v>1695</v>
      </c>
      <c r="Q32" s="1263" t="str">
        <f t="shared" si="11"/>
        <v>车位类型</v>
      </c>
      <c r="R32" s="667" t="s">
        <v>14</v>
      </c>
      <c r="S32" s="668">
        <f t="shared" si="12"/>
        <v>100</v>
      </c>
      <c r="T32" s="667" t="s">
        <v>14</v>
      </c>
      <c r="U32" s="668">
        <f t="shared" si="13"/>
        <v>100</v>
      </c>
      <c r="V32" s="667" t="s">
        <v>14</v>
      </c>
      <c r="W32" s="668">
        <f t="shared" si="14"/>
        <v>100</v>
      </c>
      <c r="X32" s="1265"/>
      <c r="Y32" s="3475" t="s">
        <v>1695</v>
      </c>
      <c r="Z32" s="1264" t="str">
        <f t="shared" si="15"/>
        <v>车位类型</v>
      </c>
      <c r="AA32" s="1264">
        <f t="shared" si="3"/>
        <v>1</v>
      </c>
      <c r="AB32" s="1264">
        <f t="shared" si="4"/>
        <v>1</v>
      </c>
      <c r="AC32" s="1264">
        <f t="shared" si="5"/>
        <v>1</v>
      </c>
    </row>
    <row r="33" spans="1:29" ht="15">
      <c r="A33" s="577"/>
      <c r="B33" s="119" t="s">
        <v>1842</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75"/>
      <c r="Q33" s="1263" t="str">
        <f t="shared" si="11"/>
        <v>是否直接入户</v>
      </c>
      <c r="R33" s="667" t="s">
        <v>14</v>
      </c>
      <c r="S33" s="668">
        <f t="shared" si="12"/>
        <v>100</v>
      </c>
      <c r="T33" s="667" t="s">
        <v>14</v>
      </c>
      <c r="U33" s="668">
        <f t="shared" si="13"/>
        <v>100</v>
      </c>
      <c r="V33" s="667" t="s">
        <v>14</v>
      </c>
      <c r="W33" s="668">
        <f t="shared" si="14"/>
        <v>100</v>
      </c>
      <c r="X33" s="1265"/>
      <c r="Y33" s="3475"/>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75"/>
      <c r="Q34" s="1263">
        <f t="shared" si="11"/>
        <v>111</v>
      </c>
      <c r="R34" s="667" t="s">
        <v>14</v>
      </c>
      <c r="S34" s="668">
        <f t="shared" si="12"/>
        <v>100</v>
      </c>
      <c r="T34" s="667" t="s">
        <v>14</v>
      </c>
      <c r="U34" s="668">
        <f t="shared" si="13"/>
        <v>100</v>
      </c>
      <c r="V34" s="667" t="s">
        <v>14</v>
      </c>
      <c r="W34" s="668">
        <f t="shared" si="14"/>
        <v>100</v>
      </c>
      <c r="X34" s="1265"/>
      <c r="Y34" s="3475"/>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75"/>
      <c r="Q35" s="531">
        <f t="shared" si="11"/>
        <v>111</v>
      </c>
      <c r="R35" s="669" t="s">
        <v>14</v>
      </c>
      <c r="S35" s="670">
        <f t="shared" si="12"/>
        <v>100</v>
      </c>
      <c r="T35" s="669" t="s">
        <v>14</v>
      </c>
      <c r="U35" s="670">
        <f t="shared" si="13"/>
        <v>100</v>
      </c>
      <c r="V35" s="669" t="s">
        <v>14</v>
      </c>
      <c r="W35" s="670">
        <f t="shared" si="14"/>
        <v>100</v>
      </c>
      <c r="X35" s="671"/>
      <c r="Y35" s="3475"/>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75"/>
      <c r="Q36" s="1263">
        <f t="shared" si="11"/>
        <v>111</v>
      </c>
      <c r="R36" s="667" t="s">
        <v>14</v>
      </c>
      <c r="S36" s="668">
        <f t="shared" si="12"/>
        <v>100</v>
      </c>
      <c r="T36" s="667" t="s">
        <v>14</v>
      </c>
      <c r="U36" s="668">
        <f t="shared" si="13"/>
        <v>100</v>
      </c>
      <c r="V36" s="667" t="s">
        <v>14</v>
      </c>
      <c r="W36" s="668">
        <f t="shared" si="14"/>
        <v>100</v>
      </c>
      <c r="X36" s="1265"/>
      <c r="Y36" s="3475"/>
      <c r="Z36" s="1264">
        <f t="shared" si="15"/>
        <v>111</v>
      </c>
      <c r="AA36" s="1264">
        <f t="shared" si="3"/>
        <v>1</v>
      </c>
      <c r="AB36" s="1264">
        <f t="shared" si="4"/>
        <v>1</v>
      </c>
      <c r="AC36" s="1264">
        <f t="shared" si="5"/>
        <v>1</v>
      </c>
    </row>
    <row r="37" spans="1:29" ht="15">
      <c r="A37" s="416" t="s">
        <v>1843</v>
      </c>
      <c r="B37" s="1821" t="s">
        <v>3353</v>
      </c>
      <c r="C37" s="1081" t="s">
        <v>0</v>
      </c>
      <c r="D37" s="418"/>
      <c r="E37" s="419"/>
      <c r="F37" s="420"/>
      <c r="G37" s="421"/>
      <c r="H37" s="422"/>
      <c r="I37" s="419"/>
      <c r="J37" s="422"/>
      <c r="K37" s="545"/>
      <c r="L37" s="2493"/>
      <c r="M37" s="2486"/>
      <c r="N37" s="2486"/>
      <c r="O37" s="2486"/>
      <c r="P37" s="3469" t="str">
        <f>A37</f>
        <v>成交单价</v>
      </c>
      <c r="Q37" s="3469"/>
      <c r="R37" s="3464">
        <f>E37</f>
        <v>0</v>
      </c>
      <c r="S37" s="3464"/>
      <c r="T37" s="3464">
        <f>G37</f>
        <v>0</v>
      </c>
      <c r="U37" s="3464"/>
      <c r="V37" s="3464">
        <f>I37</f>
        <v>0</v>
      </c>
      <c r="W37" s="3464"/>
      <c r="X37" s="385"/>
      <c r="Y37" s="673"/>
      <c r="Z37" s="385"/>
      <c r="AA37" s="385"/>
      <c r="AB37" s="385"/>
      <c r="AC37" s="385"/>
    </row>
    <row r="38" spans="1:29" ht="15.75" thickBot="1">
      <c r="A38" s="423" t="s">
        <v>1844</v>
      </c>
      <c r="B38" s="424" t="str">
        <f>B37</f>
        <v>元/平方米</v>
      </c>
      <c r="C38" s="1082" t="e">
        <f>R39</f>
        <v>#DIV/0!</v>
      </c>
      <c r="D38" s="2141" t="s">
        <v>2137</v>
      </c>
      <c r="E38" s="1083" t="e">
        <f>R38</f>
        <v>#DIV/0!</v>
      </c>
      <c r="F38" s="2142"/>
      <c r="G38" s="1082" t="e">
        <f>T38</f>
        <v>#DIV/0!</v>
      </c>
      <c r="H38" s="2142"/>
      <c r="I38" s="1083" t="e">
        <f>V38</f>
        <v>#DIV/0!</v>
      </c>
      <c r="J38" s="2142"/>
      <c r="K38" s="2144">
        <f>F38+H38+J38</f>
        <v>0</v>
      </c>
      <c r="L38" s="2493"/>
      <c r="M38" s="2486"/>
      <c r="N38" s="2486"/>
      <c r="O38" s="2486"/>
      <c r="P38" s="3469" t="str">
        <f>A38</f>
        <v>比较价值（元/平方米）</v>
      </c>
      <c r="Q38" s="3469"/>
      <c r="R38" s="3464" t="e">
        <f>IF(F1="售价",ROUND(PRODUCT(R37,AA7:AA36),0),ROUND(PRODUCT(R37,AA7:AA36),1))</f>
        <v>#DIV/0!</v>
      </c>
      <c r="S38" s="3464"/>
      <c r="T38" s="3464" t="e">
        <f>IF(F1="售价",ROUND(PRODUCT(T37,AB7:AB36),0),ROUND(PRODUCT(T37,AB7:AB36),1))</f>
        <v>#DIV/0!</v>
      </c>
      <c r="U38" s="3464"/>
      <c r="V38" s="3464" t="e">
        <f>IF(F1="售价",ROUND(PRODUCT(V37,AC7:AC36),0),ROUND(PRODUCT(V37,AC7:AC36),1))</f>
        <v>#DIV/0!</v>
      </c>
      <c r="W38" s="3464"/>
      <c r="X38" s="385"/>
      <c r="Y38" s="385"/>
      <c r="Z38" s="385"/>
      <c r="AA38" s="385"/>
      <c r="AB38" s="385"/>
      <c r="AC38" s="385"/>
    </row>
    <row r="39" spans="1:29" ht="15.75" thickBot="1">
      <c r="A39" s="427" t="s">
        <v>1845</v>
      </c>
      <c r="B39" s="428"/>
      <c r="C39" s="351" t="e">
        <f>R39</f>
        <v>#DIV/0!</v>
      </c>
      <c r="D39" s="351"/>
      <c r="E39" s="351"/>
      <c r="F39" s="351"/>
      <c r="G39" s="351"/>
      <c r="H39" s="351"/>
      <c r="I39" s="351"/>
      <c r="J39" s="351"/>
      <c r="K39" s="546"/>
      <c r="L39" s="2493"/>
      <c r="M39" s="2486"/>
      <c r="N39" s="2486"/>
      <c r="O39" s="2486"/>
      <c r="P39" s="3466" t="str">
        <f>A39</f>
        <v>估价对象XX用房的比较价值（楼面单价，元/平方米）</v>
      </c>
      <c r="Q39" s="3467"/>
      <c r="R39" s="3495" t="e">
        <f>IF(F1="售价",ROUND(IF(D38="简单平均",AVERAGE(R38:W38),R38*F38+T38*H38+V38*J38),0),ROUND(IF(D38="简单平均",AVERAGE(R38:V38),R38*F38+T38*H38+V38*J38),1))</f>
        <v>#DIV/0!</v>
      </c>
      <c r="S39" s="3495"/>
      <c r="T39" s="3495"/>
      <c r="U39" s="3495"/>
      <c r="V39" s="3495"/>
      <c r="W39" s="3495"/>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1846</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1847</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1848</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7" t="s">
        <v>1849</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5">
      <c r="A48" s="440" t="s">
        <v>1850</v>
      </c>
      <c r="B48" s="441"/>
      <c r="C48" s="1103" t="str">
        <f>YEAR(C7)&amp;"-"&amp;MONTH(C7)</f>
        <v>2023-5</v>
      </c>
      <c r="D48" s="1104">
        <f>EDATE(C48,-1)</f>
        <v>45017</v>
      </c>
      <c r="E48" s="1104">
        <f t="shared" ref="E48:O48" si="16">EDATE(D48,-1)</f>
        <v>44986</v>
      </c>
      <c r="F48" s="1104">
        <f t="shared" si="16"/>
        <v>44958</v>
      </c>
      <c r="G48" s="1104">
        <f t="shared" si="16"/>
        <v>44927</v>
      </c>
      <c r="H48" s="1104">
        <f t="shared" si="16"/>
        <v>44896</v>
      </c>
      <c r="I48" s="1104">
        <f t="shared" si="16"/>
        <v>44866</v>
      </c>
      <c r="J48" s="1104">
        <f t="shared" si="16"/>
        <v>44835</v>
      </c>
      <c r="K48" s="1104">
        <f t="shared" si="16"/>
        <v>44805</v>
      </c>
      <c r="L48" s="1104">
        <f t="shared" si="16"/>
        <v>44774</v>
      </c>
      <c r="M48" s="1104">
        <f t="shared" si="16"/>
        <v>44743</v>
      </c>
      <c r="N48" s="1104">
        <f t="shared" si="16"/>
        <v>44713</v>
      </c>
      <c r="O48" s="1104">
        <f t="shared" si="16"/>
        <v>44682</v>
      </c>
      <c r="P48" s="2526"/>
      <c r="Q48" s="2509"/>
      <c r="R48" s="2509"/>
      <c r="S48" s="2509"/>
      <c r="T48" s="2509"/>
      <c r="U48" s="2509"/>
      <c r="V48" s="2509"/>
      <c r="W48" s="2509"/>
      <c r="X48" s="2509"/>
      <c r="Y48" s="2509"/>
      <c r="Z48" s="2509"/>
      <c r="AA48" s="2509"/>
      <c r="AB48" s="2509"/>
      <c r="AC48" s="2509"/>
    </row>
    <row r="49" spans="1:29" s="102" customFormat="1" ht="15">
      <c r="A49" s="443"/>
      <c r="B49" s="444"/>
      <c r="C49" s="1097">
        <v>100</v>
      </c>
      <c r="D49" s="446"/>
      <c r="E49" s="446"/>
      <c r="F49" s="446"/>
      <c r="G49" s="446"/>
      <c r="H49" s="446"/>
      <c r="I49" s="446"/>
      <c r="J49" s="446"/>
      <c r="K49" s="446"/>
      <c r="L49" s="446"/>
      <c r="M49" s="447"/>
      <c r="N49" s="446"/>
      <c r="O49" s="447"/>
      <c r="P49" s="2527"/>
      <c r="Q49" s="2438"/>
      <c r="R49" s="2438"/>
      <c r="S49" s="2438"/>
      <c r="T49" s="2438"/>
      <c r="U49" s="2438"/>
      <c r="V49" s="2438"/>
      <c r="W49" s="2438"/>
      <c r="X49" s="2438"/>
      <c r="Y49" s="2438"/>
      <c r="Z49" s="2438"/>
      <c r="AA49" s="2438"/>
      <c r="AB49" s="2438"/>
      <c r="AC49" s="2438"/>
    </row>
    <row r="50" spans="1:29" s="102" customFormat="1" ht="15.75" thickBot="1">
      <c r="A50" s="449" t="s">
        <v>1715</v>
      </c>
      <c r="B50" s="450"/>
      <c r="C50" s="451"/>
      <c r="D50" s="452"/>
      <c r="E50" s="452"/>
      <c r="F50" s="452"/>
      <c r="G50" s="452"/>
      <c r="H50" s="452"/>
      <c r="I50" s="452"/>
      <c r="J50" s="452"/>
      <c r="K50" s="452"/>
      <c r="L50" s="452"/>
      <c r="M50" s="453"/>
      <c r="N50" s="452"/>
      <c r="O50" s="453"/>
      <c r="P50" s="2527"/>
      <c r="Q50" s="2507"/>
      <c r="R50" s="2438"/>
      <c r="S50" s="2438"/>
      <c r="T50" s="2438"/>
      <c r="U50" s="2438"/>
      <c r="V50" s="2438"/>
      <c r="W50" s="2438"/>
      <c r="X50" s="2438"/>
      <c r="Y50" s="2438"/>
      <c r="Z50" s="2438"/>
      <c r="AA50" s="2438"/>
      <c r="AB50" s="2438"/>
      <c r="AC50" s="2438"/>
    </row>
    <row r="51" spans="1:29" s="102" customFormat="1" ht="15">
      <c r="A51" s="455" t="s">
        <v>1680</v>
      </c>
      <c r="B51" s="444"/>
      <c r="C51" s="456" t="s">
        <v>1775</v>
      </c>
      <c r="D51" s="31"/>
      <c r="E51" s="31"/>
      <c r="F51" s="31"/>
      <c r="G51" s="31"/>
      <c r="H51" s="31"/>
      <c r="I51" s="31"/>
      <c r="J51" s="31"/>
      <c r="K51" s="31"/>
      <c r="L51" s="457"/>
      <c r="M51" s="458"/>
      <c r="N51" s="2519"/>
      <c r="O51" s="2519"/>
      <c r="P51" s="2528"/>
      <c r="Q51" s="2507"/>
      <c r="R51" s="2438"/>
      <c r="S51" s="2438"/>
      <c r="T51" s="2438"/>
      <c r="U51" s="2438"/>
      <c r="V51" s="2438"/>
      <c r="W51" s="2438"/>
      <c r="X51" s="2438"/>
      <c r="Y51" s="2438"/>
      <c r="Z51" s="2438"/>
      <c r="AA51" s="2438"/>
      <c r="AB51" s="2438"/>
      <c r="AC51" s="2438"/>
    </row>
    <row r="52" spans="1:29" s="102" customFormat="1" ht="15.75" thickBot="1">
      <c r="A52" s="455"/>
      <c r="B52" s="444"/>
      <c r="C52" s="563">
        <v>100</v>
      </c>
      <c r="D52" s="446"/>
      <c r="E52" s="446"/>
      <c r="F52" s="446"/>
      <c r="G52" s="446"/>
      <c r="H52" s="446"/>
      <c r="I52" s="446"/>
      <c r="J52" s="446"/>
      <c r="K52" s="446"/>
      <c r="L52" s="446"/>
      <c r="M52" s="448"/>
      <c r="N52" s="2519"/>
      <c r="O52" s="2519"/>
      <c r="P52" s="2527"/>
      <c r="Q52" s="2507"/>
      <c r="R52" s="2438"/>
      <c r="S52" s="2438"/>
      <c r="T52" s="2438"/>
      <c r="U52" s="2438"/>
      <c r="V52" s="2438"/>
      <c r="W52" s="2438"/>
      <c r="X52" s="2438"/>
      <c r="Y52" s="2438"/>
      <c r="Z52" s="2438"/>
      <c r="AA52" s="2438"/>
      <c r="AB52" s="2438"/>
      <c r="AC52" s="2438"/>
    </row>
    <row r="53" spans="1:29">
      <c r="A53" s="379" t="s">
        <v>1718</v>
      </c>
      <c r="B53" s="460" t="s">
        <v>1684</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5.7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7.75" thickTop="1">
      <c r="A55" s="367"/>
      <c r="B55" s="469" t="s">
        <v>1687</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5.7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5.7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5.7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5.7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5.7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5.7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5.7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1689</v>
      </c>
      <c r="B63" s="460" t="s">
        <v>1725</v>
      </c>
      <c r="C63" s="504" t="s">
        <v>1720</v>
      </c>
      <c r="D63" s="504" t="s">
        <v>1721</v>
      </c>
      <c r="E63" s="504" t="s">
        <v>1722</v>
      </c>
      <c r="F63" s="504" t="s">
        <v>1723</v>
      </c>
      <c r="G63" s="504" t="s">
        <v>1724</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75" thickTop="1">
      <c r="A65" s="367"/>
      <c r="B65" s="469" t="s">
        <v>1726</v>
      </c>
      <c r="C65" s="509" t="s">
        <v>1720</v>
      </c>
      <c r="D65" s="509" t="s">
        <v>1721</v>
      </c>
      <c r="E65" s="509" t="s">
        <v>1722</v>
      </c>
      <c r="F65" s="509" t="s">
        <v>1723</v>
      </c>
      <c r="G65" s="509" t="s">
        <v>1724</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75" thickTop="1">
      <c r="A67" s="367"/>
      <c r="B67" s="477" t="s">
        <v>1812</v>
      </c>
      <c r="C67" s="581" t="s">
        <v>1798</v>
      </c>
      <c r="D67" s="581" t="s">
        <v>1799</v>
      </c>
      <c r="E67" s="581" t="s">
        <v>1800</v>
      </c>
      <c r="F67" s="581" t="s">
        <v>1801</v>
      </c>
      <c r="G67" s="581" t="s">
        <v>1802</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75" thickTop="1">
      <c r="A69" s="367"/>
      <c r="B69" s="469" t="s">
        <v>1732</v>
      </c>
      <c r="C69" s="509" t="s">
        <v>1720</v>
      </c>
      <c r="D69" s="509" t="s">
        <v>1721</v>
      </c>
      <c r="E69" s="509" t="s">
        <v>1722</v>
      </c>
      <c r="F69" s="509" t="s">
        <v>1723</v>
      </c>
      <c r="G69" s="509" t="s">
        <v>1724</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75" thickTop="1">
      <c r="A71" s="367"/>
      <c r="B71" s="469" t="s">
        <v>1851</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5.75" thickTop="1">
      <c r="A73" s="370"/>
      <c r="B73" s="469">
        <f>B23</f>
        <v>111</v>
      </c>
      <c r="C73" s="480"/>
      <c r="D73" s="480"/>
      <c r="E73" s="480"/>
      <c r="F73" s="480"/>
      <c r="G73" s="485"/>
      <c r="H73" s="485"/>
      <c r="I73" s="485"/>
      <c r="J73" s="485"/>
      <c r="K73" s="485"/>
      <c r="L73" s="510"/>
      <c r="M73" s="511"/>
      <c r="N73" s="2519"/>
      <c r="O73" s="2519"/>
      <c r="P73" s="2529"/>
      <c r="Q73" s="2507"/>
      <c r="R73" s="2438"/>
      <c r="S73" s="2438"/>
      <c r="T73" s="2438"/>
      <c r="U73" s="2438"/>
      <c r="V73" s="2438"/>
      <c r="W73" s="2438"/>
      <c r="X73" s="2438"/>
      <c r="Y73" s="2438"/>
      <c r="Z73" s="2438"/>
      <c r="AA73" s="2438"/>
      <c r="AB73" s="2438"/>
      <c r="AC73" s="2438"/>
    </row>
    <row r="74" spans="1:29" s="102" customFormat="1" ht="15.75" thickBot="1">
      <c r="A74" s="370"/>
      <c r="B74" s="474"/>
      <c r="C74" s="491"/>
      <c r="D74" s="467"/>
      <c r="E74" s="467"/>
      <c r="F74" s="467"/>
      <c r="G74" s="467"/>
      <c r="H74" s="467"/>
      <c r="I74" s="467"/>
      <c r="J74" s="467"/>
      <c r="K74" s="467"/>
      <c r="L74" s="467"/>
      <c r="M74" s="468"/>
      <c r="N74" s="2521"/>
      <c r="O74" s="2521"/>
      <c r="P74" s="2529"/>
      <c r="Q74" s="2507"/>
      <c r="R74" s="2438"/>
      <c r="S74" s="2438"/>
      <c r="T74" s="2438"/>
      <c r="U74" s="2438"/>
      <c r="V74" s="2438"/>
      <c r="W74" s="2438"/>
      <c r="X74" s="2438"/>
      <c r="Y74" s="2438"/>
      <c r="Z74" s="2438"/>
      <c r="AA74" s="2438"/>
      <c r="AB74" s="2438"/>
      <c r="AC74" s="2438"/>
    </row>
    <row r="75" spans="1:29" s="102" customFormat="1" ht="15.75" thickTop="1">
      <c r="A75" s="370"/>
      <c r="B75" s="469">
        <f>B24</f>
        <v>111</v>
      </c>
      <c r="C75" s="480"/>
      <c r="D75" s="480"/>
      <c r="E75" s="480"/>
      <c r="F75" s="480"/>
      <c r="G75" s="485"/>
      <c r="H75" s="485"/>
      <c r="I75" s="485"/>
      <c r="J75" s="485"/>
      <c r="K75" s="485"/>
      <c r="L75" s="485"/>
      <c r="M75" s="511"/>
      <c r="N75" s="2519"/>
      <c r="O75" s="2519"/>
      <c r="P75" s="2529"/>
      <c r="Q75" s="2507"/>
      <c r="R75" s="2438"/>
      <c r="S75" s="2438"/>
      <c r="T75" s="2438"/>
      <c r="U75" s="2438"/>
      <c r="V75" s="2438"/>
      <c r="W75" s="2438"/>
      <c r="X75" s="2438"/>
      <c r="Y75" s="2438"/>
      <c r="Z75" s="2438"/>
      <c r="AA75" s="2438"/>
      <c r="AB75" s="2438"/>
      <c r="AC75" s="2438"/>
    </row>
    <row r="76" spans="1:29" s="102" customFormat="1" ht="15.75" thickBot="1">
      <c r="A76" s="370"/>
      <c r="B76" s="474"/>
      <c r="C76" s="491"/>
      <c r="D76" s="467"/>
      <c r="E76" s="467"/>
      <c r="F76" s="467"/>
      <c r="G76" s="467"/>
      <c r="H76" s="467"/>
      <c r="I76" s="467"/>
      <c r="J76" s="467"/>
      <c r="K76" s="467"/>
      <c r="L76" s="467"/>
      <c r="M76" s="468"/>
      <c r="N76" s="2521"/>
      <c r="O76" s="2521"/>
      <c r="P76" s="2529"/>
      <c r="Q76" s="2507"/>
      <c r="R76" s="2438"/>
      <c r="S76" s="2438"/>
      <c r="T76" s="2438"/>
      <c r="U76" s="2438"/>
      <c r="V76" s="2438"/>
      <c r="W76" s="2438"/>
      <c r="X76" s="2438"/>
      <c r="Y76" s="2438"/>
      <c r="Z76" s="2438"/>
      <c r="AA76" s="2438"/>
      <c r="AB76" s="2438"/>
      <c r="AC76" s="2438"/>
    </row>
    <row r="77" spans="1:29" s="408" customFormat="1" ht="15.7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5.7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7.75" thickTop="1">
      <c r="A79" s="379" t="s">
        <v>1693</v>
      </c>
      <c r="B79" s="460" t="s">
        <v>1852</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75" thickTop="1">
      <c r="A81" s="367"/>
      <c r="B81" s="469" t="s">
        <v>1853</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1739</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1854</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1855</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1856</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1857</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1858</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5.7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5.7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H3" sqref="H3"/>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1830</v>
      </c>
      <c r="B1" s="1140" t="s">
        <v>3334</v>
      </c>
      <c r="C1" s="1141" t="s">
        <v>1661</v>
      </c>
      <c r="D1" s="1142"/>
      <c r="E1" s="3130"/>
      <c r="F1" s="1735"/>
      <c r="G1" s="1152" t="s">
        <v>1766</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1461</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1462</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1463</v>
      </c>
      <c r="B3" s="536" t="e">
        <f>IF(C2="——",C37,ROUND(B2*10000/D3,0))</f>
        <v>#DIV/0!</v>
      </c>
      <c r="C3" s="344" t="s">
        <v>1767</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1768</v>
      </c>
      <c r="B4" s="346"/>
      <c r="C4" s="3452" t="s">
        <v>1769</v>
      </c>
      <c r="D4" s="3453"/>
      <c r="E4" s="3454" t="s">
        <v>1770</v>
      </c>
      <c r="F4" s="3455"/>
      <c r="G4" s="3452" t="s">
        <v>1771</v>
      </c>
      <c r="H4" s="3453"/>
      <c r="I4" s="3452" t="s">
        <v>1772</v>
      </c>
      <c r="J4" s="3453"/>
      <c r="K4" s="537" t="s">
        <v>1773</v>
      </c>
      <c r="L4" s="2485"/>
      <c r="M4" s="2486"/>
      <c r="N4" s="2486"/>
      <c r="O4" s="2486"/>
      <c r="P4" s="3456" t="s">
        <v>1774</v>
      </c>
      <c r="Q4" s="3457"/>
      <c r="R4" s="3439" t="s">
        <v>1770</v>
      </c>
      <c r="S4" s="3440"/>
      <c r="T4" s="3439" t="s">
        <v>1771</v>
      </c>
      <c r="U4" s="3440"/>
      <c r="V4" s="3464" t="s">
        <v>1772</v>
      </c>
      <c r="W4" s="3464"/>
      <c r="X4" s="1265"/>
      <c r="Y4" s="3439" t="s">
        <v>1774</v>
      </c>
      <c r="Z4" s="3440"/>
      <c r="AA4" s="3434" t="s">
        <v>1770</v>
      </c>
      <c r="AB4" s="3435" t="s">
        <v>1771</v>
      </c>
      <c r="AC4" s="3434" t="s">
        <v>1772</v>
      </c>
    </row>
    <row r="5" spans="1:29" ht="15">
      <c r="A5" s="348"/>
      <c r="B5" s="349"/>
      <c r="C5" s="3445" t="s">
        <v>1672</v>
      </c>
      <c r="D5" s="3446"/>
      <c r="E5" s="3443" t="s">
        <v>1673</v>
      </c>
      <c r="F5" s="3444"/>
      <c r="G5" s="3445" t="s">
        <v>1674</v>
      </c>
      <c r="H5" s="3446"/>
      <c r="I5" s="3445" t="s">
        <v>1675</v>
      </c>
      <c r="J5" s="3446"/>
      <c r="K5" s="537"/>
      <c r="L5" s="2485"/>
      <c r="M5" s="2486"/>
      <c r="N5" s="2486"/>
      <c r="O5" s="2486"/>
      <c r="P5" s="3458"/>
      <c r="Q5" s="3459"/>
      <c r="R5" s="3441"/>
      <c r="S5" s="3442"/>
      <c r="T5" s="3441"/>
      <c r="U5" s="3442"/>
      <c r="V5" s="3464"/>
      <c r="W5" s="3464"/>
      <c r="X5" s="1265"/>
      <c r="Y5" s="3441"/>
      <c r="Z5" s="3442"/>
      <c r="AA5" s="3435"/>
      <c r="AB5" s="3435"/>
      <c r="AC5" s="3435"/>
    </row>
    <row r="6" spans="1:29" ht="15.75" thickBot="1">
      <c r="A6" s="350"/>
      <c r="B6" s="351"/>
      <c r="C6" s="3447" t="s">
        <v>1676</v>
      </c>
      <c r="D6" s="3448"/>
      <c r="E6" s="3449" t="s">
        <v>1676</v>
      </c>
      <c r="F6" s="3450"/>
      <c r="G6" s="3447" t="s">
        <v>1676</v>
      </c>
      <c r="H6" s="3448"/>
      <c r="I6" s="3447" t="s">
        <v>1676</v>
      </c>
      <c r="J6" s="3448"/>
      <c r="K6" s="537" t="s">
        <v>1677</v>
      </c>
      <c r="L6" s="2485"/>
      <c r="M6" s="2486"/>
      <c r="N6" s="2486"/>
      <c r="O6" s="2486"/>
      <c r="P6" s="3460"/>
      <c r="Q6" s="3461"/>
      <c r="R6" s="3441"/>
      <c r="S6" s="3442"/>
      <c r="T6" s="3462"/>
      <c r="U6" s="3463"/>
      <c r="V6" s="3464"/>
      <c r="W6" s="3464"/>
      <c r="X6" s="1265"/>
      <c r="Y6" s="3462"/>
      <c r="Z6" s="3463"/>
      <c r="AA6" s="3436"/>
      <c r="AB6" s="3436"/>
      <c r="AC6" s="3436"/>
    </row>
    <row r="7" spans="1:29" s="102" customFormat="1" ht="15.75" thickBot="1">
      <c r="A7" s="352" t="s">
        <v>1678</v>
      </c>
      <c r="B7" s="353"/>
      <c r="C7" s="354">
        <f>'数据-取费表'!B2</f>
        <v>45051</v>
      </c>
      <c r="D7" s="355">
        <v>100</v>
      </c>
      <c r="E7" s="356"/>
      <c r="F7" s="357">
        <f>SUMIF(46:46,YEAR(E7)&amp;"-"&amp;MONTH(E7),47:47)</f>
        <v>0</v>
      </c>
      <c r="G7" s="1822"/>
      <c r="H7" s="355">
        <f>SUMIF(46:46,YEAR(G7)&amp;"-"&amp;MONTH(G7),47:47)</f>
        <v>0</v>
      </c>
      <c r="I7" s="356"/>
      <c r="J7" s="355">
        <f>SUMIF(46:46,YEAR(I7)&amp;"-"&amp;MONTH(I7),47:47)</f>
        <v>0</v>
      </c>
      <c r="K7" s="38"/>
      <c r="L7" s="2487"/>
      <c r="M7" s="2438"/>
      <c r="N7" s="2438"/>
      <c r="O7" s="2438"/>
      <c r="P7" s="3437" t="s">
        <v>1679</v>
      </c>
      <c r="Q7" s="3465"/>
      <c r="R7" s="664" t="s">
        <v>14</v>
      </c>
      <c r="S7" s="665">
        <f t="shared" ref="S7:S14" si="0">F7</f>
        <v>0</v>
      </c>
      <c r="T7" s="664" t="s">
        <v>14</v>
      </c>
      <c r="U7" s="665">
        <f t="shared" ref="U7:U14" si="1">H7</f>
        <v>0</v>
      </c>
      <c r="V7" s="664" t="s">
        <v>14</v>
      </c>
      <c r="W7" s="665">
        <f t="shared" ref="W7:W14" si="2">J7</f>
        <v>0</v>
      </c>
      <c r="X7" s="666"/>
      <c r="Y7" s="3437" t="s">
        <v>1679</v>
      </c>
      <c r="Z7" s="3438"/>
      <c r="AA7" s="50" t="e">
        <f>D7/F7</f>
        <v>#DIV/0!</v>
      </c>
      <c r="AB7" s="50" t="e">
        <f>D7/H7</f>
        <v>#DIV/0!</v>
      </c>
      <c r="AC7" s="50" t="e">
        <f>D7/J7</f>
        <v>#DIV/0!</v>
      </c>
    </row>
    <row r="8" spans="1:29" s="102" customFormat="1" ht="15.75" thickBot="1">
      <c r="A8" s="352" t="s">
        <v>1680</v>
      </c>
      <c r="B8" s="353"/>
      <c r="C8" s="358"/>
      <c r="D8" s="355">
        <v>100</v>
      </c>
      <c r="E8" s="358"/>
      <c r="F8" s="357">
        <f>SUMIF(49:49,E8,50:50)-SUMIF(49:49,C8,50:50)+100</f>
        <v>100</v>
      </c>
      <c r="G8" s="358"/>
      <c r="H8" s="355">
        <f>SUMIF(49:49,G8,50:50)-SUMIF(49:49,C8,50:50)+100</f>
        <v>100</v>
      </c>
      <c r="I8" s="358"/>
      <c r="J8" s="355">
        <f>SUMIF(49:49,I8,50:50)-SUMIF(49:49,C8,50:50)+100</f>
        <v>100</v>
      </c>
      <c r="K8" s="38"/>
      <c r="L8" s="2487"/>
      <c r="M8" s="2438"/>
      <c r="N8" s="2438"/>
      <c r="O8" s="2438"/>
      <c r="P8" s="3437" t="s">
        <v>1682</v>
      </c>
      <c r="Q8" s="3438"/>
      <c r="R8" s="664" t="s">
        <v>14</v>
      </c>
      <c r="S8" s="665">
        <f t="shared" si="0"/>
        <v>100</v>
      </c>
      <c r="T8" s="664" t="s">
        <v>14</v>
      </c>
      <c r="U8" s="665">
        <f t="shared" si="1"/>
        <v>100</v>
      </c>
      <c r="V8" s="664" t="s">
        <v>14</v>
      </c>
      <c r="W8" s="665">
        <f t="shared" si="2"/>
        <v>100</v>
      </c>
      <c r="X8" s="666"/>
      <c r="Y8" s="3437" t="s">
        <v>1682</v>
      </c>
      <c r="Z8" s="3438"/>
      <c r="AA8" s="50">
        <f t="shared" ref="AA8:AA34" si="3">D8/F8</f>
        <v>1</v>
      </c>
      <c r="AB8" s="50">
        <f t="shared" ref="AB8:AB34" si="4">D8/H8</f>
        <v>1</v>
      </c>
      <c r="AC8" s="50">
        <f t="shared" ref="AC8:AC34" si="5">D8/J8</f>
        <v>1</v>
      </c>
    </row>
    <row r="9" spans="1:29" s="102" customFormat="1">
      <c r="A9" s="359" t="s">
        <v>1683</v>
      </c>
      <c r="B9" s="60" t="s">
        <v>1684</v>
      </c>
      <c r="C9" s="360"/>
      <c r="D9" s="59">
        <v>100</v>
      </c>
      <c r="E9" s="362"/>
      <c r="F9" s="60">
        <f>SUMIF(51:51,E9,52:52)-SUMIF(51:51,C9,52:52)+100</f>
        <v>100</v>
      </c>
      <c r="G9" s="362"/>
      <c r="H9" s="59">
        <f>SUMIF(51:51,G9,52:52)-SUMIF(51:51,C9,52:52)+100</f>
        <v>100</v>
      </c>
      <c r="I9" s="362"/>
      <c r="J9" s="59">
        <f>SUMIF(51:51,I9,52:52)-SUMIF(51:51,C9,52:52)+100</f>
        <v>100</v>
      </c>
      <c r="K9" s="38"/>
      <c r="L9" s="2487"/>
      <c r="M9" s="2438"/>
      <c r="N9" s="2438"/>
      <c r="O9" s="2539"/>
      <c r="P9" s="3469" t="s">
        <v>1685</v>
      </c>
      <c r="Q9" s="530" t="str">
        <f t="shared" ref="Q9:Q14" si="6">B9</f>
        <v>用途</v>
      </c>
      <c r="R9" s="664" t="s">
        <v>14</v>
      </c>
      <c r="S9" s="665">
        <f t="shared" si="0"/>
        <v>100</v>
      </c>
      <c r="T9" s="664" t="s">
        <v>14</v>
      </c>
      <c r="U9" s="665">
        <f t="shared" si="1"/>
        <v>100</v>
      </c>
      <c r="V9" s="664" t="s">
        <v>14</v>
      </c>
      <c r="W9" s="665">
        <f t="shared" si="2"/>
        <v>100</v>
      </c>
      <c r="X9" s="666"/>
      <c r="Y9" s="3362" t="s">
        <v>1686</v>
      </c>
      <c r="Z9" s="50" t="str">
        <f t="shared" ref="Z9:Z14" si="7">Q9</f>
        <v>用途</v>
      </c>
      <c r="AA9" s="50">
        <f t="shared" si="3"/>
        <v>1</v>
      </c>
      <c r="AB9" s="50">
        <f t="shared" si="4"/>
        <v>1</v>
      </c>
      <c r="AC9" s="50">
        <f t="shared" si="5"/>
        <v>1</v>
      </c>
    </row>
    <row r="10" spans="1:29" s="366" customFormat="1" ht="27">
      <c r="A10" s="363"/>
      <c r="B10" s="364" t="s">
        <v>1687</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69"/>
      <c r="Q10" s="530" t="str">
        <f t="shared" si="6"/>
        <v>土地使用年限（年）</v>
      </c>
      <c r="R10" s="664" t="s">
        <v>14</v>
      </c>
      <c r="S10" s="665">
        <f t="shared" si="0"/>
        <v>100</v>
      </c>
      <c r="T10" s="664" t="s">
        <v>14</v>
      </c>
      <c r="U10" s="665">
        <f t="shared" si="1"/>
        <v>100</v>
      </c>
      <c r="V10" s="664" t="s">
        <v>14</v>
      </c>
      <c r="W10" s="665">
        <f t="shared" si="2"/>
        <v>100</v>
      </c>
      <c r="X10" s="666"/>
      <c r="Y10" s="336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69"/>
      <c r="Q11" s="530">
        <f t="shared" si="6"/>
        <v>111</v>
      </c>
      <c r="R11" s="664" t="s">
        <v>14</v>
      </c>
      <c r="S11" s="665">
        <f t="shared" si="0"/>
        <v>100</v>
      </c>
      <c r="T11" s="664" t="s">
        <v>14</v>
      </c>
      <c r="U11" s="665">
        <f t="shared" si="1"/>
        <v>100</v>
      </c>
      <c r="V11" s="664" t="s">
        <v>14</v>
      </c>
      <c r="W11" s="665">
        <f t="shared" si="2"/>
        <v>100</v>
      </c>
      <c r="X11" s="666"/>
      <c r="Y11" s="336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8"/>
      <c r="N12" s="2438"/>
      <c r="O12" s="2539"/>
      <c r="P12" s="3469"/>
      <c r="Q12" s="530">
        <f t="shared" si="6"/>
        <v>111</v>
      </c>
      <c r="R12" s="664" t="s">
        <v>14</v>
      </c>
      <c r="S12" s="665">
        <f t="shared" si="0"/>
        <v>100</v>
      </c>
      <c r="T12" s="664" t="s">
        <v>14</v>
      </c>
      <c r="U12" s="665">
        <f t="shared" si="1"/>
        <v>100</v>
      </c>
      <c r="V12" s="664" t="s">
        <v>14</v>
      </c>
      <c r="W12" s="665">
        <f t="shared" si="2"/>
        <v>100</v>
      </c>
      <c r="X12" s="666"/>
      <c r="Y12" s="3362"/>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469"/>
      <c r="Q13" s="530">
        <f t="shared" si="6"/>
        <v>111</v>
      </c>
      <c r="R13" s="664" t="s">
        <v>14</v>
      </c>
      <c r="S13" s="665">
        <f t="shared" si="0"/>
        <v>100</v>
      </c>
      <c r="T13" s="664" t="s">
        <v>14</v>
      </c>
      <c r="U13" s="665">
        <f t="shared" si="1"/>
        <v>100</v>
      </c>
      <c r="V13" s="664" t="s">
        <v>14</v>
      </c>
      <c r="W13" s="665">
        <f t="shared" si="2"/>
        <v>100</v>
      </c>
      <c r="X13" s="666"/>
      <c r="Y13" s="3362"/>
      <c r="Z13" s="50">
        <f t="shared" si="7"/>
        <v>111</v>
      </c>
      <c r="AA13" s="50">
        <f t="shared" si="3"/>
        <v>1</v>
      </c>
      <c r="AB13" s="50">
        <f t="shared" si="4"/>
        <v>1</v>
      </c>
      <c r="AC13" s="50">
        <f t="shared" si="5"/>
        <v>1</v>
      </c>
    </row>
    <row r="14" spans="1:29" ht="99.75">
      <c r="A14" s="379" t="s">
        <v>1689</v>
      </c>
      <c r="B14" s="58" t="s">
        <v>1832</v>
      </c>
      <c r="C14" s="1819" t="str">
        <f>IF(B1="工业",估价对象房地状况!G4,估价对象房地状况!C6)</f>
        <v>周边有75、110、420路及地铁2号、6号线，周边道路密集，停车便捷程度，综合评价交通便捷度好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70" t="s">
        <v>1690</v>
      </c>
      <c r="Q14" s="1263" t="str">
        <f t="shared" si="6"/>
        <v>交通便捷度</v>
      </c>
      <c r="R14" s="667" t="s">
        <v>14</v>
      </c>
      <c r="S14" s="668">
        <f t="shared" si="0"/>
        <v>100</v>
      </c>
      <c r="T14" s="667" t="s">
        <v>14</v>
      </c>
      <c r="U14" s="668">
        <f t="shared" si="1"/>
        <v>100</v>
      </c>
      <c r="V14" s="667" t="s">
        <v>14</v>
      </c>
      <c r="W14" s="668">
        <f t="shared" si="2"/>
        <v>100</v>
      </c>
      <c r="X14" s="1265"/>
      <c r="Y14" s="3470" t="s">
        <v>1690</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471"/>
      <c r="Q15" s="1263"/>
      <c r="R15" s="667"/>
      <c r="S15" s="668"/>
      <c r="T15" s="667"/>
      <c r="U15" s="668"/>
      <c r="V15" s="667"/>
      <c r="W15" s="668"/>
      <c r="X15" s="1265"/>
      <c r="Y15" s="3471"/>
      <c r="Z15" s="1264"/>
      <c r="AA15" s="1264">
        <v>1</v>
      </c>
      <c r="AB15" s="1264">
        <v>1</v>
      </c>
      <c r="AC15" s="1264">
        <v>1</v>
      </c>
    </row>
    <row r="16" spans="1:29" ht="85.5">
      <c r="A16" s="367"/>
      <c r="B16" s="390" t="s">
        <v>1811</v>
      </c>
      <c r="C16" s="1754" t="str">
        <f>IF(B1="工业",估价对象房地状况!G5,估价对象房地状况!C7)</f>
        <v>估价对象所在区域银行、购物场所、学校等公共配套设施齐备，综合评价公共配套设施水平好。</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71"/>
      <c r="Q16" s="1263" t="str">
        <f>B16</f>
        <v>公共配套设施</v>
      </c>
      <c r="R16" s="667" t="s">
        <v>14</v>
      </c>
      <c r="S16" s="668">
        <f>F16</f>
        <v>100</v>
      </c>
      <c r="T16" s="667" t="s">
        <v>14</v>
      </c>
      <c r="U16" s="668">
        <f>H16</f>
        <v>100</v>
      </c>
      <c r="V16" s="667" t="s">
        <v>14</v>
      </c>
      <c r="W16" s="668">
        <f>J16</f>
        <v>100</v>
      </c>
      <c r="X16" s="1265"/>
      <c r="Y16" s="3471"/>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471"/>
      <c r="Q17" s="1263"/>
      <c r="R17" s="667"/>
      <c r="S17" s="668"/>
      <c r="T17" s="667"/>
      <c r="U17" s="668"/>
      <c r="V17" s="667"/>
      <c r="W17" s="668"/>
      <c r="X17" s="1265"/>
      <c r="Y17" s="3471"/>
      <c r="Z17" s="1264"/>
      <c r="AA17" s="1264">
        <v>1</v>
      </c>
      <c r="AB17" s="1264">
        <v>1</v>
      </c>
      <c r="AC17" s="1264">
        <v>1</v>
      </c>
    </row>
    <row r="18" spans="1:29" ht="42.75">
      <c r="A18" s="367"/>
      <c r="B18" s="586" t="s">
        <v>1812</v>
      </c>
      <c r="C18" s="1754" t="str">
        <f>IF(B1="工业",估价对象房地状况!G6,估价对象房地状况!C8)</f>
        <v>估价对象所在区域基础设施水平“七通一平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71"/>
      <c r="Q18" s="1263" t="str">
        <f>B18</f>
        <v>基础设施水平</v>
      </c>
      <c r="R18" s="667" t="s">
        <v>14</v>
      </c>
      <c r="S18" s="668">
        <f>F18</f>
        <v>100</v>
      </c>
      <c r="T18" s="667" t="s">
        <v>14</v>
      </c>
      <c r="U18" s="668">
        <f>H18</f>
        <v>100</v>
      </c>
      <c r="V18" s="667" t="s">
        <v>14</v>
      </c>
      <c r="W18" s="668">
        <f>J18</f>
        <v>100</v>
      </c>
      <c r="X18" s="1265"/>
      <c r="Y18" s="3471"/>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471"/>
      <c r="Q19" s="1263"/>
      <c r="R19" s="667"/>
      <c r="S19" s="668"/>
      <c r="T19" s="667"/>
      <c r="U19" s="668"/>
      <c r="V19" s="667"/>
      <c r="W19" s="668"/>
      <c r="X19" s="1265"/>
      <c r="Y19" s="3471"/>
      <c r="Z19" s="1264"/>
      <c r="AA19" s="1264">
        <v>1</v>
      </c>
      <c r="AB19" s="1264">
        <v>1</v>
      </c>
      <c r="AC19" s="1264">
        <v>1</v>
      </c>
    </row>
    <row r="20" spans="1:29" ht="99.75">
      <c r="A20" s="367"/>
      <c r="B20" s="390" t="s">
        <v>1833</v>
      </c>
      <c r="C20" s="1754" t="str">
        <f>IF(B1="工业",估价对象房地状况!G7,估价对象房地状况!C9)</f>
        <v>区域内有东城职业大学、日坛公园、富国海底世界等自然及人文环境，综合评价自然及人文环境状况较好。</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71"/>
      <c r="Q20" s="1263" t="str">
        <f>B20</f>
        <v>自然及人文环境</v>
      </c>
      <c r="R20" s="667" t="s">
        <v>14</v>
      </c>
      <c r="S20" s="668">
        <f>F20</f>
        <v>100</v>
      </c>
      <c r="T20" s="667" t="s">
        <v>14</v>
      </c>
      <c r="U20" s="668">
        <f>H20</f>
        <v>100</v>
      </c>
      <c r="V20" s="667" t="s">
        <v>14</v>
      </c>
      <c r="W20" s="668">
        <f>J20</f>
        <v>100</v>
      </c>
      <c r="X20" s="1265"/>
      <c r="Y20" s="3471"/>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471"/>
      <c r="Q21" s="1263"/>
      <c r="R21" s="667"/>
      <c r="S21" s="668"/>
      <c r="T21" s="667"/>
      <c r="U21" s="668"/>
      <c r="V21" s="667"/>
      <c r="W21" s="668"/>
      <c r="X21" s="1265"/>
      <c r="Y21" s="3471"/>
      <c r="Z21" s="1264"/>
      <c r="AA21" s="1264">
        <v>1</v>
      </c>
      <c r="AB21" s="1264">
        <v>1</v>
      </c>
      <c r="AC21" s="1264">
        <v>1</v>
      </c>
    </row>
    <row r="22" spans="1:29" ht="15">
      <c r="A22" s="367"/>
      <c r="B22" s="390" t="s">
        <v>1834</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71"/>
      <c r="Q22" s="1263" t="str">
        <f>B22</f>
        <v>楼层</v>
      </c>
      <c r="R22" s="667" t="s">
        <v>14</v>
      </c>
      <c r="S22" s="668">
        <f>F22</f>
        <v>100</v>
      </c>
      <c r="T22" s="667" t="s">
        <v>14</v>
      </c>
      <c r="U22" s="668">
        <f>H22</f>
        <v>100</v>
      </c>
      <c r="V22" s="667" t="s">
        <v>14</v>
      </c>
      <c r="W22" s="668">
        <f>J22</f>
        <v>100</v>
      </c>
      <c r="X22" s="1265"/>
      <c r="Y22" s="3471"/>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71"/>
      <c r="Q23" s="1263">
        <f>B23</f>
        <v>111</v>
      </c>
      <c r="R23" s="667" t="s">
        <v>14</v>
      </c>
      <c r="S23" s="668">
        <f>F23</f>
        <v>100</v>
      </c>
      <c r="T23" s="667" t="s">
        <v>14</v>
      </c>
      <c r="U23" s="668">
        <f>H23</f>
        <v>100</v>
      </c>
      <c r="V23" s="667" t="s">
        <v>14</v>
      </c>
      <c r="W23" s="668">
        <f>J23</f>
        <v>100</v>
      </c>
      <c r="X23" s="1265"/>
      <c r="Y23" s="3471"/>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71"/>
      <c r="Q24" s="1263">
        <f t="shared" ref="Q24:Q34" si="11">B24</f>
        <v>111</v>
      </c>
      <c r="R24" s="667" t="s">
        <v>14</v>
      </c>
      <c r="S24" s="668">
        <f>F24</f>
        <v>100</v>
      </c>
      <c r="T24" s="667" t="s">
        <v>14</v>
      </c>
      <c r="U24" s="668">
        <f>H24</f>
        <v>100</v>
      </c>
      <c r="V24" s="667" t="s">
        <v>14</v>
      </c>
      <c r="W24" s="668">
        <f>J24</f>
        <v>100</v>
      </c>
      <c r="X24" s="1265"/>
      <c r="Y24" s="3471"/>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8"/>
      <c r="N25" s="2438"/>
      <c r="O25" s="2539"/>
      <c r="P25" s="3471"/>
      <c r="Q25" s="530">
        <f t="shared" si="11"/>
        <v>111</v>
      </c>
      <c r="R25" s="664" t="s">
        <v>14</v>
      </c>
      <c r="S25" s="665">
        <f>F25</f>
        <v>100</v>
      </c>
      <c r="T25" s="664" t="s">
        <v>14</v>
      </c>
      <c r="U25" s="665">
        <f>H25</f>
        <v>100</v>
      </c>
      <c r="V25" s="664" t="s">
        <v>14</v>
      </c>
      <c r="W25" s="665">
        <f>J25</f>
        <v>100</v>
      </c>
      <c r="X25" s="666"/>
      <c r="Y25" s="3471"/>
      <c r="Z25" s="50">
        <f>Q25</f>
        <v>111</v>
      </c>
      <c r="AA25" s="1264">
        <f>D25/F25</f>
        <v>1</v>
      </c>
      <c r="AB25" s="1264">
        <f>D25/H25</f>
        <v>1</v>
      </c>
      <c r="AC25" s="1264">
        <f>D25/J25</f>
        <v>1</v>
      </c>
    </row>
    <row r="26" spans="1:29" ht="28.5">
      <c r="A26" s="404" t="s">
        <v>1693</v>
      </c>
      <c r="B26" s="60" t="s">
        <v>1837</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94" t="s">
        <v>1695</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75" t="s">
        <v>1695</v>
      </c>
      <c r="Z26" s="1264" t="str">
        <f t="shared" ref="Z26:Z34" si="15">Q26</f>
        <v>公共部分装修</v>
      </c>
      <c r="AA26" s="1264">
        <f t="shared" si="3"/>
        <v>1</v>
      </c>
      <c r="AB26" s="1264">
        <f t="shared" si="4"/>
        <v>1</v>
      </c>
      <c r="AC26" s="1264">
        <f t="shared" si="5"/>
        <v>1</v>
      </c>
    </row>
    <row r="27" spans="1:29" s="408" customFormat="1" ht="15">
      <c r="A27" s="406"/>
      <c r="B27" s="364" t="s">
        <v>1838</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75"/>
      <c r="Q27" s="531" t="str">
        <f t="shared" si="11"/>
        <v>成新率</v>
      </c>
      <c r="R27" s="669" t="s">
        <v>14</v>
      </c>
      <c r="S27" s="670" t="e">
        <f t="shared" si="12"/>
        <v>#N/A</v>
      </c>
      <c r="T27" s="669" t="s">
        <v>14</v>
      </c>
      <c r="U27" s="670" t="e">
        <f t="shared" si="13"/>
        <v>#N/A</v>
      </c>
      <c r="V27" s="669" t="s">
        <v>14</v>
      </c>
      <c r="W27" s="670" t="e">
        <f t="shared" si="14"/>
        <v>#N/A</v>
      </c>
      <c r="X27" s="671"/>
      <c r="Y27" s="3475"/>
      <c r="Z27" s="672" t="str">
        <f t="shared" si="15"/>
        <v>成新率</v>
      </c>
      <c r="AA27" s="1264" t="e">
        <f t="shared" si="3"/>
        <v>#N/A</v>
      </c>
      <c r="AB27" s="1264" t="e">
        <f t="shared" si="4"/>
        <v>#N/A</v>
      </c>
      <c r="AC27" s="1264" t="e">
        <f t="shared" si="5"/>
        <v>#N/A</v>
      </c>
    </row>
    <row r="28" spans="1:29" ht="15">
      <c r="A28" s="409"/>
      <c r="B28" s="364" t="s">
        <v>1839</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75"/>
      <c r="Q28" s="1263" t="str">
        <f t="shared" si="11"/>
        <v>物业等级</v>
      </c>
      <c r="R28" s="667" t="s">
        <v>14</v>
      </c>
      <c r="S28" s="668">
        <f t="shared" si="12"/>
        <v>100</v>
      </c>
      <c r="T28" s="667" t="s">
        <v>14</v>
      </c>
      <c r="U28" s="668">
        <f t="shared" si="13"/>
        <v>100</v>
      </c>
      <c r="V28" s="667" t="s">
        <v>14</v>
      </c>
      <c r="W28" s="668">
        <f t="shared" si="14"/>
        <v>100</v>
      </c>
      <c r="X28" s="1265"/>
      <c r="Y28" s="3475"/>
      <c r="Z28" s="1264" t="str">
        <f t="shared" si="15"/>
        <v>物业等级</v>
      </c>
      <c r="AA28" s="1264">
        <f t="shared" si="3"/>
        <v>1</v>
      </c>
      <c r="AB28" s="1264">
        <f t="shared" si="4"/>
        <v>1</v>
      </c>
      <c r="AC28" s="1264">
        <f t="shared" si="5"/>
        <v>1</v>
      </c>
    </row>
    <row r="29" spans="1:29" ht="15">
      <c r="A29" s="409"/>
      <c r="B29" s="364" t="s">
        <v>1859</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75"/>
      <c r="Q29" s="1263" t="str">
        <f t="shared" si="11"/>
        <v>有无电梯</v>
      </c>
      <c r="R29" s="667" t="s">
        <v>14</v>
      </c>
      <c r="S29" s="668">
        <f t="shared" si="12"/>
        <v>100</v>
      </c>
      <c r="T29" s="667" t="s">
        <v>14</v>
      </c>
      <c r="U29" s="668">
        <f t="shared" si="13"/>
        <v>100</v>
      </c>
      <c r="V29" s="667" t="s">
        <v>14</v>
      </c>
      <c r="W29" s="668">
        <f t="shared" si="14"/>
        <v>100</v>
      </c>
      <c r="X29" s="1265"/>
      <c r="Y29" s="3475"/>
      <c r="Z29" s="1264" t="str">
        <f t="shared" si="15"/>
        <v>有无电梯</v>
      </c>
      <c r="AA29" s="1264">
        <f t="shared" si="3"/>
        <v>1</v>
      </c>
      <c r="AB29" s="1264">
        <f t="shared" si="4"/>
        <v>1</v>
      </c>
      <c r="AC29" s="1264">
        <f t="shared" si="5"/>
        <v>1</v>
      </c>
    </row>
    <row r="30" spans="1:29" ht="15">
      <c r="A30" s="409"/>
      <c r="B30" s="364" t="s">
        <v>1860</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75"/>
      <c r="Q30" s="1263" t="str">
        <f t="shared" si="11"/>
        <v>建筑面积</v>
      </c>
      <c r="R30" s="667" t="s">
        <v>14</v>
      </c>
      <c r="S30" s="668" t="e">
        <f t="shared" si="12"/>
        <v>#N/A</v>
      </c>
      <c r="T30" s="667" t="s">
        <v>14</v>
      </c>
      <c r="U30" s="668" t="e">
        <f t="shared" si="13"/>
        <v>#N/A</v>
      </c>
      <c r="V30" s="667" t="s">
        <v>14</v>
      </c>
      <c r="W30" s="668" t="e">
        <f t="shared" si="14"/>
        <v>#N/A</v>
      </c>
      <c r="X30" s="1265"/>
      <c r="Y30" s="3475"/>
      <c r="Z30" s="1264" t="str">
        <f t="shared" si="15"/>
        <v>建筑面积</v>
      </c>
      <c r="AA30" s="1264" t="e">
        <f t="shared" si="3"/>
        <v>#N/A</v>
      </c>
      <c r="AB30" s="1264" t="e">
        <f t="shared" si="4"/>
        <v>#N/A</v>
      </c>
      <c r="AC30" s="1264" t="e">
        <f t="shared" si="5"/>
        <v>#N/A</v>
      </c>
    </row>
    <row r="31" spans="1:29" s="102" customFormat="1" ht="15">
      <c r="A31" s="410"/>
      <c r="B31" s="364" t="s">
        <v>1861</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8"/>
      <c r="N31" s="2438"/>
      <c r="O31" s="2539"/>
      <c r="P31" s="3475"/>
      <c r="Q31" s="530" t="str">
        <f t="shared" si="11"/>
        <v>是否封闭</v>
      </c>
      <c r="R31" s="664" t="s">
        <v>14</v>
      </c>
      <c r="S31" s="665">
        <f t="shared" si="12"/>
        <v>100</v>
      </c>
      <c r="T31" s="664" t="s">
        <v>14</v>
      </c>
      <c r="U31" s="665">
        <f t="shared" si="13"/>
        <v>100</v>
      </c>
      <c r="V31" s="664" t="s">
        <v>14</v>
      </c>
      <c r="W31" s="665">
        <f t="shared" si="14"/>
        <v>100</v>
      </c>
      <c r="X31" s="666"/>
      <c r="Y31" s="347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75" t="s">
        <v>1695</v>
      </c>
      <c r="Q32" s="1263">
        <f t="shared" si="11"/>
        <v>111</v>
      </c>
      <c r="R32" s="667" t="s">
        <v>14</v>
      </c>
      <c r="S32" s="668">
        <f t="shared" si="12"/>
        <v>100</v>
      </c>
      <c r="T32" s="667" t="s">
        <v>14</v>
      </c>
      <c r="U32" s="668">
        <f t="shared" si="13"/>
        <v>100</v>
      </c>
      <c r="V32" s="667" t="s">
        <v>14</v>
      </c>
      <c r="W32" s="668">
        <f t="shared" si="14"/>
        <v>100</v>
      </c>
      <c r="X32" s="1265"/>
      <c r="Y32" s="3475" t="s">
        <v>1695</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75"/>
      <c r="Q33" s="1263">
        <f t="shared" si="11"/>
        <v>111</v>
      </c>
      <c r="R33" s="667" t="s">
        <v>14</v>
      </c>
      <c r="S33" s="668">
        <f t="shared" si="12"/>
        <v>100</v>
      </c>
      <c r="T33" s="667" t="s">
        <v>14</v>
      </c>
      <c r="U33" s="668">
        <f t="shared" si="13"/>
        <v>100</v>
      </c>
      <c r="V33" s="667" t="s">
        <v>14</v>
      </c>
      <c r="W33" s="668">
        <f t="shared" si="14"/>
        <v>100</v>
      </c>
      <c r="X33" s="1265"/>
      <c r="Y33" s="3475"/>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475"/>
      <c r="Q34" s="1263">
        <f t="shared" si="11"/>
        <v>111</v>
      </c>
      <c r="R34" s="667" t="s">
        <v>14</v>
      </c>
      <c r="S34" s="668">
        <f t="shared" si="12"/>
        <v>100</v>
      </c>
      <c r="T34" s="667" t="s">
        <v>14</v>
      </c>
      <c r="U34" s="668">
        <f t="shared" si="13"/>
        <v>100</v>
      </c>
      <c r="V34" s="667" t="s">
        <v>14</v>
      </c>
      <c r="W34" s="668">
        <f t="shared" si="14"/>
        <v>100</v>
      </c>
      <c r="X34" s="1265"/>
      <c r="Y34" s="3475"/>
      <c r="Z34" s="1264">
        <f t="shared" si="15"/>
        <v>111</v>
      </c>
      <c r="AA34" s="1264">
        <f t="shared" si="3"/>
        <v>1</v>
      </c>
      <c r="AB34" s="1264">
        <f t="shared" si="4"/>
        <v>1</v>
      </c>
      <c r="AC34" s="1264">
        <f t="shared" si="5"/>
        <v>1</v>
      </c>
    </row>
    <row r="35" spans="1:30" ht="15">
      <c r="A35" s="416" t="s">
        <v>1707</v>
      </c>
      <c r="B35" s="417"/>
      <c r="C35" s="1081" t="s">
        <v>0</v>
      </c>
      <c r="D35" s="418"/>
      <c r="E35" s="419"/>
      <c r="F35" s="420"/>
      <c r="G35" s="421"/>
      <c r="H35" s="422"/>
      <c r="I35" s="419"/>
      <c r="J35" s="422"/>
      <c r="K35" s="674"/>
      <c r="L35" s="2493"/>
      <c r="M35" s="2486"/>
      <c r="N35" s="2486"/>
      <c r="O35" s="2486"/>
      <c r="P35" s="3469" t="str">
        <f>A35</f>
        <v>成交单价（元/平方米）</v>
      </c>
      <c r="Q35" s="3469"/>
      <c r="R35" s="3464">
        <f>E35</f>
        <v>0</v>
      </c>
      <c r="S35" s="3464"/>
      <c r="T35" s="3464">
        <f>G35</f>
        <v>0</v>
      </c>
      <c r="U35" s="3464"/>
      <c r="V35" s="3464">
        <f>I35</f>
        <v>0</v>
      </c>
      <c r="W35" s="3464"/>
      <c r="X35" s="385"/>
      <c r="Y35" s="673"/>
      <c r="Z35" s="385"/>
      <c r="AA35" s="385"/>
      <c r="AB35" s="385"/>
      <c r="AC35" s="385"/>
    </row>
    <row r="36" spans="1:30" ht="15.75" thickBot="1">
      <c r="A36" s="423" t="s">
        <v>1792</v>
      </c>
      <c r="B36" s="424"/>
      <c r="C36" s="1082" t="e">
        <f>R37</f>
        <v>#DIV/0!</v>
      </c>
      <c r="D36" s="2141" t="s">
        <v>2137</v>
      </c>
      <c r="E36" s="1083" t="e">
        <f>R36</f>
        <v>#DIV/0!</v>
      </c>
      <c r="F36" s="2142"/>
      <c r="G36" s="1082" t="e">
        <f>T36</f>
        <v>#DIV/0!</v>
      </c>
      <c r="H36" s="2142"/>
      <c r="I36" s="1083" t="e">
        <f>V36</f>
        <v>#DIV/0!</v>
      </c>
      <c r="J36" s="2142"/>
      <c r="K36" s="2144">
        <f>F36+H36+J36</f>
        <v>0</v>
      </c>
      <c r="L36" s="2493"/>
      <c r="M36" s="2486"/>
      <c r="N36" s="2486"/>
      <c r="O36" s="2486"/>
      <c r="P36" s="3469" t="str">
        <f>A36</f>
        <v>比较价值（元/平方米）</v>
      </c>
      <c r="Q36" s="3469"/>
      <c r="R36" s="3464" t="e">
        <f>IF(F1="售价",ROUND(PRODUCT(R35,AA7:AA34),0),ROUND(PRODUCT(R35,AA7:AA34),1))</f>
        <v>#DIV/0!</v>
      </c>
      <c r="S36" s="3464"/>
      <c r="T36" s="3464" t="e">
        <f>IF(F1="售价",ROUND(PRODUCT(T35,AB7:AB34),0),ROUND(PRODUCT(T35,AB7:AB34),1))</f>
        <v>#DIV/0!</v>
      </c>
      <c r="U36" s="3464"/>
      <c r="V36" s="3464" t="e">
        <f>IF(F1="售价",ROUND(PRODUCT(V35,AC7:AC34),0),ROUND(PRODUCT(V35,AC7:AC34),1))</f>
        <v>#DIV/0!</v>
      </c>
      <c r="W36" s="3464"/>
      <c r="X36" s="385"/>
      <c r="Y36" s="385"/>
      <c r="Z36" s="385"/>
      <c r="AA36" s="385"/>
      <c r="AB36" s="385"/>
      <c r="AC36" s="385"/>
    </row>
    <row r="37" spans="1:30" ht="15.75" thickBot="1">
      <c r="A37" s="427" t="s">
        <v>1793</v>
      </c>
      <c r="B37" s="428"/>
      <c r="C37" s="351" t="e">
        <f>R37</f>
        <v>#DIV/0!</v>
      </c>
      <c r="D37" s="351"/>
      <c r="E37" s="351"/>
      <c r="F37" s="351"/>
      <c r="G37" s="351"/>
      <c r="H37" s="351"/>
      <c r="I37" s="351"/>
      <c r="J37" s="351"/>
      <c r="K37" s="675"/>
      <c r="L37" s="2493"/>
      <c r="M37" s="2486"/>
      <c r="N37" s="2486"/>
      <c r="O37" s="2486"/>
      <c r="P37" s="3466" t="str">
        <f>A37</f>
        <v>估价对象XX用房的比较价值（楼面单价，元/平方米）</v>
      </c>
      <c r="Q37" s="3467"/>
      <c r="R37" s="3495" t="e">
        <f>IF(F1="售价",ROUND(IF(D36="简单平均",AVERAGE(R36:W36),R36*F36+T36*H36+V36*J36),0),ROUND(IF(D36="简单平均",AVERAGE(R36:V36),R36*F36+T36*H36+V36*J36),1))</f>
        <v>#DIV/0!</v>
      </c>
      <c r="S37" s="3495"/>
      <c r="T37" s="3495"/>
      <c r="U37" s="3495"/>
      <c r="V37" s="3495"/>
      <c r="W37" s="3495"/>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1794</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1795</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1796</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8" t="s">
        <v>1797</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5">
      <c r="A46" s="440" t="s">
        <v>1678</v>
      </c>
      <c r="B46" s="441"/>
      <c r="C46" s="1103" t="str">
        <f>YEAR(C7)&amp;"-"&amp;MONTH(C7)</f>
        <v>2023-5</v>
      </c>
      <c r="D46" s="1104">
        <f>EDATE(C46,-1)</f>
        <v>45017</v>
      </c>
      <c r="E46" s="1104">
        <f t="shared" ref="E46:O46" si="16">EDATE(D46,-1)</f>
        <v>44986</v>
      </c>
      <c r="F46" s="1104">
        <f t="shared" si="16"/>
        <v>44958</v>
      </c>
      <c r="G46" s="1104">
        <f t="shared" si="16"/>
        <v>44927</v>
      </c>
      <c r="H46" s="1104">
        <f t="shared" si="16"/>
        <v>44896</v>
      </c>
      <c r="I46" s="1104">
        <f t="shared" si="16"/>
        <v>44866</v>
      </c>
      <c r="J46" s="1104">
        <f t="shared" si="16"/>
        <v>44835</v>
      </c>
      <c r="K46" s="1104">
        <f t="shared" si="16"/>
        <v>44805</v>
      </c>
      <c r="L46" s="1104">
        <f t="shared" si="16"/>
        <v>44774</v>
      </c>
      <c r="M46" s="1104">
        <f t="shared" si="16"/>
        <v>44743</v>
      </c>
      <c r="N46" s="1104">
        <f t="shared" si="16"/>
        <v>44713</v>
      </c>
      <c r="O46" s="1104">
        <f t="shared" si="16"/>
        <v>44682</v>
      </c>
      <c r="P46" s="2509"/>
      <c r="Q46" s="2509"/>
      <c r="R46" s="2509"/>
      <c r="S46" s="2509"/>
      <c r="T46" s="2509"/>
      <c r="U46" s="2509"/>
      <c r="V46" s="2509"/>
      <c r="W46" s="2509"/>
      <c r="X46" s="2509"/>
      <c r="Y46" s="2509"/>
      <c r="Z46" s="2509"/>
      <c r="AA46" s="2509"/>
      <c r="AB46" s="2509"/>
      <c r="AC46" s="2509"/>
      <c r="AD46" s="2509"/>
    </row>
    <row r="47" spans="1:30" s="102" customFormat="1" ht="15">
      <c r="A47" s="443"/>
      <c r="B47" s="444"/>
      <c r="C47" s="1102">
        <v>100</v>
      </c>
      <c r="D47" s="446"/>
      <c r="E47" s="446"/>
      <c r="F47" s="446"/>
      <c r="G47" s="446"/>
      <c r="H47" s="446"/>
      <c r="I47" s="446"/>
      <c r="J47" s="446"/>
      <c r="K47" s="446"/>
      <c r="L47" s="446"/>
      <c r="M47" s="447"/>
      <c r="N47" s="446"/>
      <c r="O47" s="448"/>
      <c r="P47" s="2507"/>
      <c r="Q47" s="2438"/>
      <c r="R47" s="2438"/>
      <c r="S47" s="2438"/>
      <c r="T47" s="2438"/>
      <c r="U47" s="2438"/>
      <c r="V47" s="2438"/>
      <c r="W47" s="2438"/>
      <c r="X47" s="2438"/>
      <c r="Y47" s="2438"/>
      <c r="Z47" s="2438"/>
      <c r="AA47" s="2438"/>
      <c r="AB47" s="2438"/>
      <c r="AC47" s="2438"/>
      <c r="AD47" s="2438"/>
    </row>
    <row r="48" spans="1:30" s="102" customFormat="1" ht="15.75" thickBot="1">
      <c r="A48" s="449" t="s">
        <v>1715</v>
      </c>
      <c r="B48" s="450"/>
      <c r="C48" s="451"/>
      <c r="D48" s="452"/>
      <c r="E48" s="452"/>
      <c r="F48" s="452"/>
      <c r="G48" s="452"/>
      <c r="H48" s="452"/>
      <c r="I48" s="452"/>
      <c r="J48" s="452"/>
      <c r="K48" s="452"/>
      <c r="L48" s="452"/>
      <c r="M48" s="453"/>
      <c r="N48" s="452"/>
      <c r="O48" s="454"/>
      <c r="P48" s="2507"/>
      <c r="Q48" s="2507"/>
      <c r="R48" s="2438"/>
      <c r="S48" s="2438"/>
      <c r="T48" s="2438"/>
      <c r="U48" s="2438"/>
      <c r="V48" s="2438"/>
      <c r="W48" s="2438"/>
      <c r="X48" s="2438"/>
      <c r="Y48" s="2438"/>
      <c r="Z48" s="2438"/>
      <c r="AA48" s="2438"/>
      <c r="AB48" s="2438"/>
      <c r="AC48" s="2438"/>
      <c r="AD48" s="2438"/>
    </row>
    <row r="49" spans="1:30" s="102" customFormat="1" ht="15">
      <c r="A49" s="455" t="s">
        <v>1680</v>
      </c>
      <c r="B49" s="444"/>
      <c r="C49" s="456" t="s">
        <v>1775</v>
      </c>
      <c r="D49" s="31"/>
      <c r="E49" s="31"/>
      <c r="F49" s="31"/>
      <c r="G49" s="31"/>
      <c r="H49" s="31"/>
      <c r="I49" s="31"/>
      <c r="J49" s="31"/>
      <c r="K49" s="31"/>
      <c r="L49" s="457"/>
      <c r="M49" s="458"/>
      <c r="N49" s="2519"/>
      <c r="O49" s="2519"/>
      <c r="P49" s="2543"/>
      <c r="Q49" s="2507"/>
      <c r="R49" s="2438"/>
      <c r="S49" s="2438"/>
      <c r="T49" s="2438"/>
      <c r="U49" s="2438"/>
      <c r="V49" s="2438"/>
      <c r="W49" s="2438"/>
      <c r="X49" s="2438"/>
      <c r="Y49" s="2438"/>
      <c r="Z49" s="2438"/>
      <c r="AA49" s="2438"/>
      <c r="AB49" s="2438"/>
      <c r="AC49" s="2438"/>
      <c r="AD49" s="2438"/>
    </row>
    <row r="50" spans="1:30" s="102" customFormat="1" ht="15.75" thickBot="1">
      <c r="A50" s="455"/>
      <c r="B50" s="444"/>
      <c r="C50" s="563">
        <v>100</v>
      </c>
      <c r="D50" s="446"/>
      <c r="E50" s="446"/>
      <c r="F50" s="446"/>
      <c r="G50" s="446"/>
      <c r="H50" s="446"/>
      <c r="I50" s="446"/>
      <c r="J50" s="446"/>
      <c r="K50" s="446"/>
      <c r="L50" s="446"/>
      <c r="M50" s="448"/>
      <c r="N50" s="2519"/>
      <c r="O50" s="2519"/>
      <c r="P50" s="2507"/>
      <c r="Q50" s="2507"/>
      <c r="R50" s="2438"/>
      <c r="S50" s="2438"/>
      <c r="T50" s="2438"/>
      <c r="U50" s="2438"/>
      <c r="V50" s="2438"/>
      <c r="W50" s="2438"/>
      <c r="X50" s="2438"/>
      <c r="Y50" s="2438"/>
      <c r="Z50" s="2438"/>
      <c r="AA50" s="2438"/>
      <c r="AB50" s="2438"/>
      <c r="AC50" s="2438"/>
      <c r="AD50" s="2438"/>
    </row>
    <row r="51" spans="1:30">
      <c r="A51" s="379" t="s">
        <v>1718</v>
      </c>
      <c r="B51" s="460" t="s">
        <v>1684</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5.7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7.75" thickTop="1">
      <c r="A53" s="367"/>
      <c r="B53" s="469" t="s">
        <v>1687</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5.7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5.7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5.7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5.7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5.7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5.7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5.7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1689</v>
      </c>
      <c r="B61" s="460" t="s">
        <v>1725</v>
      </c>
      <c r="C61" s="504" t="s">
        <v>1720</v>
      </c>
      <c r="D61" s="504" t="s">
        <v>1721</v>
      </c>
      <c r="E61" s="504" t="s">
        <v>1722</v>
      </c>
      <c r="F61" s="504" t="s">
        <v>1723</v>
      </c>
      <c r="G61" s="504" t="s">
        <v>1724</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7.75" thickTop="1">
      <c r="A63" s="367"/>
      <c r="B63" s="469" t="s">
        <v>1862</v>
      </c>
      <c r="C63" s="509" t="s">
        <v>1720</v>
      </c>
      <c r="D63" s="509" t="s">
        <v>1721</v>
      </c>
      <c r="E63" s="509" t="s">
        <v>1722</v>
      </c>
      <c r="F63" s="509" t="s">
        <v>1723</v>
      </c>
      <c r="G63" s="509" t="s">
        <v>1724</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75" thickTop="1">
      <c r="A65" s="367"/>
      <c r="B65" s="477" t="s">
        <v>1812</v>
      </c>
      <c r="C65" s="581" t="s">
        <v>1798</v>
      </c>
      <c r="D65" s="581" t="s">
        <v>1799</v>
      </c>
      <c r="E65" s="581" t="s">
        <v>1800</v>
      </c>
      <c r="F65" s="581" t="s">
        <v>1801</v>
      </c>
      <c r="G65" s="581" t="s">
        <v>1802</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75" thickTop="1">
      <c r="A67" s="367"/>
      <c r="B67" s="469" t="s">
        <v>1732</v>
      </c>
      <c r="C67" s="509" t="s">
        <v>1720</v>
      </c>
      <c r="D67" s="509" t="s">
        <v>1721</v>
      </c>
      <c r="E67" s="509" t="s">
        <v>1722</v>
      </c>
      <c r="F67" s="509" t="s">
        <v>1723</v>
      </c>
      <c r="G67" s="509" t="s">
        <v>1724</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75" thickTop="1">
      <c r="A69" s="367"/>
      <c r="B69" s="469" t="s">
        <v>1851</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5.7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5.75" thickTop="1">
      <c r="A71" s="370"/>
      <c r="B71" s="469">
        <f>B23</f>
        <v>111</v>
      </c>
      <c r="C71" s="480"/>
      <c r="D71" s="480"/>
      <c r="E71" s="480"/>
      <c r="F71" s="480"/>
      <c r="G71" s="485"/>
      <c r="H71" s="485"/>
      <c r="I71" s="485"/>
      <c r="J71" s="485"/>
      <c r="K71" s="485"/>
      <c r="L71" s="510"/>
      <c r="M71" s="511"/>
      <c r="N71" s="2519"/>
      <c r="O71" s="2519"/>
      <c r="P71" s="2519"/>
      <c r="Q71" s="2507"/>
      <c r="R71" s="2438"/>
      <c r="S71" s="2438"/>
      <c r="T71" s="2438"/>
      <c r="U71" s="2438"/>
      <c r="V71" s="2438"/>
      <c r="W71" s="2438"/>
      <c r="X71" s="2438"/>
      <c r="Y71" s="2438"/>
      <c r="Z71" s="2438"/>
      <c r="AA71" s="2438"/>
      <c r="AB71" s="2438"/>
      <c r="AC71" s="2438"/>
      <c r="AD71" s="2438"/>
    </row>
    <row r="72" spans="1:30" s="102" customFormat="1" ht="15.75" thickBot="1">
      <c r="A72" s="370"/>
      <c r="B72" s="474"/>
      <c r="C72" s="491"/>
      <c r="D72" s="467"/>
      <c r="E72" s="467"/>
      <c r="F72" s="467"/>
      <c r="G72" s="467"/>
      <c r="H72" s="467"/>
      <c r="I72" s="467"/>
      <c r="J72" s="467"/>
      <c r="K72" s="467"/>
      <c r="L72" s="467"/>
      <c r="M72" s="468"/>
      <c r="N72" s="2521"/>
      <c r="O72" s="2521"/>
      <c r="P72" s="2519"/>
      <c r="Q72" s="2507"/>
      <c r="R72" s="2438"/>
      <c r="S72" s="2438"/>
      <c r="T72" s="2438"/>
      <c r="U72" s="2438"/>
      <c r="V72" s="2438"/>
      <c r="W72" s="2438"/>
      <c r="X72" s="2438"/>
      <c r="Y72" s="2438"/>
      <c r="Z72" s="2438"/>
      <c r="AA72" s="2438"/>
      <c r="AB72" s="2438"/>
      <c r="AC72" s="2438"/>
      <c r="AD72" s="2438"/>
    </row>
    <row r="73" spans="1:30" s="102" customFormat="1" ht="15.75" thickTop="1">
      <c r="A73" s="370"/>
      <c r="B73" s="469">
        <f>B24</f>
        <v>111</v>
      </c>
      <c r="C73" s="480"/>
      <c r="D73" s="480"/>
      <c r="E73" s="480"/>
      <c r="F73" s="480"/>
      <c r="G73" s="485"/>
      <c r="H73" s="485"/>
      <c r="I73" s="485"/>
      <c r="J73" s="485"/>
      <c r="K73" s="485"/>
      <c r="L73" s="485"/>
      <c r="M73" s="511"/>
      <c r="N73" s="2519"/>
      <c r="O73" s="2519"/>
      <c r="P73" s="2519"/>
      <c r="Q73" s="2507"/>
      <c r="R73" s="2438"/>
      <c r="S73" s="2438"/>
      <c r="T73" s="2438"/>
      <c r="U73" s="2438"/>
      <c r="V73" s="2438"/>
      <c r="W73" s="2438"/>
      <c r="X73" s="2438"/>
      <c r="Y73" s="2438"/>
      <c r="Z73" s="2438"/>
      <c r="AA73" s="2438"/>
      <c r="AB73" s="2438"/>
      <c r="AC73" s="2438"/>
      <c r="AD73" s="2438"/>
    </row>
    <row r="74" spans="1:30" s="102" customFormat="1" ht="15.75" thickBot="1">
      <c r="A74" s="370"/>
      <c r="B74" s="474"/>
      <c r="C74" s="491"/>
      <c r="D74" s="467"/>
      <c r="E74" s="467"/>
      <c r="F74" s="467"/>
      <c r="G74" s="467"/>
      <c r="H74" s="467"/>
      <c r="I74" s="467"/>
      <c r="J74" s="467"/>
      <c r="K74" s="467"/>
      <c r="L74" s="467"/>
      <c r="M74" s="468"/>
      <c r="N74" s="2521"/>
      <c r="O74" s="2521"/>
      <c r="P74" s="2519"/>
      <c r="Q74" s="2507"/>
      <c r="R74" s="2438"/>
      <c r="S74" s="2438"/>
      <c r="T74" s="2438"/>
      <c r="U74" s="2438"/>
      <c r="V74" s="2438"/>
      <c r="W74" s="2438"/>
      <c r="X74" s="2438"/>
      <c r="Y74" s="2438"/>
      <c r="Z74" s="2438"/>
      <c r="AA74" s="2438"/>
      <c r="AB74" s="2438"/>
      <c r="AC74" s="2438"/>
      <c r="AD74" s="2438"/>
    </row>
    <row r="75" spans="1:30" s="408" customFormat="1" ht="15.7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5.7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1693</v>
      </c>
      <c r="B77" s="460" t="s">
        <v>1739</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75" thickTop="1">
      <c r="A79" s="367"/>
      <c r="B79" s="469" t="s">
        <v>1854</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ht="15">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1855</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1863</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1864</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5.7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1865</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5.7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5.7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5.7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5.7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H3" sqref="H3"/>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1866</v>
      </c>
      <c r="B1" s="340"/>
      <c r="C1" s="341" t="s">
        <v>1867</v>
      </c>
      <c r="D1" s="651"/>
      <c r="E1" s="651"/>
      <c r="F1" s="650" t="s">
        <v>1766</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1461</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1463</v>
      </c>
      <c r="B3" s="536" t="e">
        <f>ROUND(IF(D3="",B2*10000/'数据-汇总表'!E3,B2*10000/D3),0)</f>
        <v>#DIV/0!</v>
      </c>
      <c r="C3" s="195" t="s">
        <v>1868</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1768</v>
      </c>
      <c r="B4" s="346"/>
      <c r="C4" s="3452" t="s">
        <v>1769</v>
      </c>
      <c r="D4" s="3453"/>
      <c r="E4" s="3454" t="s">
        <v>1770</v>
      </c>
      <c r="F4" s="3455"/>
      <c r="G4" s="3452" t="s">
        <v>1771</v>
      </c>
      <c r="H4" s="3453"/>
      <c r="I4" s="3452" t="s">
        <v>1772</v>
      </c>
      <c r="J4" s="3453"/>
      <c r="K4" s="537" t="s">
        <v>1773</v>
      </c>
      <c r="L4" s="2485"/>
      <c r="M4" s="2486"/>
      <c r="N4" s="2486"/>
      <c r="O4" s="2486"/>
      <c r="P4" s="3456" t="s">
        <v>1774</v>
      </c>
      <c r="Q4" s="3457"/>
      <c r="R4" s="3439" t="s">
        <v>1770</v>
      </c>
      <c r="S4" s="3440"/>
      <c r="T4" s="3439" t="s">
        <v>1771</v>
      </c>
      <c r="U4" s="3440"/>
      <c r="V4" s="3464" t="s">
        <v>1772</v>
      </c>
      <c r="W4" s="3464"/>
      <c r="X4" s="1265"/>
      <c r="Y4" s="3439" t="s">
        <v>1774</v>
      </c>
      <c r="Z4" s="3440"/>
      <c r="AA4" s="3434" t="s">
        <v>1770</v>
      </c>
      <c r="AB4" s="3435" t="s">
        <v>1771</v>
      </c>
      <c r="AC4" s="3434" t="s">
        <v>1772</v>
      </c>
    </row>
    <row r="5" spans="1:29" ht="15">
      <c r="A5" s="348"/>
      <c r="B5" s="349"/>
      <c r="C5" s="3445" t="s">
        <v>1672</v>
      </c>
      <c r="D5" s="3446"/>
      <c r="E5" s="3443" t="s">
        <v>1673</v>
      </c>
      <c r="F5" s="3444"/>
      <c r="G5" s="3445" t="s">
        <v>1674</v>
      </c>
      <c r="H5" s="3446"/>
      <c r="I5" s="3445" t="s">
        <v>1675</v>
      </c>
      <c r="J5" s="3446"/>
      <c r="K5" s="537"/>
      <c r="L5" s="2485"/>
      <c r="M5" s="2486"/>
      <c r="N5" s="2486"/>
      <c r="O5" s="2486"/>
      <c r="P5" s="3458"/>
      <c r="Q5" s="3459"/>
      <c r="R5" s="3441"/>
      <c r="S5" s="3442"/>
      <c r="T5" s="3441"/>
      <c r="U5" s="3442"/>
      <c r="V5" s="3464"/>
      <c r="W5" s="3464"/>
      <c r="X5" s="1265"/>
      <c r="Y5" s="3441"/>
      <c r="Z5" s="3442"/>
      <c r="AA5" s="3435"/>
      <c r="AB5" s="3435"/>
      <c r="AC5" s="3435"/>
    </row>
    <row r="6" spans="1:29" ht="15.75" thickBot="1">
      <c r="A6" s="350"/>
      <c r="B6" s="351"/>
      <c r="C6" s="3447" t="s">
        <v>1676</v>
      </c>
      <c r="D6" s="3448"/>
      <c r="E6" s="3449" t="s">
        <v>1676</v>
      </c>
      <c r="F6" s="3450"/>
      <c r="G6" s="3447" t="s">
        <v>1676</v>
      </c>
      <c r="H6" s="3448"/>
      <c r="I6" s="3447" t="s">
        <v>1676</v>
      </c>
      <c r="J6" s="3448"/>
      <c r="K6" s="537" t="s">
        <v>1677</v>
      </c>
      <c r="L6" s="2485"/>
      <c r="M6" s="2486"/>
      <c r="N6" s="2486"/>
      <c r="O6" s="2486"/>
      <c r="P6" s="3460"/>
      <c r="Q6" s="3461"/>
      <c r="R6" s="3441"/>
      <c r="S6" s="3442"/>
      <c r="T6" s="3462"/>
      <c r="U6" s="3463"/>
      <c r="V6" s="3464"/>
      <c r="W6" s="3464"/>
      <c r="X6" s="1265"/>
      <c r="Y6" s="3462"/>
      <c r="Z6" s="3463"/>
      <c r="AA6" s="3436"/>
      <c r="AB6" s="3436"/>
      <c r="AC6" s="3436"/>
    </row>
    <row r="7" spans="1:29" s="102" customFormat="1" ht="15.75" thickBot="1">
      <c r="A7" s="352" t="s">
        <v>1678</v>
      </c>
      <c r="B7" s="353"/>
      <c r="C7" s="354">
        <f>'数据-取费表'!B2</f>
        <v>45051</v>
      </c>
      <c r="D7" s="355">
        <v>100</v>
      </c>
      <c r="E7" s="356"/>
      <c r="F7" s="357">
        <f>SUMIF(69:69,YEAR(E7)&amp;"-"&amp;INT((MONTH(E7)+2)/3),70:70)</f>
        <v>0</v>
      </c>
      <c r="G7" s="1822"/>
      <c r="H7" s="355">
        <f>SUMIF(69:69,YEAR(G7)&amp;"-"&amp;INT((MONTH(G7)+2)/3),70:70)</f>
        <v>0</v>
      </c>
      <c r="I7" s="1822"/>
      <c r="J7" s="355">
        <f>SUMIF(69:69,YEAR(I7)&amp;"-"&amp;INT((MONTH(I7)+2)/3),70:70)</f>
        <v>0</v>
      </c>
      <c r="K7" s="38"/>
      <c r="L7" s="2487"/>
      <c r="M7" s="2438"/>
      <c r="N7" s="2438"/>
      <c r="O7" s="2438"/>
      <c r="P7" s="3437" t="s">
        <v>1679</v>
      </c>
      <c r="Q7" s="3465"/>
      <c r="R7" s="664" t="s">
        <v>14</v>
      </c>
      <c r="S7" s="665">
        <f t="shared" ref="S7:S15" si="0">F7</f>
        <v>0</v>
      </c>
      <c r="T7" s="664" t="s">
        <v>14</v>
      </c>
      <c r="U7" s="665">
        <f t="shared" ref="U7:U15" si="1">H7</f>
        <v>0</v>
      </c>
      <c r="V7" s="664" t="s">
        <v>14</v>
      </c>
      <c r="W7" s="665">
        <f t="shared" ref="W7:W15" si="2">J7</f>
        <v>0</v>
      </c>
      <c r="X7" s="666"/>
      <c r="Y7" s="3437" t="s">
        <v>1679</v>
      </c>
      <c r="Z7" s="3438"/>
      <c r="AA7" s="50" t="e">
        <f>D7/F7</f>
        <v>#DIV/0!</v>
      </c>
      <c r="AB7" s="50" t="e">
        <f>D7/H7</f>
        <v>#DIV/0!</v>
      </c>
      <c r="AC7" s="50" t="e">
        <f>D7/J7</f>
        <v>#DIV/0!</v>
      </c>
    </row>
    <row r="8" spans="1:29" s="102" customFormat="1" ht="15.75" thickBot="1">
      <c r="A8" s="352" t="s">
        <v>1680</v>
      </c>
      <c r="B8" s="353"/>
      <c r="C8" s="358" t="s">
        <v>1681</v>
      </c>
      <c r="D8" s="355">
        <v>100</v>
      </c>
      <c r="E8" s="358"/>
      <c r="F8" s="357">
        <f>SUMIF(72:72,E8,73:73)-SUMIF(72:72,C8,73:73)+100</f>
        <v>0</v>
      </c>
      <c r="G8" s="358"/>
      <c r="H8" s="355">
        <f>SUMIF(72:72,G8,73:73)-SUMIF(72:72,C8,73:73)+100</f>
        <v>0</v>
      </c>
      <c r="I8" s="358"/>
      <c r="J8" s="355">
        <f>SUMIF(72:72,I8,73:73)-SUMIF(72:72,C8,73:73)+100</f>
        <v>0</v>
      </c>
      <c r="K8" s="38"/>
      <c r="L8" s="2487"/>
      <c r="M8" s="2438"/>
      <c r="N8" s="2438"/>
      <c r="O8" s="2438"/>
      <c r="P8" s="3437" t="s">
        <v>1682</v>
      </c>
      <c r="Q8" s="3438"/>
      <c r="R8" s="664" t="s">
        <v>14</v>
      </c>
      <c r="S8" s="665">
        <f t="shared" si="0"/>
        <v>0</v>
      </c>
      <c r="T8" s="664" t="s">
        <v>14</v>
      </c>
      <c r="U8" s="665">
        <f t="shared" si="1"/>
        <v>0</v>
      </c>
      <c r="V8" s="664" t="s">
        <v>14</v>
      </c>
      <c r="W8" s="665">
        <f t="shared" si="2"/>
        <v>0</v>
      </c>
      <c r="X8" s="666"/>
      <c r="Y8" s="3437" t="s">
        <v>1682</v>
      </c>
      <c r="Z8" s="3438"/>
      <c r="AA8" s="50" t="e">
        <f t="shared" ref="AA8:AA45" si="3">D8/F8</f>
        <v>#DIV/0!</v>
      </c>
      <c r="AB8" s="50" t="e">
        <f t="shared" ref="AB8:AB45" si="4">D8/H8</f>
        <v>#DIV/0!</v>
      </c>
      <c r="AC8" s="50" t="e">
        <f t="shared" ref="AC8:AC45" si="5">D8/J8</f>
        <v>#DIV/0!</v>
      </c>
    </row>
    <row r="9" spans="1:29" s="102" customFormat="1">
      <c r="A9" s="359" t="s">
        <v>1683</v>
      </c>
      <c r="B9" s="60" t="s">
        <v>1684</v>
      </c>
      <c r="C9" s="1825"/>
      <c r="D9" s="59">
        <v>100</v>
      </c>
      <c r="E9" s="1825"/>
      <c r="F9" s="59">
        <f>SUMIF(74:74,E9,75:75)-SUMIF(74:74,C9,75:75)+100</f>
        <v>100</v>
      </c>
      <c r="G9" s="1825"/>
      <c r="H9" s="59">
        <f>SUMIF(74:74,G9,75:75)-SUMIF(74:74,C9,75:75)+100</f>
        <v>100</v>
      </c>
      <c r="I9" s="1825"/>
      <c r="J9" s="59">
        <f>SUMIF(74:74,I9,75:75)-SUMIF(74:74,C9,75:75)+100</f>
        <v>100</v>
      </c>
      <c r="K9" s="38"/>
      <c r="L9" s="2487"/>
      <c r="M9" s="2438"/>
      <c r="N9" s="2438"/>
      <c r="O9" s="2539"/>
      <c r="P9" s="3469" t="s">
        <v>1685</v>
      </c>
      <c r="Q9" s="530" t="str">
        <f t="shared" ref="Q9:Q15" si="6">B9</f>
        <v>用途</v>
      </c>
      <c r="R9" s="664" t="s">
        <v>14</v>
      </c>
      <c r="S9" s="665">
        <f t="shared" si="0"/>
        <v>100</v>
      </c>
      <c r="T9" s="664" t="s">
        <v>14</v>
      </c>
      <c r="U9" s="665">
        <f t="shared" si="1"/>
        <v>100</v>
      </c>
      <c r="V9" s="664" t="s">
        <v>14</v>
      </c>
      <c r="W9" s="665">
        <f t="shared" si="2"/>
        <v>100</v>
      </c>
      <c r="X9" s="666"/>
      <c r="Y9" s="3362" t="s">
        <v>1686</v>
      </c>
      <c r="Z9" s="50" t="str">
        <f t="shared" ref="Z9:Z15" si="7">Q9</f>
        <v>用途</v>
      </c>
      <c r="AA9" s="50">
        <f t="shared" si="3"/>
        <v>1</v>
      </c>
      <c r="AB9" s="50">
        <f t="shared" si="4"/>
        <v>1</v>
      </c>
      <c r="AC9" s="50">
        <f t="shared" si="5"/>
        <v>1</v>
      </c>
    </row>
    <row r="10" spans="1:29" s="366" customFormat="1" ht="27">
      <c r="A10" s="363"/>
      <c r="B10" s="364" t="s">
        <v>1687</v>
      </c>
      <c r="C10" s="371"/>
      <c r="D10" s="119">
        <v>100</v>
      </c>
      <c r="E10" s="403"/>
      <c r="F10" s="119">
        <f>ROUND(100/'数据-取费表'!G16,0)</f>
        <v>210</v>
      </c>
      <c r="G10" s="402"/>
      <c r="H10" s="119">
        <f>ROUND(100/'数据-取费表'!G16,0)</f>
        <v>210</v>
      </c>
      <c r="I10" s="402"/>
      <c r="J10" s="119">
        <f>ROUND(100/'数据-取费表'!G16,0)</f>
        <v>210</v>
      </c>
      <c r="K10" s="592"/>
      <c r="L10" s="2488"/>
      <c r="M10" s="2489"/>
      <c r="N10" s="2489"/>
      <c r="O10" s="2540"/>
      <c r="P10" s="3469"/>
      <c r="Q10" s="530" t="str">
        <f t="shared" si="6"/>
        <v>土地使用年限（年）</v>
      </c>
      <c r="R10" s="664" t="s">
        <v>14</v>
      </c>
      <c r="S10" s="665">
        <f t="shared" si="0"/>
        <v>210</v>
      </c>
      <c r="T10" s="664" t="s">
        <v>14</v>
      </c>
      <c r="U10" s="665">
        <f t="shared" si="1"/>
        <v>210</v>
      </c>
      <c r="V10" s="664" t="s">
        <v>14</v>
      </c>
      <c r="W10" s="665">
        <f t="shared" si="2"/>
        <v>210</v>
      </c>
      <c r="X10" s="666"/>
      <c r="Y10" s="3362"/>
      <c r="Z10" s="50" t="str">
        <f t="shared" si="7"/>
        <v>土地使用年限（年）</v>
      </c>
      <c r="AA10" s="50">
        <f t="shared" si="3"/>
        <v>0.47619047619047616</v>
      </c>
      <c r="AB10" s="50">
        <f t="shared" si="4"/>
        <v>0.47619047619047616</v>
      </c>
      <c r="AC10" s="50">
        <f t="shared" si="5"/>
        <v>0.47619047619047616</v>
      </c>
    </row>
    <row r="11" spans="1:29" ht="15">
      <c r="A11" s="367"/>
      <c r="B11" s="364" t="s">
        <v>1688</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469"/>
      <c r="Q11" s="530" t="str">
        <f t="shared" si="6"/>
        <v>容积率</v>
      </c>
      <c r="R11" s="664" t="s">
        <v>14</v>
      </c>
      <c r="S11" s="665" t="e">
        <f t="shared" si="0"/>
        <v>#N/A</v>
      </c>
      <c r="T11" s="664" t="s">
        <v>14</v>
      </c>
      <c r="U11" s="665" t="e">
        <f t="shared" si="1"/>
        <v>#N/A</v>
      </c>
      <c r="V11" s="664" t="s">
        <v>14</v>
      </c>
      <c r="W11" s="665" t="e">
        <f t="shared" si="2"/>
        <v>#N/A</v>
      </c>
      <c r="X11" s="666"/>
      <c r="Y11" s="3362"/>
      <c r="Z11" s="50" t="str">
        <f t="shared" si="7"/>
        <v>容积率</v>
      </c>
      <c r="AA11" s="50" t="e">
        <f t="shared" si="3"/>
        <v>#N/A</v>
      </c>
      <c r="AB11" s="50" t="e">
        <f t="shared" si="4"/>
        <v>#N/A</v>
      </c>
      <c r="AC11" s="50" t="e">
        <f t="shared" si="5"/>
        <v>#N/A</v>
      </c>
    </row>
    <row r="12" spans="1:29" s="102" customFormat="1" ht="15">
      <c r="A12" s="370"/>
      <c r="B12" s="447" t="s">
        <v>1869</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8"/>
      <c r="N12" s="2438"/>
      <c r="O12" s="2539"/>
      <c r="P12" s="3469"/>
      <c r="Q12" s="530" t="str">
        <f t="shared" si="6"/>
        <v>配建</v>
      </c>
      <c r="R12" s="664" t="s">
        <v>14</v>
      </c>
      <c r="S12" s="665">
        <f t="shared" si="0"/>
        <v>100</v>
      </c>
      <c r="T12" s="664" t="s">
        <v>14</v>
      </c>
      <c r="U12" s="665">
        <f t="shared" si="1"/>
        <v>100</v>
      </c>
      <c r="V12" s="664" t="s">
        <v>14</v>
      </c>
      <c r="W12" s="665">
        <f t="shared" si="2"/>
        <v>100</v>
      </c>
      <c r="X12" s="666"/>
      <c r="Y12" s="336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469"/>
      <c r="Q13" s="530">
        <f t="shared" si="6"/>
        <v>111</v>
      </c>
      <c r="R13" s="664" t="s">
        <v>14</v>
      </c>
      <c r="S13" s="665">
        <f t="shared" si="0"/>
        <v>100</v>
      </c>
      <c r="T13" s="664" t="s">
        <v>14</v>
      </c>
      <c r="U13" s="665">
        <f t="shared" si="1"/>
        <v>100</v>
      </c>
      <c r="V13" s="664" t="s">
        <v>14</v>
      </c>
      <c r="W13" s="665">
        <f t="shared" si="2"/>
        <v>100</v>
      </c>
      <c r="X13" s="666"/>
      <c r="Y13" s="3362"/>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469"/>
      <c r="Q14" s="530">
        <f t="shared" si="6"/>
        <v>111</v>
      </c>
      <c r="R14" s="664" t="s">
        <v>14</v>
      </c>
      <c r="S14" s="665">
        <f t="shared" si="0"/>
        <v>100</v>
      </c>
      <c r="T14" s="664" t="s">
        <v>14</v>
      </c>
      <c r="U14" s="665">
        <f t="shared" si="1"/>
        <v>100</v>
      </c>
      <c r="V14" s="664" t="s">
        <v>14</v>
      </c>
      <c r="W14" s="665">
        <f t="shared" si="2"/>
        <v>100</v>
      </c>
      <c r="X14" s="666"/>
      <c r="Y14" s="3362"/>
      <c r="Z14" s="50">
        <f t="shared" si="7"/>
        <v>111</v>
      </c>
      <c r="AA14" s="50">
        <f>D14/F14</f>
        <v>1</v>
      </c>
      <c r="AB14" s="50">
        <f>D14/H14</f>
        <v>1</v>
      </c>
      <c r="AC14" s="50">
        <f>D14/J14</f>
        <v>1</v>
      </c>
    </row>
    <row r="15" spans="1:29" ht="15">
      <c r="A15" s="379" t="s">
        <v>1689</v>
      </c>
      <c r="B15" s="58" t="s">
        <v>1256</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470" t="s">
        <v>1690</v>
      </c>
      <c r="Q15" s="1263" t="str">
        <f t="shared" si="6"/>
        <v>居住社区成熟度</v>
      </c>
      <c r="R15" s="667" t="s">
        <v>14</v>
      </c>
      <c r="S15" s="668">
        <f t="shared" si="0"/>
        <v>100</v>
      </c>
      <c r="T15" s="667" t="s">
        <v>14</v>
      </c>
      <c r="U15" s="668">
        <f t="shared" si="1"/>
        <v>100</v>
      </c>
      <c r="V15" s="667" t="s">
        <v>14</v>
      </c>
      <c r="W15" s="668">
        <f t="shared" si="2"/>
        <v>100</v>
      </c>
      <c r="X15" s="1265"/>
      <c r="Y15" s="3470" t="s">
        <v>1690</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471"/>
      <c r="Q16" s="1263"/>
      <c r="R16" s="667"/>
      <c r="S16" s="668"/>
      <c r="T16" s="667"/>
      <c r="U16" s="668"/>
      <c r="V16" s="667"/>
      <c r="W16" s="668"/>
      <c r="X16" s="1265"/>
      <c r="Y16" s="3471"/>
      <c r="Z16" s="1264"/>
      <c r="AA16" s="1264">
        <v>1</v>
      </c>
      <c r="AB16" s="1264">
        <v>1</v>
      </c>
      <c r="AC16" s="1264">
        <v>1</v>
      </c>
    </row>
    <row r="17" spans="1:29" ht="114">
      <c r="A17" s="367"/>
      <c r="B17" s="390" t="s">
        <v>1776</v>
      </c>
      <c r="C17" s="1806" t="str">
        <f>估价对象房地状况!C16</f>
        <v>估价对象位于朝阳门商圈，周边商业氛围成熟，有悠唐购物中心、银河SOHO等购物中心，人流量大，商业繁华度好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471"/>
      <c r="Q17" s="1263" t="str">
        <f>B17</f>
        <v>商业繁华度</v>
      </c>
      <c r="R17" s="667" t="s">
        <v>14</v>
      </c>
      <c r="S17" s="668">
        <f>F17</f>
        <v>100</v>
      </c>
      <c r="T17" s="667" t="s">
        <v>14</v>
      </c>
      <c r="U17" s="668">
        <f>H17</f>
        <v>100</v>
      </c>
      <c r="V17" s="667" t="s">
        <v>14</v>
      </c>
      <c r="W17" s="668">
        <f>J17</f>
        <v>100</v>
      </c>
      <c r="X17" s="1265"/>
      <c r="Y17" s="3471"/>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471"/>
      <c r="Q18" s="1263"/>
      <c r="R18" s="667"/>
      <c r="S18" s="668"/>
      <c r="T18" s="667"/>
      <c r="U18" s="668"/>
      <c r="V18" s="667"/>
      <c r="W18" s="668"/>
      <c r="X18" s="1265"/>
      <c r="Y18" s="3471"/>
      <c r="Z18" s="1264"/>
      <c r="AA18" s="1264">
        <v>1</v>
      </c>
      <c r="AB18" s="1264">
        <v>1</v>
      </c>
      <c r="AC18" s="1264">
        <v>1</v>
      </c>
    </row>
    <row r="19" spans="1:29" ht="15">
      <c r="A19" s="367"/>
      <c r="B19" s="390" t="s">
        <v>1810</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471"/>
      <c r="Q19" s="1263" t="str">
        <f>B19</f>
        <v>办公集聚程度</v>
      </c>
      <c r="R19" s="667" t="s">
        <v>14</v>
      </c>
      <c r="S19" s="668">
        <f>F19</f>
        <v>100</v>
      </c>
      <c r="T19" s="667" t="s">
        <v>14</v>
      </c>
      <c r="U19" s="668">
        <f>H19</f>
        <v>100</v>
      </c>
      <c r="V19" s="667" t="s">
        <v>14</v>
      </c>
      <c r="W19" s="668">
        <f>J19</f>
        <v>100</v>
      </c>
      <c r="X19" s="1265"/>
      <c r="Y19" s="3471"/>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471"/>
      <c r="Q20" s="1263"/>
      <c r="R20" s="667"/>
      <c r="S20" s="668"/>
      <c r="T20" s="667"/>
      <c r="U20" s="668"/>
      <c r="V20" s="667"/>
      <c r="W20" s="668"/>
      <c r="X20" s="1265"/>
      <c r="Y20" s="3471"/>
      <c r="Z20" s="1264"/>
      <c r="AA20" s="1264">
        <v>1</v>
      </c>
      <c r="AB20" s="1264">
        <v>1</v>
      </c>
      <c r="AC20" s="1264">
        <v>1</v>
      </c>
    </row>
    <row r="21" spans="1:29" ht="99.75">
      <c r="A21" s="367"/>
      <c r="B21" s="390" t="s">
        <v>1832</v>
      </c>
      <c r="C21" s="1754" t="str">
        <f>估价对象房地状况!C18</f>
        <v>周边有75、110、420路及地铁2号、6号线，周边道路密集，停车便捷程度，综合评价交通便捷度好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471"/>
      <c r="Q21" s="1263" t="str">
        <f>B21</f>
        <v>交通便捷度</v>
      </c>
      <c r="R21" s="667" t="s">
        <v>14</v>
      </c>
      <c r="S21" s="668">
        <f>F21</f>
        <v>100</v>
      </c>
      <c r="T21" s="667" t="s">
        <v>14</v>
      </c>
      <c r="U21" s="668">
        <f>H21</f>
        <v>100</v>
      </c>
      <c r="V21" s="667" t="s">
        <v>14</v>
      </c>
      <c r="W21" s="668">
        <f>J21</f>
        <v>100</v>
      </c>
      <c r="X21" s="1265"/>
      <c r="Y21" s="3471"/>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471"/>
      <c r="Q22" s="1263"/>
      <c r="R22" s="667"/>
      <c r="S22" s="668"/>
      <c r="T22" s="667"/>
      <c r="U22" s="668"/>
      <c r="V22" s="667"/>
      <c r="W22" s="668"/>
      <c r="X22" s="1265"/>
      <c r="Y22" s="3471"/>
      <c r="Z22" s="1264"/>
      <c r="AA22" s="1264">
        <v>1</v>
      </c>
      <c r="AB22" s="1264">
        <v>1</v>
      </c>
      <c r="AC22" s="1264">
        <v>1</v>
      </c>
    </row>
    <row r="23" spans="1:29" ht="15">
      <c r="A23" s="348"/>
      <c r="B23" s="390" t="s">
        <v>1870</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471"/>
      <c r="Q23" s="1263" t="str">
        <f t="shared" ref="Q23:Q37" si="8">B23</f>
        <v>区域土地利用方向</v>
      </c>
      <c r="R23" s="667" t="s">
        <v>14</v>
      </c>
      <c r="S23" s="668">
        <f>F23</f>
        <v>100</v>
      </c>
      <c r="T23" s="667" t="s">
        <v>14</v>
      </c>
      <c r="U23" s="668">
        <f>H23</f>
        <v>100</v>
      </c>
      <c r="V23" s="667" t="s">
        <v>14</v>
      </c>
      <c r="W23" s="668">
        <f>J23</f>
        <v>100</v>
      </c>
      <c r="X23" s="1265"/>
      <c r="Y23" s="3471"/>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471"/>
      <c r="Q24" s="1263"/>
      <c r="R24" s="667"/>
      <c r="S24" s="668"/>
      <c r="T24" s="667"/>
      <c r="U24" s="668"/>
      <c r="V24" s="667"/>
      <c r="W24" s="668"/>
      <c r="X24" s="1265"/>
      <c r="Y24" s="3471"/>
      <c r="Z24" s="1264"/>
      <c r="AA24" s="1264"/>
      <c r="AB24" s="1264"/>
      <c r="AC24" s="1264"/>
    </row>
    <row r="25" spans="1:29" ht="99.75">
      <c r="A25" s="348"/>
      <c r="B25" s="586" t="s">
        <v>1871</v>
      </c>
      <c r="C25" s="1806" t="str">
        <f>估价对象房地状况!C20</f>
        <v>区域内有东城职业大学、日坛公园、富国海底世界等自然及人文环境，综合评价自然及人文环境状况较好。</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471"/>
      <c r="Q25" s="1263" t="str">
        <f t="shared" si="8"/>
        <v>自然及人文环境状况</v>
      </c>
      <c r="R25" s="667" t="s">
        <v>14</v>
      </c>
      <c r="S25" s="668">
        <f>F25</f>
        <v>100</v>
      </c>
      <c r="T25" s="667" t="s">
        <v>14</v>
      </c>
      <c r="U25" s="668">
        <f>H25</f>
        <v>100</v>
      </c>
      <c r="V25" s="667" t="s">
        <v>14</v>
      </c>
      <c r="W25" s="668">
        <f>J25</f>
        <v>100</v>
      </c>
      <c r="X25" s="1265"/>
      <c r="Y25" s="3471"/>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471"/>
      <c r="Q26" s="1263"/>
      <c r="R26" s="667"/>
      <c r="S26" s="668"/>
      <c r="T26" s="667"/>
      <c r="U26" s="668"/>
      <c r="V26" s="667"/>
      <c r="W26" s="668"/>
      <c r="X26" s="1265"/>
      <c r="Y26" s="3471"/>
      <c r="Z26" s="1264"/>
      <c r="AA26" s="1264">
        <v>1</v>
      </c>
      <c r="AB26" s="1264">
        <v>1</v>
      </c>
      <c r="AC26" s="1264">
        <v>1</v>
      </c>
    </row>
    <row r="27" spans="1:29" s="102" customFormat="1" ht="85.5">
      <c r="A27" s="443"/>
      <c r="B27" s="586" t="s">
        <v>1777</v>
      </c>
      <c r="C27" s="1754" t="str">
        <f>估价对象房地状况!C21</f>
        <v>估价对象所在区域银行、购物场所、学校等公共配套设施齐备，综合评价公共配套设施水平好。</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8"/>
      <c r="N27" s="2438"/>
      <c r="O27" s="2539"/>
      <c r="P27" s="3471"/>
      <c r="Q27" s="530" t="str">
        <f t="shared" si="8"/>
        <v>公共配套设施</v>
      </c>
      <c r="R27" s="664" t="s">
        <v>14</v>
      </c>
      <c r="S27" s="665">
        <f>F27</f>
        <v>100</v>
      </c>
      <c r="T27" s="664" t="s">
        <v>14</v>
      </c>
      <c r="U27" s="665">
        <f>H27</f>
        <v>100</v>
      </c>
      <c r="V27" s="664" t="s">
        <v>14</v>
      </c>
      <c r="W27" s="665">
        <f>J27</f>
        <v>100</v>
      </c>
      <c r="X27" s="666"/>
      <c r="Y27" s="3471"/>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8"/>
      <c r="N28" s="2438"/>
      <c r="O28" s="2539"/>
      <c r="P28" s="3471"/>
      <c r="Q28" s="530"/>
      <c r="R28" s="664"/>
      <c r="S28" s="665"/>
      <c r="T28" s="664"/>
      <c r="U28" s="665"/>
      <c r="V28" s="664"/>
      <c r="W28" s="665"/>
      <c r="X28" s="666"/>
      <c r="Y28" s="3471"/>
      <c r="Z28" s="50"/>
      <c r="AA28" s="1264">
        <v>1</v>
      </c>
      <c r="AB28" s="1264">
        <v>1</v>
      </c>
      <c r="AC28" s="1264">
        <v>1</v>
      </c>
    </row>
    <row r="29" spans="1:29" s="102" customFormat="1" ht="42.75">
      <c r="A29" s="443"/>
      <c r="B29" s="586" t="s">
        <v>1778</v>
      </c>
      <c r="C29" s="1754" t="str">
        <f>估价对象房地状况!C22</f>
        <v>估价对象所在区域基础设施水平“七通一平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8"/>
      <c r="N29" s="2438"/>
      <c r="O29" s="2539"/>
      <c r="P29" s="3471"/>
      <c r="Q29" s="530" t="str">
        <f t="shared" ref="Q29" si="9">B29</f>
        <v>基础设施水平</v>
      </c>
      <c r="R29" s="664" t="s">
        <v>14</v>
      </c>
      <c r="S29" s="665">
        <f>F29</f>
        <v>100</v>
      </c>
      <c r="T29" s="664" t="s">
        <v>14</v>
      </c>
      <c r="U29" s="665">
        <f>H29</f>
        <v>100</v>
      </c>
      <c r="V29" s="664" t="s">
        <v>14</v>
      </c>
      <c r="W29" s="665">
        <f>J29</f>
        <v>100</v>
      </c>
      <c r="X29" s="666"/>
      <c r="Y29" s="3471"/>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8"/>
      <c r="N30" s="2438"/>
      <c r="O30" s="2539"/>
      <c r="P30" s="3471"/>
      <c r="Q30" s="530"/>
      <c r="R30" s="664"/>
      <c r="S30" s="665"/>
      <c r="T30" s="664"/>
      <c r="U30" s="665"/>
      <c r="V30" s="664"/>
      <c r="W30" s="665"/>
      <c r="X30" s="666"/>
      <c r="Y30" s="3471"/>
      <c r="Z30" s="50"/>
      <c r="AA30" s="1264">
        <v>1</v>
      </c>
      <c r="AB30" s="1264">
        <v>1</v>
      </c>
      <c r="AC30" s="1264">
        <v>1</v>
      </c>
    </row>
    <row r="31" spans="1:29" ht="15">
      <c r="A31" s="367"/>
      <c r="B31" s="395" t="s">
        <v>1779</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7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71"/>
      <c r="Z31" s="1264" t="str">
        <f t="shared" ref="Z31:Z45" si="13">Q31</f>
        <v>临街状况</v>
      </c>
      <c r="AA31" s="1264">
        <f t="shared" si="3"/>
        <v>1</v>
      </c>
      <c r="AB31" s="1264">
        <f t="shared" si="4"/>
        <v>1</v>
      </c>
      <c r="AC31" s="1264">
        <f t="shared" si="5"/>
        <v>1</v>
      </c>
    </row>
    <row r="32" spans="1:29" ht="27">
      <c r="A32" s="367"/>
      <c r="B32" s="586" t="s">
        <v>1814</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471"/>
      <c r="Q32" s="1263" t="str">
        <f t="shared" si="8"/>
        <v>毗邻道路的类型与等级</v>
      </c>
      <c r="R32" s="667" t="s">
        <v>14</v>
      </c>
      <c r="S32" s="668">
        <f t="shared" si="10"/>
        <v>100</v>
      </c>
      <c r="T32" s="667" t="s">
        <v>14</v>
      </c>
      <c r="U32" s="668">
        <f t="shared" si="11"/>
        <v>100</v>
      </c>
      <c r="V32" s="667" t="s">
        <v>14</v>
      </c>
      <c r="W32" s="668">
        <f t="shared" si="12"/>
        <v>100</v>
      </c>
      <c r="X32" s="1265"/>
      <c r="Y32" s="3471"/>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471"/>
      <c r="Q33" s="1263"/>
      <c r="R33" s="667"/>
      <c r="S33" s="668"/>
      <c r="T33" s="667"/>
      <c r="U33" s="668"/>
      <c r="V33" s="667"/>
      <c r="W33" s="668"/>
      <c r="X33" s="1265"/>
      <c r="Y33" s="3471"/>
      <c r="Z33" s="1264"/>
      <c r="AA33" s="1264">
        <v>1</v>
      </c>
      <c r="AB33" s="1264">
        <v>1</v>
      </c>
      <c r="AC33" s="1264">
        <v>1</v>
      </c>
    </row>
    <row r="34" spans="1:29" ht="15">
      <c r="A34" s="367"/>
      <c r="B34" s="364" t="s">
        <v>1872</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71"/>
      <c r="Q34" s="1263" t="str">
        <f t="shared" si="8"/>
        <v>土地级别</v>
      </c>
      <c r="R34" s="667" t="s">
        <v>14</v>
      </c>
      <c r="S34" s="668">
        <f t="shared" si="10"/>
        <v>100</v>
      </c>
      <c r="T34" s="667" t="s">
        <v>14</v>
      </c>
      <c r="U34" s="668">
        <f t="shared" si="11"/>
        <v>100</v>
      </c>
      <c r="V34" s="667" t="s">
        <v>14</v>
      </c>
      <c r="W34" s="668">
        <f t="shared" si="12"/>
        <v>100</v>
      </c>
      <c r="X34" s="1265"/>
      <c r="Y34" s="3471"/>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71"/>
      <c r="Q35" s="1263">
        <f t="shared" si="8"/>
        <v>111</v>
      </c>
      <c r="R35" s="667" t="s">
        <v>14</v>
      </c>
      <c r="S35" s="668">
        <f t="shared" si="10"/>
        <v>100</v>
      </c>
      <c r="T35" s="667" t="s">
        <v>14</v>
      </c>
      <c r="U35" s="668">
        <f t="shared" si="11"/>
        <v>100</v>
      </c>
      <c r="V35" s="667" t="s">
        <v>14</v>
      </c>
      <c r="W35" s="668">
        <f t="shared" si="12"/>
        <v>100</v>
      </c>
      <c r="X35" s="1265"/>
      <c r="Y35" s="3471"/>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94" t="s">
        <v>1695</v>
      </c>
      <c r="Q36" s="1263">
        <f t="shared" si="8"/>
        <v>111</v>
      </c>
      <c r="R36" s="667" t="s">
        <v>14</v>
      </c>
      <c r="S36" s="668">
        <f t="shared" si="10"/>
        <v>100</v>
      </c>
      <c r="T36" s="667" t="s">
        <v>14</v>
      </c>
      <c r="U36" s="668">
        <f t="shared" si="11"/>
        <v>100</v>
      </c>
      <c r="V36" s="667" t="s">
        <v>14</v>
      </c>
      <c r="W36" s="668">
        <f t="shared" si="12"/>
        <v>100</v>
      </c>
      <c r="X36" s="1265"/>
      <c r="Y36" s="3475" t="s">
        <v>1695</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75"/>
      <c r="Q37" s="1263">
        <f t="shared" si="8"/>
        <v>111</v>
      </c>
      <c r="R37" s="669" t="s">
        <v>14</v>
      </c>
      <c r="S37" s="670">
        <f t="shared" si="10"/>
        <v>100</v>
      </c>
      <c r="T37" s="669" t="s">
        <v>14</v>
      </c>
      <c r="U37" s="670">
        <f t="shared" si="11"/>
        <v>100</v>
      </c>
      <c r="V37" s="669" t="s">
        <v>14</v>
      </c>
      <c r="W37" s="670">
        <f t="shared" si="12"/>
        <v>100</v>
      </c>
      <c r="X37" s="671"/>
      <c r="Y37" s="3475"/>
      <c r="Z37" s="672">
        <f t="shared" si="13"/>
        <v>111</v>
      </c>
      <c r="AA37" s="1264">
        <f t="shared" si="3"/>
        <v>1</v>
      </c>
      <c r="AB37" s="1264">
        <f t="shared" si="4"/>
        <v>1</v>
      </c>
      <c r="AC37" s="1264">
        <f t="shared" si="5"/>
        <v>1</v>
      </c>
    </row>
    <row r="38" spans="1:29" ht="15">
      <c r="A38" s="409" t="s">
        <v>1693</v>
      </c>
      <c r="B38" s="395" t="s">
        <v>1873</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75"/>
      <c r="Q38" s="1263" t="str">
        <f>B38</f>
        <v>宗地面积</v>
      </c>
      <c r="R38" s="667" t="s">
        <v>14</v>
      </c>
      <c r="S38" s="668" t="e">
        <f t="shared" si="10"/>
        <v>#N/A</v>
      </c>
      <c r="T38" s="667" t="s">
        <v>14</v>
      </c>
      <c r="U38" s="668" t="e">
        <f t="shared" si="11"/>
        <v>#N/A</v>
      </c>
      <c r="V38" s="667" t="s">
        <v>14</v>
      </c>
      <c r="W38" s="668" t="e">
        <f t="shared" si="12"/>
        <v>#N/A</v>
      </c>
      <c r="X38" s="1265"/>
      <c r="Y38" s="3475"/>
      <c r="Z38" s="1264" t="str">
        <f t="shared" si="13"/>
        <v>宗地面积</v>
      </c>
      <c r="AA38" s="1264" t="e">
        <f t="shared" si="3"/>
        <v>#N/A</v>
      </c>
      <c r="AB38" s="1264" t="e">
        <f t="shared" si="4"/>
        <v>#N/A</v>
      </c>
      <c r="AC38" s="1264" t="e">
        <f t="shared" si="5"/>
        <v>#N/A</v>
      </c>
    </row>
    <row r="39" spans="1:29" ht="15">
      <c r="A39" s="409"/>
      <c r="B39" s="364" t="s">
        <v>1874</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475"/>
      <c r="Q39" s="1263" t="str">
        <f t="shared" ref="Q39:Q45" si="14">B39</f>
        <v>宗地形状</v>
      </c>
      <c r="R39" s="667" t="s">
        <v>14</v>
      </c>
      <c r="S39" s="668">
        <f t="shared" si="10"/>
        <v>100</v>
      </c>
      <c r="T39" s="667" t="s">
        <v>14</v>
      </c>
      <c r="U39" s="668">
        <f t="shared" si="11"/>
        <v>100</v>
      </c>
      <c r="V39" s="667" t="s">
        <v>14</v>
      </c>
      <c r="W39" s="668">
        <f t="shared" si="12"/>
        <v>100</v>
      </c>
      <c r="X39" s="1265"/>
      <c r="Y39" s="3475"/>
      <c r="Z39" s="1264" t="str">
        <f t="shared" si="13"/>
        <v>宗地形状</v>
      </c>
      <c r="AA39" s="1264">
        <f t="shared" si="3"/>
        <v>1</v>
      </c>
      <c r="AB39" s="1264">
        <f t="shared" si="4"/>
        <v>1</v>
      </c>
      <c r="AC39" s="1264">
        <f t="shared" si="5"/>
        <v>1</v>
      </c>
    </row>
    <row r="40" spans="1:29" ht="15">
      <c r="A40" s="409"/>
      <c r="B40" s="364" t="s">
        <v>1875</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475"/>
      <c r="Q40" s="1263" t="str">
        <f t="shared" si="14"/>
        <v>临街宽度及深度</v>
      </c>
      <c r="R40" s="667" t="s">
        <v>14</v>
      </c>
      <c r="S40" s="668">
        <f t="shared" si="10"/>
        <v>100</v>
      </c>
      <c r="T40" s="667" t="s">
        <v>14</v>
      </c>
      <c r="U40" s="668">
        <f t="shared" si="11"/>
        <v>100</v>
      </c>
      <c r="V40" s="667" t="s">
        <v>14</v>
      </c>
      <c r="W40" s="668">
        <f t="shared" si="12"/>
        <v>100</v>
      </c>
      <c r="X40" s="1265"/>
      <c r="Y40" s="3475"/>
      <c r="Z40" s="1264" t="str">
        <f t="shared" si="13"/>
        <v>临街宽度及深度</v>
      </c>
      <c r="AA40" s="1264">
        <f t="shared" si="3"/>
        <v>1</v>
      </c>
      <c r="AB40" s="1264">
        <f t="shared" si="4"/>
        <v>1</v>
      </c>
      <c r="AC40" s="1264">
        <f t="shared" si="5"/>
        <v>1</v>
      </c>
    </row>
    <row r="41" spans="1:29" s="102" customFormat="1" ht="15">
      <c r="A41" s="410"/>
      <c r="B41" s="364" t="s">
        <v>1876</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8"/>
      <c r="N41" s="2438"/>
      <c r="O41" s="2539"/>
      <c r="P41" s="3475"/>
      <c r="Q41" s="1263" t="str">
        <f t="shared" si="14"/>
        <v>宗地开发程度</v>
      </c>
      <c r="R41" s="664" t="s">
        <v>14</v>
      </c>
      <c r="S41" s="665">
        <f t="shared" si="10"/>
        <v>100</v>
      </c>
      <c r="T41" s="664" t="s">
        <v>14</v>
      </c>
      <c r="U41" s="665">
        <f t="shared" si="11"/>
        <v>100</v>
      </c>
      <c r="V41" s="664" t="s">
        <v>14</v>
      </c>
      <c r="W41" s="665">
        <f t="shared" si="12"/>
        <v>100</v>
      </c>
      <c r="X41" s="666"/>
      <c r="Y41" s="3475"/>
      <c r="Z41" s="50" t="str">
        <f t="shared" si="13"/>
        <v>宗地开发程度</v>
      </c>
      <c r="AA41" s="50">
        <f t="shared" si="3"/>
        <v>1</v>
      </c>
      <c r="AB41" s="50">
        <f t="shared" si="4"/>
        <v>1</v>
      </c>
      <c r="AC41" s="50">
        <f t="shared" si="5"/>
        <v>1</v>
      </c>
    </row>
    <row r="42" spans="1:29" ht="15">
      <c r="A42" s="409"/>
      <c r="B42" s="364" t="s">
        <v>1877</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475" t="s">
        <v>1695</v>
      </c>
      <c r="Q42" s="1263" t="str">
        <f t="shared" si="14"/>
        <v>工程地质条件</v>
      </c>
      <c r="R42" s="667" t="s">
        <v>14</v>
      </c>
      <c r="S42" s="668">
        <f t="shared" si="10"/>
        <v>100</v>
      </c>
      <c r="T42" s="667" t="s">
        <v>14</v>
      </c>
      <c r="U42" s="668">
        <f t="shared" si="11"/>
        <v>100</v>
      </c>
      <c r="V42" s="667" t="s">
        <v>14</v>
      </c>
      <c r="W42" s="668">
        <f t="shared" si="12"/>
        <v>100</v>
      </c>
      <c r="X42" s="1265"/>
      <c r="Y42" s="3475" t="s">
        <v>1695</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75"/>
      <c r="Q43" s="1263">
        <f t="shared" si="14"/>
        <v>111</v>
      </c>
      <c r="R43" s="667" t="s">
        <v>14</v>
      </c>
      <c r="S43" s="668">
        <f t="shared" si="10"/>
        <v>100</v>
      </c>
      <c r="T43" s="667" t="s">
        <v>14</v>
      </c>
      <c r="U43" s="668">
        <f t="shared" si="11"/>
        <v>100</v>
      </c>
      <c r="V43" s="667" t="s">
        <v>14</v>
      </c>
      <c r="W43" s="668">
        <f t="shared" si="12"/>
        <v>100</v>
      </c>
      <c r="X43" s="1265"/>
      <c r="Y43" s="3475"/>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75"/>
      <c r="Q44" s="1263">
        <f t="shared" si="14"/>
        <v>111</v>
      </c>
      <c r="R44" s="667" t="s">
        <v>14</v>
      </c>
      <c r="S44" s="668">
        <f t="shared" si="10"/>
        <v>100</v>
      </c>
      <c r="T44" s="667" t="s">
        <v>14</v>
      </c>
      <c r="U44" s="668">
        <f t="shared" si="11"/>
        <v>100</v>
      </c>
      <c r="V44" s="667" t="s">
        <v>14</v>
      </c>
      <c r="W44" s="668">
        <f t="shared" si="12"/>
        <v>100</v>
      </c>
      <c r="X44" s="1265"/>
      <c r="Y44" s="3475"/>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75"/>
      <c r="Q45" s="1263">
        <f t="shared" si="14"/>
        <v>111</v>
      </c>
      <c r="R45" s="669" t="s">
        <v>14</v>
      </c>
      <c r="S45" s="670">
        <f t="shared" si="10"/>
        <v>100</v>
      </c>
      <c r="T45" s="669" t="s">
        <v>14</v>
      </c>
      <c r="U45" s="670">
        <f t="shared" si="11"/>
        <v>100</v>
      </c>
      <c r="V45" s="669" t="s">
        <v>14</v>
      </c>
      <c r="W45" s="670">
        <f t="shared" si="12"/>
        <v>100</v>
      </c>
      <c r="X45" s="671"/>
      <c r="Y45" s="3475"/>
      <c r="Z45" s="672">
        <f t="shared" si="13"/>
        <v>111</v>
      </c>
      <c r="AA45" s="1264">
        <f t="shared" si="3"/>
        <v>1</v>
      </c>
      <c r="AB45" s="1264">
        <f t="shared" si="4"/>
        <v>1</v>
      </c>
      <c r="AC45" s="1264">
        <f t="shared" si="5"/>
        <v>1</v>
      </c>
    </row>
    <row r="46" spans="1:29" ht="15">
      <c r="A46" s="416" t="s">
        <v>1843</v>
      </c>
      <c r="B46" s="1830" t="s">
        <v>1878</v>
      </c>
      <c r="C46" s="602" t="s">
        <v>0</v>
      </c>
      <c r="D46" s="418"/>
      <c r="E46" s="419"/>
      <c r="F46" s="420"/>
      <c r="G46" s="421"/>
      <c r="H46" s="422"/>
      <c r="I46" s="419"/>
      <c r="J46" s="422"/>
      <c r="K46" s="674"/>
      <c r="L46" s="2493"/>
      <c r="M46" s="2486"/>
      <c r="N46" s="2486"/>
      <c r="O46" s="2486"/>
      <c r="P46" s="3469" t="str">
        <f>A46</f>
        <v>成交单价</v>
      </c>
      <c r="Q46" s="3469"/>
      <c r="R46" s="3464">
        <f>E46</f>
        <v>0</v>
      </c>
      <c r="S46" s="3464"/>
      <c r="T46" s="3464">
        <f>G46</f>
        <v>0</v>
      </c>
      <c r="U46" s="3464"/>
      <c r="V46" s="3464">
        <f>I46</f>
        <v>0</v>
      </c>
      <c r="W46" s="3464"/>
      <c r="X46" s="385"/>
      <c r="Y46" s="673"/>
      <c r="Z46" s="385"/>
      <c r="AA46" s="385"/>
      <c r="AB46" s="385"/>
      <c r="AC46" s="385"/>
    </row>
    <row r="47" spans="1:29" ht="15.75" thickBot="1">
      <c r="A47" s="423" t="s">
        <v>1792</v>
      </c>
      <c r="B47" s="603"/>
      <c r="C47" s="426" t="e">
        <f>R48</f>
        <v>#DIV/0!</v>
      </c>
      <c r="D47" s="2141" t="s">
        <v>2137</v>
      </c>
      <c r="E47" s="426" t="e">
        <f>R47</f>
        <v>#DIV/0!</v>
      </c>
      <c r="F47" s="2142"/>
      <c r="G47" s="425" t="e">
        <f>T47</f>
        <v>#DIV/0!</v>
      </c>
      <c r="H47" s="2142"/>
      <c r="I47" s="426" t="e">
        <f>V47</f>
        <v>#DIV/0!</v>
      </c>
      <c r="J47" s="2142"/>
      <c r="K47" s="2144">
        <f>F47+H47+J47</f>
        <v>0</v>
      </c>
      <c r="L47" s="2493"/>
      <c r="M47" s="2486"/>
      <c r="N47" s="2486"/>
      <c r="O47" s="2486"/>
      <c r="P47" s="3469" t="str">
        <f>A47</f>
        <v>比较价值（元/平方米）</v>
      </c>
      <c r="Q47" s="3469"/>
      <c r="R47" s="3496" t="e">
        <f>ROUND(PRODUCT(R46,AA7:AA45),0)</f>
        <v>#DIV/0!</v>
      </c>
      <c r="S47" s="3496"/>
      <c r="T47" s="3496" t="e">
        <f>ROUND(PRODUCT(T46,AB7:AB45),0)</f>
        <v>#DIV/0!</v>
      </c>
      <c r="U47" s="3496"/>
      <c r="V47" s="3496" t="e">
        <f>ROUND(PRODUCT(V46,AC7:AC45),0)</f>
        <v>#DIV/0!</v>
      </c>
      <c r="W47" s="3496"/>
      <c r="X47" s="385"/>
      <c r="Y47" s="385"/>
      <c r="Z47" s="385"/>
      <c r="AA47" s="385"/>
      <c r="AB47" s="385"/>
      <c r="AC47" s="385"/>
    </row>
    <row r="48" spans="1:29" ht="15.75" thickBot="1">
      <c r="A48" s="427" t="s">
        <v>1879</v>
      </c>
      <c r="B48" s="428"/>
      <c r="C48" s="429" t="e">
        <f>R48</f>
        <v>#DIV/0!</v>
      </c>
      <c r="D48" s="429"/>
      <c r="E48" s="429"/>
      <c r="F48" s="429"/>
      <c r="G48" s="429"/>
      <c r="H48" s="429"/>
      <c r="I48" s="429"/>
      <c r="J48" s="429"/>
      <c r="K48" s="675"/>
      <c r="L48" s="2493"/>
      <c r="M48" s="2486"/>
      <c r="N48" s="2486"/>
      <c r="O48" s="2486"/>
      <c r="P48" s="3466" t="str">
        <f>A48</f>
        <v>估价对象XX用房的比较价值（楼面单价，元/平方米）</v>
      </c>
      <c r="Q48" s="3467"/>
      <c r="R48" s="3497" t="e">
        <f>ROUND(IF(D47="简单平均",AVERAGE(R47:W47),R47*F47+T47*H47+V47*J47),0)</f>
        <v>#DIV/0!</v>
      </c>
      <c r="S48" s="3497"/>
      <c r="T48" s="3497"/>
      <c r="U48" s="3497"/>
      <c r="V48" s="3497"/>
      <c r="W48" s="3497"/>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1794</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1795</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1796</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1880</v>
      </c>
      <c r="B55" s="605" t="s">
        <v>1881</v>
      </c>
      <c r="C55" s="1831" t="s">
        <v>1882</v>
      </c>
      <c r="D55" s="1832" t="s">
        <v>1883</v>
      </c>
      <c r="E55" s="606" t="s">
        <v>1884</v>
      </c>
      <c r="F55" s="837" t="s">
        <v>1885</v>
      </c>
      <c r="G55" s="3452" t="s">
        <v>1886</v>
      </c>
      <c r="H55" s="3498"/>
      <c r="I55" s="127" t="s">
        <v>1887</v>
      </c>
      <c r="J55" s="1833">
        <f>项目基本情况!F35</f>
        <v>0</v>
      </c>
      <c r="K55" s="1834" t="s">
        <v>1888</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1889</v>
      </c>
      <c r="B56" s="609" t="e">
        <f>C48</f>
        <v>#DIV/0!</v>
      </c>
      <c r="C56" s="610">
        <v>1</v>
      </c>
      <c r="D56" s="890">
        <v>1</v>
      </c>
      <c r="E56" s="610">
        <f>'数据-汇总表'!E8+'数据-汇总表'!E9</f>
        <v>6547.83</v>
      </c>
      <c r="F56" s="833" t="e">
        <f t="shared" ref="F56:F64" si="15">ROUND(B56*E56/10000,0)</f>
        <v>#DIV/0!</v>
      </c>
      <c r="G56" s="3451"/>
      <c r="H56" s="3469"/>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1890</v>
      </c>
      <c r="B57" s="210" t="e">
        <f>ROUND($C$48*C57*D57,0)</f>
        <v>#DIV/0!</v>
      </c>
      <c r="C57" s="163">
        <f t="shared" ref="C57:C64" si="16">IF($C$55="北京市系数",I57,J57)</f>
        <v>0.7</v>
      </c>
      <c r="D57" s="891">
        <v>0.25</v>
      </c>
      <c r="E57" s="614"/>
      <c r="F57" s="833" t="e">
        <f t="shared" si="15"/>
        <v>#DIV/0!</v>
      </c>
      <c r="G57" s="2749" t="s">
        <v>1891</v>
      </c>
      <c r="H57" s="834" t="str">
        <f>项目基本情况!B37</f>
        <v>一级</v>
      </c>
      <c r="I57" s="838">
        <f>SUMIF(修正!A57:A68,H57,修正!B57:B68)</f>
        <v>0.7</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1892</v>
      </c>
      <c r="B58" s="210" t="e">
        <f t="shared" ref="B58:B64" si="17">ROUND($C$48*C58*D58,0)</f>
        <v>#DIV/0!</v>
      </c>
      <c r="C58" s="163">
        <f t="shared" si="16"/>
        <v>0.4</v>
      </c>
      <c r="D58" s="891">
        <v>0.25</v>
      </c>
      <c r="E58" s="614"/>
      <c r="F58" s="833" t="e">
        <f t="shared" si="15"/>
        <v>#DIV/0!</v>
      </c>
      <c r="G58" s="2750"/>
      <c r="H58" s="834" t="str">
        <f>项目基本情况!B37</f>
        <v>一级</v>
      </c>
      <c r="I58" s="838">
        <f>SUMIF(修正!A57:A68,H58,修正!C57:C68)</f>
        <v>0.4</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1893</v>
      </c>
      <c r="B59" s="210" t="e">
        <f t="shared" si="17"/>
        <v>#DIV/0!</v>
      </c>
      <c r="C59" s="163">
        <f t="shared" si="16"/>
        <v>0.3</v>
      </c>
      <c r="D59" s="891">
        <v>0.25</v>
      </c>
      <c r="E59" s="614"/>
      <c r="F59" s="833" t="e">
        <f t="shared" si="15"/>
        <v>#DIV/0!</v>
      </c>
      <c r="G59" s="2750"/>
      <c r="H59" s="834" t="str">
        <f>项目基本情况!B37</f>
        <v>一级</v>
      </c>
      <c r="I59" s="838">
        <f>SUMIF(修正!A57:A68,H59,修正!D57:D68)</f>
        <v>0.3</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1894</v>
      </c>
      <c r="B60" s="210" t="e">
        <f t="shared" si="17"/>
        <v>#DIV/0!</v>
      </c>
      <c r="C60" s="163">
        <f t="shared" si="16"/>
        <v>0.3</v>
      </c>
      <c r="D60" s="891">
        <v>0.25</v>
      </c>
      <c r="E60" s="209">
        <f>'数据-汇总表'!E11</f>
        <v>0</v>
      </c>
      <c r="F60" s="833" t="e">
        <f t="shared" si="15"/>
        <v>#DIV/0!</v>
      </c>
      <c r="G60" s="1835" t="s">
        <v>1895</v>
      </c>
      <c r="H60" s="834" t="str">
        <f>项目基本情况!C37</f>
        <v>一级</v>
      </c>
      <c r="I60" s="838">
        <f>SUMIF(修正!A57:A68,H60,修正!E57:E68)</f>
        <v>0.3</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1896</v>
      </c>
      <c r="B61" s="210" t="e">
        <f t="shared" si="17"/>
        <v>#DIV/0!</v>
      </c>
      <c r="C61" s="163">
        <f t="shared" si="16"/>
        <v>0.3</v>
      </c>
      <c r="D61" s="891">
        <v>0.25</v>
      </c>
      <c r="E61" s="209">
        <f>'数据-汇总表'!E12</f>
        <v>0</v>
      </c>
      <c r="F61" s="833" t="e">
        <f t="shared" si="15"/>
        <v>#DIV/0!</v>
      </c>
      <c r="G61" s="839" t="s">
        <v>1897</v>
      </c>
      <c r="H61" s="834" t="str">
        <f>IF(G61="商业",项目基本情况!B37,IF(G61="办公",项目基本情况!C37,IF(G61="住宅",项目基本情况!D37,项目基本情况!E37)))</f>
        <v>一级</v>
      </c>
      <c r="I61" s="838">
        <f>SUMIF(修正!A57:A68,H61,修正!F57:F68)</f>
        <v>0.3</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1898</v>
      </c>
      <c r="B62" s="210" t="e">
        <f t="shared" si="17"/>
        <v>#DIV/0!</v>
      </c>
      <c r="C62" s="163">
        <f t="shared" si="16"/>
        <v>0</v>
      </c>
      <c r="D62" s="891">
        <v>0.25</v>
      </c>
      <c r="E62" s="209">
        <f>'数据-汇总表'!E13</f>
        <v>0</v>
      </c>
      <c r="F62" s="833" t="e">
        <f t="shared" si="15"/>
        <v>#DIV/0!</v>
      </c>
      <c r="G62" s="839" t="s">
        <v>1899</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1900</v>
      </c>
      <c r="B63" s="210" t="e">
        <f t="shared" si="17"/>
        <v>#DIV/0!</v>
      </c>
      <c r="C63" s="163">
        <f t="shared" si="16"/>
        <v>0.2</v>
      </c>
      <c r="D63" s="891">
        <v>0.25</v>
      </c>
      <c r="E63" s="209">
        <f>'数据-汇总表'!E14</f>
        <v>0</v>
      </c>
      <c r="F63" s="833" t="e">
        <f t="shared" si="15"/>
        <v>#DIV/0!</v>
      </c>
      <c r="G63" s="1835" t="s">
        <v>1891</v>
      </c>
      <c r="H63" s="834" t="str">
        <f>项目基本情况!B37</f>
        <v>一级</v>
      </c>
      <c r="I63" s="838">
        <f>SUMIF(修正!A57:A68,H63,修正!G57:G68)</f>
        <v>0.2</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5" thickBot="1">
      <c r="A64" s="613" t="s">
        <v>1901</v>
      </c>
      <c r="B64" s="210" t="e">
        <f t="shared" si="17"/>
        <v>#DIV/0!</v>
      </c>
      <c r="C64" s="163">
        <f t="shared" si="16"/>
        <v>0.2</v>
      </c>
      <c r="D64" s="891">
        <v>0.25</v>
      </c>
      <c r="E64" s="209">
        <f>'数据-汇总表'!E15</f>
        <v>0</v>
      </c>
      <c r="F64" s="833" t="e">
        <f t="shared" si="15"/>
        <v>#DIV/0!</v>
      </c>
      <c r="G64" s="1836" t="s">
        <v>1895</v>
      </c>
      <c r="H64" s="844" t="str">
        <f>项目基本情况!C37</f>
        <v>一级</v>
      </c>
      <c r="I64" s="840">
        <f>SUMIF(修正!A57:A68,H64,修正!G57:G68)</f>
        <v>0.2</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ht="13.5" thickBot="1">
      <c r="A65" s="615" t="s">
        <v>1902</v>
      </c>
      <c r="B65" s="616" t="s">
        <v>22</v>
      </c>
      <c r="C65" s="616" t="s">
        <v>23</v>
      </c>
      <c r="D65" s="616" t="s">
        <v>392</v>
      </c>
      <c r="E65" s="616">
        <f>IF(B46="楼面地价",SUM(E56:E64),'数据-汇总表'!D3)</f>
        <v>6547.83</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2023-5-1</v>
      </c>
      <c r="D67" s="656">
        <f>EDATE(C67,-3)</f>
        <v>44958</v>
      </c>
      <c r="E67" s="656">
        <f>EDATE(D67,-3)</f>
        <v>44866</v>
      </c>
      <c r="F67" s="656">
        <f t="shared" ref="F67:O67" si="18">EDATE(E67,-3)</f>
        <v>44774</v>
      </c>
      <c r="G67" s="656">
        <f t="shared" si="18"/>
        <v>44682</v>
      </c>
      <c r="H67" s="656">
        <f t="shared" si="18"/>
        <v>44593</v>
      </c>
      <c r="I67" s="656">
        <f t="shared" si="18"/>
        <v>44501</v>
      </c>
      <c r="J67" s="656">
        <f t="shared" si="18"/>
        <v>44409</v>
      </c>
      <c r="K67" s="656">
        <f t="shared" si="18"/>
        <v>44317</v>
      </c>
      <c r="L67" s="656">
        <f t="shared" si="18"/>
        <v>44228</v>
      </c>
      <c r="M67" s="656">
        <f t="shared" si="18"/>
        <v>44136</v>
      </c>
      <c r="N67" s="656">
        <f t="shared" si="18"/>
        <v>44044</v>
      </c>
      <c r="O67" s="656">
        <f t="shared" si="18"/>
        <v>43952</v>
      </c>
      <c r="P67" s="2486"/>
      <c r="Q67" s="2486"/>
      <c r="R67" s="2486"/>
      <c r="S67" s="2486"/>
      <c r="T67" s="2486"/>
      <c r="U67" s="2486"/>
      <c r="V67" s="2486"/>
      <c r="W67" s="2486"/>
      <c r="X67" s="2486"/>
      <c r="Y67" s="2486"/>
      <c r="Z67" s="2486"/>
      <c r="AA67" s="2486"/>
      <c r="AB67" s="2486"/>
      <c r="AC67" s="2486"/>
    </row>
    <row r="68" spans="1:29" ht="21.75" thickBot="1">
      <c r="A68" s="658" t="s">
        <v>1797</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5">
      <c r="A69" s="1630" t="s">
        <v>1903</v>
      </c>
      <c r="B69" s="1046"/>
      <c r="C69" s="1101" t="str">
        <f>YEAR(C67)&amp;"-"&amp;ROUNDUP(MONTH(C67)/3,0)</f>
        <v>2023-2</v>
      </c>
      <c r="D69" s="1101" t="str">
        <f>YEAR(D67)&amp;"-"&amp;ROUNDUP(MONTH(D67)/3,0)</f>
        <v>2023-1</v>
      </c>
      <c r="E69" s="1101" t="str">
        <f t="shared" ref="E69:O69" si="19">YEAR(E67)&amp;"-"&amp;ROUNDUP(MONTH(E67)/3,0)</f>
        <v>2022-4</v>
      </c>
      <c r="F69" s="1101" t="str">
        <f t="shared" si="19"/>
        <v>2022-3</v>
      </c>
      <c r="G69" s="1101" t="str">
        <f t="shared" si="19"/>
        <v>2022-2</v>
      </c>
      <c r="H69" s="1101" t="str">
        <f t="shared" si="19"/>
        <v>2022-1</v>
      </c>
      <c r="I69" s="1101" t="str">
        <f t="shared" si="19"/>
        <v>2021-4</v>
      </c>
      <c r="J69" s="1101" t="str">
        <f t="shared" si="19"/>
        <v>2021-3</v>
      </c>
      <c r="K69" s="1101" t="str">
        <f t="shared" si="19"/>
        <v>2021-2</v>
      </c>
      <c r="L69" s="1101" t="str">
        <f t="shared" si="19"/>
        <v>2021-1</v>
      </c>
      <c r="M69" s="1101" t="str">
        <f t="shared" si="19"/>
        <v>2020-4</v>
      </c>
      <c r="N69" s="1101" t="str">
        <f t="shared" si="19"/>
        <v>2020-3</v>
      </c>
      <c r="O69" s="1101" t="str">
        <f t="shared" si="19"/>
        <v>2020-2</v>
      </c>
      <c r="P69" s="2509"/>
      <c r="Q69" s="2509"/>
      <c r="R69" s="2509"/>
      <c r="S69" s="2509"/>
      <c r="T69" s="2509"/>
      <c r="U69" s="2509"/>
      <c r="V69" s="2509"/>
      <c r="W69" s="2509"/>
      <c r="X69" s="2509"/>
      <c r="Y69" s="2509"/>
      <c r="Z69" s="2509"/>
      <c r="AA69" s="2509"/>
      <c r="AB69" s="2509"/>
      <c r="AC69" s="2509"/>
    </row>
    <row r="70" spans="1:29" s="102" customFormat="1" ht="30" customHeight="1">
      <c r="A70" s="1837" t="s">
        <v>1904</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8"/>
      <c r="R70" s="2438"/>
      <c r="S70" s="2438"/>
      <c r="T70" s="2438"/>
      <c r="U70" s="2438"/>
      <c r="V70" s="2438"/>
      <c r="W70" s="2438"/>
      <c r="X70" s="2438"/>
      <c r="Y70" s="2438"/>
      <c r="Z70" s="2438"/>
      <c r="AA70" s="2438"/>
      <c r="AB70" s="2438"/>
      <c r="AC70" s="2438"/>
    </row>
    <row r="71" spans="1:29" s="102" customFormat="1" ht="15.75" thickBot="1">
      <c r="A71" s="449" t="s">
        <v>1715</v>
      </c>
      <c r="B71" s="450"/>
      <c r="C71" s="451"/>
      <c r="D71" s="452"/>
      <c r="E71" s="452"/>
      <c r="F71" s="452"/>
      <c r="G71" s="452"/>
      <c r="H71" s="452"/>
      <c r="I71" s="452"/>
      <c r="J71" s="452"/>
      <c r="K71" s="452"/>
      <c r="L71" s="452"/>
      <c r="M71" s="453"/>
      <c r="N71" s="452"/>
      <c r="O71" s="889"/>
      <c r="P71" s="2507"/>
      <c r="Q71" s="2507"/>
      <c r="R71" s="2438"/>
      <c r="S71" s="2438"/>
      <c r="T71" s="2438"/>
      <c r="U71" s="2438"/>
      <c r="V71" s="2438"/>
      <c r="W71" s="2438"/>
      <c r="X71" s="2438"/>
      <c r="Y71" s="2438"/>
      <c r="Z71" s="2438"/>
      <c r="AA71" s="2438"/>
      <c r="AB71" s="2438"/>
      <c r="AC71" s="2438"/>
    </row>
    <row r="72" spans="1:29" s="102" customFormat="1" ht="15">
      <c r="A72" s="455" t="s">
        <v>1680</v>
      </c>
      <c r="B72" s="444"/>
      <c r="C72" s="456" t="s">
        <v>1775</v>
      </c>
      <c r="D72" s="31"/>
      <c r="E72" s="31"/>
      <c r="F72" s="31"/>
      <c r="G72" s="31"/>
      <c r="H72" s="31"/>
      <c r="I72" s="31"/>
      <c r="J72" s="31"/>
      <c r="K72" s="31"/>
      <c r="L72" s="457"/>
      <c r="M72" s="458"/>
      <c r="N72" s="2519"/>
      <c r="O72" s="2519"/>
      <c r="P72" s="2543"/>
      <c r="Q72" s="2507"/>
      <c r="R72" s="2438"/>
      <c r="S72" s="2438"/>
      <c r="T72" s="2438"/>
      <c r="U72" s="2438"/>
      <c r="V72" s="2438"/>
      <c r="W72" s="2438"/>
      <c r="X72" s="2438"/>
      <c r="Y72" s="2438"/>
      <c r="Z72" s="2438"/>
      <c r="AA72" s="2438"/>
      <c r="AB72" s="2438"/>
      <c r="AC72" s="2438"/>
    </row>
    <row r="73" spans="1:29" s="102" customFormat="1" ht="15.75" thickBot="1">
      <c r="A73" s="455"/>
      <c r="B73" s="444"/>
      <c r="C73" s="563">
        <v>100</v>
      </c>
      <c r="D73" s="446"/>
      <c r="E73" s="446"/>
      <c r="F73" s="446"/>
      <c r="G73" s="446"/>
      <c r="H73" s="446"/>
      <c r="I73" s="446"/>
      <c r="J73" s="446"/>
      <c r="K73" s="446"/>
      <c r="L73" s="446"/>
      <c r="M73" s="448"/>
      <c r="N73" s="2519"/>
      <c r="O73" s="2519"/>
      <c r="P73" s="2507"/>
      <c r="Q73" s="2507"/>
      <c r="R73" s="2438"/>
      <c r="S73" s="2438"/>
      <c r="T73" s="2438"/>
      <c r="U73" s="2438"/>
      <c r="V73" s="2438"/>
      <c r="W73" s="2438"/>
      <c r="X73" s="2438"/>
      <c r="Y73" s="2438"/>
      <c r="Z73" s="2438"/>
      <c r="AA73" s="2438"/>
      <c r="AB73" s="2438"/>
      <c r="AC73" s="2438"/>
    </row>
    <row r="74" spans="1:29">
      <c r="A74" s="379" t="s">
        <v>1718</v>
      </c>
      <c r="B74" s="460" t="s">
        <v>1684</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5.7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7.75" thickTop="1">
      <c r="A76" s="367"/>
      <c r="B76" s="469" t="s">
        <v>1687</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5.7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75" thickTop="1">
      <c r="A78" s="367"/>
      <c r="B78" s="477" t="s">
        <v>1688</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5.7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5.7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5.7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5.7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5.7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5.7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1689</v>
      </c>
      <c r="B87" s="460" t="s">
        <v>1719</v>
      </c>
      <c r="C87" s="504" t="s">
        <v>1720</v>
      </c>
      <c r="D87" s="504" t="s">
        <v>1721</v>
      </c>
      <c r="E87" s="504" t="s">
        <v>1722</v>
      </c>
      <c r="F87" s="504" t="s">
        <v>1723</v>
      </c>
      <c r="G87" s="504" t="s">
        <v>1724</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75" thickTop="1">
      <c r="A89" s="367"/>
      <c r="B89" s="469" t="s">
        <v>1905</v>
      </c>
      <c r="C89" s="509" t="s">
        <v>1720</v>
      </c>
      <c r="D89" s="509" t="s">
        <v>1721</v>
      </c>
      <c r="E89" s="509" t="s">
        <v>1722</v>
      </c>
      <c r="F89" s="509" t="s">
        <v>1723</v>
      </c>
      <c r="G89" s="509" t="s">
        <v>1724</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75" thickTop="1">
      <c r="A91" s="367"/>
      <c r="B91" s="469" t="s">
        <v>1820</v>
      </c>
      <c r="C91" s="509" t="s">
        <v>1720</v>
      </c>
      <c r="D91" s="509" t="s">
        <v>1721</v>
      </c>
      <c r="E91" s="509" t="s">
        <v>1722</v>
      </c>
      <c r="F91" s="509" t="s">
        <v>1723</v>
      </c>
      <c r="G91" s="509" t="s">
        <v>1724</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75" thickTop="1">
      <c r="A93" s="367"/>
      <c r="B93" s="469" t="s">
        <v>1725</v>
      </c>
      <c r="C93" s="509" t="s">
        <v>1720</v>
      </c>
      <c r="D93" s="509" t="s">
        <v>1721</v>
      </c>
      <c r="E93" s="509" t="s">
        <v>1722</v>
      </c>
      <c r="F93" s="509" t="s">
        <v>1723</v>
      </c>
      <c r="G93" s="509" t="s">
        <v>1724</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15.75" thickTop="1">
      <c r="A95" s="370"/>
      <c r="B95" s="469" t="s">
        <v>1906</v>
      </c>
      <c r="C95" s="509" t="s">
        <v>1720</v>
      </c>
      <c r="D95" s="509" t="s">
        <v>1721</v>
      </c>
      <c r="E95" s="509" t="s">
        <v>1722</v>
      </c>
      <c r="F95" s="509" t="s">
        <v>1723</v>
      </c>
      <c r="G95" s="509" t="s">
        <v>1724</v>
      </c>
      <c r="H95" s="509"/>
      <c r="I95" s="509"/>
      <c r="J95" s="509"/>
      <c r="K95" s="509"/>
      <c r="L95" s="618"/>
      <c r="M95" s="547"/>
      <c r="N95" s="2519"/>
      <c r="O95" s="2519"/>
      <c r="P95" s="2519"/>
      <c r="Q95" s="2507"/>
      <c r="R95" s="2438"/>
      <c r="S95" s="2438"/>
      <c r="T95" s="2438"/>
      <c r="U95" s="2438"/>
      <c r="V95" s="2438"/>
      <c r="W95" s="2438"/>
      <c r="X95" s="2438"/>
      <c r="Y95" s="2438"/>
      <c r="Z95" s="2438"/>
      <c r="AA95" s="2438"/>
      <c r="AB95" s="2438"/>
      <c r="AC95" s="2438"/>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8"/>
      <c r="S96" s="2438"/>
      <c r="T96" s="2438"/>
      <c r="U96" s="2438"/>
      <c r="V96" s="2438"/>
      <c r="W96" s="2438"/>
      <c r="X96" s="2438"/>
      <c r="Y96" s="2438"/>
      <c r="Z96" s="2438"/>
      <c r="AA96" s="2438"/>
      <c r="AB96" s="2438"/>
      <c r="AC96" s="2438"/>
    </row>
    <row r="97" spans="1:29" s="102" customFormat="1" ht="27.75" thickTop="1">
      <c r="A97" s="370"/>
      <c r="B97" s="469" t="s">
        <v>1907</v>
      </c>
      <c r="C97" s="504" t="s">
        <v>1720</v>
      </c>
      <c r="D97" s="504" t="s">
        <v>1721</v>
      </c>
      <c r="E97" s="504" t="s">
        <v>1722</v>
      </c>
      <c r="F97" s="504" t="s">
        <v>1723</v>
      </c>
      <c r="G97" s="504" t="s">
        <v>1724</v>
      </c>
      <c r="H97" s="509"/>
      <c r="I97" s="509"/>
      <c r="J97" s="509"/>
      <c r="K97" s="509"/>
      <c r="L97" s="509"/>
      <c r="M97" s="547"/>
      <c r="N97" s="2519"/>
      <c r="O97" s="2519"/>
      <c r="P97" s="2519"/>
      <c r="Q97" s="2507"/>
      <c r="R97" s="2438"/>
      <c r="S97" s="2438"/>
      <c r="T97" s="2438"/>
      <c r="U97" s="2438"/>
      <c r="V97" s="2438"/>
      <c r="W97" s="2438"/>
      <c r="X97" s="2438"/>
      <c r="Y97" s="2438"/>
      <c r="Z97" s="2438"/>
      <c r="AA97" s="2438"/>
      <c r="AB97" s="2438"/>
      <c r="AC97" s="2438"/>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8"/>
      <c r="S98" s="2438"/>
      <c r="T98" s="2438"/>
      <c r="U98" s="2438"/>
      <c r="V98" s="2438"/>
      <c r="W98" s="2438"/>
      <c r="X98" s="2438"/>
      <c r="Y98" s="2438"/>
      <c r="Z98" s="2438"/>
      <c r="AA98" s="2438"/>
      <c r="AB98" s="2438"/>
      <c r="AC98" s="2438"/>
    </row>
    <row r="99" spans="1:29" s="408" customFormat="1" ht="15.75" thickTop="1">
      <c r="A99" s="484"/>
      <c r="B99" s="469" t="s">
        <v>1777</v>
      </c>
      <c r="C99" s="504" t="s">
        <v>1720</v>
      </c>
      <c r="D99" s="504" t="s">
        <v>1721</v>
      </c>
      <c r="E99" s="504" t="s">
        <v>1722</v>
      </c>
      <c r="F99" s="504" t="s">
        <v>1723</v>
      </c>
      <c r="G99" s="504" t="s">
        <v>1724</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75" thickTop="1">
      <c r="A101" s="484"/>
      <c r="B101" s="477" t="s">
        <v>1778</v>
      </c>
      <c r="C101" s="581" t="s">
        <v>1798</v>
      </c>
      <c r="D101" s="581" t="s">
        <v>1799</v>
      </c>
      <c r="E101" s="581" t="s">
        <v>1800</v>
      </c>
      <c r="F101" s="581" t="s">
        <v>1801</v>
      </c>
      <c r="G101" s="581" t="s">
        <v>1802</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75" thickTop="1">
      <c r="A103" s="367"/>
      <c r="B103" s="469" t="str">
        <f>B31</f>
        <v>临街状况</v>
      </c>
      <c r="C103" s="470" t="s">
        <v>1908</v>
      </c>
      <c r="D103" s="470" t="s">
        <v>1909</v>
      </c>
      <c r="E103" s="470" t="s">
        <v>1910</v>
      </c>
      <c r="F103" s="470" t="s">
        <v>1911</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7"/>
      <c r="B105" s="469" t="s">
        <v>1814</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7"/>
      <c r="B107" s="469" t="s">
        <v>1872</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5.7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5.7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5.7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1693</v>
      </c>
      <c r="B115" s="460" t="s">
        <v>1912</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ht="15">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5.7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1913</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1914</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1915</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1916</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5.7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5.7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5.7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1866</v>
      </c>
      <c r="B1" s="340"/>
      <c r="C1" s="341" t="s">
        <v>1917</v>
      </c>
      <c r="D1" s="651"/>
      <c r="E1" s="651"/>
      <c r="F1" s="650" t="s">
        <v>1766</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1461</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1463</v>
      </c>
      <c r="B3" s="536" t="e">
        <f>ROUND(IF(D3="",B2*10000/'数据-汇总表'!E3,B2*10000/D3),0)</f>
        <v>#DIV/0!</v>
      </c>
      <c r="C3" s="195" t="s">
        <v>1868</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1768</v>
      </c>
      <c r="B4" s="346"/>
      <c r="C4" s="3452" t="s">
        <v>1769</v>
      </c>
      <c r="D4" s="3453"/>
      <c r="E4" s="3454" t="s">
        <v>1770</v>
      </c>
      <c r="F4" s="3455"/>
      <c r="G4" s="3452" t="s">
        <v>1771</v>
      </c>
      <c r="H4" s="3453"/>
      <c r="I4" s="3452" t="s">
        <v>1772</v>
      </c>
      <c r="J4" s="3453"/>
      <c r="K4" s="537" t="s">
        <v>1773</v>
      </c>
      <c r="L4" s="2485"/>
      <c r="M4" s="2486"/>
      <c r="N4" s="2486"/>
      <c r="O4" s="2486"/>
      <c r="P4" s="3456" t="s">
        <v>1774</v>
      </c>
      <c r="Q4" s="3457"/>
      <c r="R4" s="3439" t="s">
        <v>1770</v>
      </c>
      <c r="S4" s="3440"/>
      <c r="T4" s="3439" t="s">
        <v>1771</v>
      </c>
      <c r="U4" s="3440"/>
      <c r="V4" s="3464" t="s">
        <v>1772</v>
      </c>
      <c r="W4" s="3464"/>
      <c r="X4" s="1265"/>
      <c r="Y4" s="3439" t="s">
        <v>1774</v>
      </c>
      <c r="Z4" s="3440"/>
      <c r="AA4" s="3434" t="s">
        <v>1770</v>
      </c>
      <c r="AB4" s="3435" t="s">
        <v>1771</v>
      </c>
      <c r="AC4" s="3434" t="s">
        <v>1772</v>
      </c>
    </row>
    <row r="5" spans="1:29" ht="15">
      <c r="A5" s="348"/>
      <c r="B5" s="349"/>
      <c r="C5" s="3445" t="s">
        <v>1672</v>
      </c>
      <c r="D5" s="3446"/>
      <c r="E5" s="3443" t="s">
        <v>1673</v>
      </c>
      <c r="F5" s="3444"/>
      <c r="G5" s="3445" t="s">
        <v>1674</v>
      </c>
      <c r="H5" s="3446"/>
      <c r="I5" s="3445" t="s">
        <v>1675</v>
      </c>
      <c r="J5" s="3446"/>
      <c r="K5" s="537"/>
      <c r="L5" s="2485"/>
      <c r="M5" s="2486"/>
      <c r="N5" s="2486"/>
      <c r="O5" s="2486"/>
      <c r="P5" s="3458"/>
      <c r="Q5" s="3459"/>
      <c r="R5" s="3441"/>
      <c r="S5" s="3442"/>
      <c r="T5" s="3441"/>
      <c r="U5" s="3442"/>
      <c r="V5" s="3464"/>
      <c r="W5" s="3464"/>
      <c r="X5" s="1265"/>
      <c r="Y5" s="3441"/>
      <c r="Z5" s="3442"/>
      <c r="AA5" s="3435"/>
      <c r="AB5" s="3435"/>
      <c r="AC5" s="3435"/>
    </row>
    <row r="6" spans="1:29" ht="15.75" thickBot="1">
      <c r="A6" s="350"/>
      <c r="B6" s="351"/>
      <c r="C6" s="3499" t="s">
        <v>1918</v>
      </c>
      <c r="D6" s="3500"/>
      <c r="E6" s="3501" t="s">
        <v>1918</v>
      </c>
      <c r="F6" s="3502"/>
      <c r="G6" s="3499" t="s">
        <v>1918</v>
      </c>
      <c r="H6" s="3500"/>
      <c r="I6" s="3499" t="s">
        <v>1918</v>
      </c>
      <c r="J6" s="3500"/>
      <c r="K6" s="537" t="s">
        <v>1677</v>
      </c>
      <c r="L6" s="2485"/>
      <c r="M6" s="2486"/>
      <c r="N6" s="2486"/>
      <c r="O6" s="2486"/>
      <c r="P6" s="3460"/>
      <c r="Q6" s="3461"/>
      <c r="R6" s="3441"/>
      <c r="S6" s="3442"/>
      <c r="T6" s="3462"/>
      <c r="U6" s="3463"/>
      <c r="V6" s="3464"/>
      <c r="W6" s="3464"/>
      <c r="X6" s="1265"/>
      <c r="Y6" s="3462"/>
      <c r="Z6" s="3463"/>
      <c r="AA6" s="3436"/>
      <c r="AB6" s="3436"/>
      <c r="AC6" s="3436"/>
    </row>
    <row r="7" spans="1:29" s="102" customFormat="1" ht="15.75" thickBot="1">
      <c r="A7" s="352" t="s">
        <v>1678</v>
      </c>
      <c r="B7" s="353"/>
      <c r="C7" s="354">
        <f>'数据-取费表'!B2</f>
        <v>45051</v>
      </c>
      <c r="D7" s="355">
        <v>100</v>
      </c>
      <c r="E7" s="356"/>
      <c r="F7" s="357">
        <f>SUMIF(65:65,YEAR(E7)&amp;"-"&amp;INT((MONTH(E7)+2)/3),66:66)</f>
        <v>0</v>
      </c>
      <c r="G7" s="1822"/>
      <c r="H7" s="355">
        <f>SUMIF(65:65,YEAR(G7)&amp;"-"&amp;INT((MONTH(G7)+2)/3),66:66)</f>
        <v>0</v>
      </c>
      <c r="I7" s="1822"/>
      <c r="J7" s="355">
        <f>SUMIF(65:65,YEAR(I7)&amp;"-"&amp;INT((MONTH(I7)+2)/3),66:66)</f>
        <v>0</v>
      </c>
      <c r="K7" s="38"/>
      <c r="L7" s="2487"/>
      <c r="M7" s="2438"/>
      <c r="N7" s="2438"/>
      <c r="O7" s="2438"/>
      <c r="P7" s="3437" t="s">
        <v>1679</v>
      </c>
      <c r="Q7" s="3465"/>
      <c r="R7" s="664" t="s">
        <v>14</v>
      </c>
      <c r="S7" s="665">
        <f t="shared" ref="S7:S15" si="0">F7</f>
        <v>0</v>
      </c>
      <c r="T7" s="664" t="s">
        <v>14</v>
      </c>
      <c r="U7" s="665">
        <f t="shared" ref="U7:U15" si="1">H7</f>
        <v>0</v>
      </c>
      <c r="V7" s="664" t="s">
        <v>14</v>
      </c>
      <c r="W7" s="665">
        <f t="shared" ref="W7:W15" si="2">J7</f>
        <v>0</v>
      </c>
      <c r="X7" s="666"/>
      <c r="Y7" s="3437" t="s">
        <v>1679</v>
      </c>
      <c r="Z7" s="3438"/>
      <c r="AA7" s="50" t="e">
        <f>D7/F7</f>
        <v>#DIV/0!</v>
      </c>
      <c r="AB7" s="50" t="e">
        <f>D7/H7</f>
        <v>#DIV/0!</v>
      </c>
      <c r="AC7" s="50" t="e">
        <f>D7/J7</f>
        <v>#DIV/0!</v>
      </c>
    </row>
    <row r="8" spans="1:29" s="102" customFormat="1" ht="15.75" thickBot="1">
      <c r="A8" s="352" t="s">
        <v>1680</v>
      </c>
      <c r="B8" s="353"/>
      <c r="C8" s="358" t="s">
        <v>1681</v>
      </c>
      <c r="D8" s="355">
        <v>100</v>
      </c>
      <c r="E8" s="358"/>
      <c r="F8" s="357">
        <f>SUMIF(68:68,E8,69:69)-SUMIF(68:68,C8,69:69)+100</f>
        <v>0</v>
      </c>
      <c r="G8" s="358"/>
      <c r="H8" s="355">
        <f>SUMIF(68:68,G8,69:69)-SUMIF(68:68,C8,69:69)+100</f>
        <v>0</v>
      </c>
      <c r="I8" s="358"/>
      <c r="J8" s="355">
        <f>SUMIF(68:68,I8,69:69)-SUMIF(68:68,C8,69:69)+100</f>
        <v>0</v>
      </c>
      <c r="K8" s="38"/>
      <c r="L8" s="2487"/>
      <c r="M8" s="2438"/>
      <c r="N8" s="2438"/>
      <c r="O8" s="2438"/>
      <c r="P8" s="3437" t="s">
        <v>1682</v>
      </c>
      <c r="Q8" s="3438"/>
      <c r="R8" s="664" t="s">
        <v>14</v>
      </c>
      <c r="S8" s="665">
        <f t="shared" si="0"/>
        <v>0</v>
      </c>
      <c r="T8" s="664" t="s">
        <v>14</v>
      </c>
      <c r="U8" s="665">
        <f t="shared" si="1"/>
        <v>0</v>
      </c>
      <c r="V8" s="664" t="s">
        <v>14</v>
      </c>
      <c r="W8" s="665">
        <f t="shared" si="2"/>
        <v>0</v>
      </c>
      <c r="X8" s="666"/>
      <c r="Y8" s="3437" t="s">
        <v>1682</v>
      </c>
      <c r="Z8" s="3438"/>
      <c r="AA8" s="50" t="e">
        <f t="shared" ref="AA8:AA40" si="3">D8/F8</f>
        <v>#DIV/0!</v>
      </c>
      <c r="AB8" s="50" t="e">
        <f t="shared" ref="AB8:AB40" si="4">D8/H8</f>
        <v>#DIV/0!</v>
      </c>
      <c r="AC8" s="50" t="e">
        <f t="shared" ref="AC8:AC40" si="5">D8/J8</f>
        <v>#DIV/0!</v>
      </c>
    </row>
    <row r="9" spans="1:29" s="102" customFormat="1">
      <c r="A9" s="359" t="s">
        <v>1683</v>
      </c>
      <c r="B9" s="60" t="s">
        <v>1684</v>
      </c>
      <c r="C9" s="1825"/>
      <c r="D9" s="59">
        <v>100</v>
      </c>
      <c r="E9" s="1825"/>
      <c r="F9" s="59">
        <f>SUMIF(70:70,E9,71:71)-SUMIF(70:70,C9,71:71)+100</f>
        <v>100</v>
      </c>
      <c r="G9" s="1825"/>
      <c r="H9" s="59">
        <f>SUMIF(70:70,G9,71:71)-SUMIF(70:70,C9,71:71)+100</f>
        <v>100</v>
      </c>
      <c r="I9" s="1825"/>
      <c r="J9" s="59">
        <f>SUMIF(70:70,I9,71:71)-SUMIF(70:70,C9,71:71)+100</f>
        <v>100</v>
      </c>
      <c r="K9" s="38"/>
      <c r="L9" s="2487"/>
      <c r="M9" s="2438"/>
      <c r="N9" s="2438"/>
      <c r="O9" s="2539"/>
      <c r="P9" s="3469" t="s">
        <v>1685</v>
      </c>
      <c r="Q9" s="530" t="str">
        <f t="shared" ref="Q9:Q15" si="6">B9</f>
        <v>用途</v>
      </c>
      <c r="R9" s="664" t="s">
        <v>14</v>
      </c>
      <c r="S9" s="665">
        <f t="shared" si="0"/>
        <v>100</v>
      </c>
      <c r="T9" s="664" t="s">
        <v>14</v>
      </c>
      <c r="U9" s="665">
        <f t="shared" si="1"/>
        <v>100</v>
      </c>
      <c r="V9" s="664" t="s">
        <v>14</v>
      </c>
      <c r="W9" s="665">
        <f t="shared" si="2"/>
        <v>100</v>
      </c>
      <c r="X9" s="666"/>
      <c r="Y9" s="3362" t="s">
        <v>1686</v>
      </c>
      <c r="Z9" s="50" t="str">
        <f t="shared" ref="Z9:Z15" si="7">Q9</f>
        <v>用途</v>
      </c>
      <c r="AA9" s="50">
        <f t="shared" si="3"/>
        <v>1</v>
      </c>
      <c r="AB9" s="50">
        <f t="shared" si="4"/>
        <v>1</v>
      </c>
      <c r="AC9" s="50">
        <f t="shared" si="5"/>
        <v>1</v>
      </c>
    </row>
    <row r="10" spans="1:29" s="366" customFormat="1" ht="27">
      <c r="A10" s="363"/>
      <c r="B10" s="364" t="s">
        <v>1687</v>
      </c>
      <c r="C10" s="371"/>
      <c r="D10" s="119">
        <v>100</v>
      </c>
      <c r="E10" s="371"/>
      <c r="F10" s="119">
        <f>ROUND(100/'数据-取费表'!G16,0)</f>
        <v>210</v>
      </c>
      <c r="G10" s="371"/>
      <c r="H10" s="119">
        <f>ROUND(100/'数据-取费表'!G16,0)</f>
        <v>210</v>
      </c>
      <c r="I10" s="371"/>
      <c r="J10" s="119">
        <f>ROUND(100/'数据-取费表'!G16,0)</f>
        <v>210</v>
      </c>
      <c r="K10" s="592"/>
      <c r="L10" s="2488"/>
      <c r="M10" s="2489"/>
      <c r="N10" s="2489"/>
      <c r="O10" s="2540"/>
      <c r="P10" s="3469"/>
      <c r="Q10" s="530" t="str">
        <f t="shared" si="6"/>
        <v>土地使用年限（年）</v>
      </c>
      <c r="R10" s="664" t="s">
        <v>14</v>
      </c>
      <c r="S10" s="665">
        <f t="shared" si="0"/>
        <v>210</v>
      </c>
      <c r="T10" s="664" t="s">
        <v>14</v>
      </c>
      <c r="U10" s="665">
        <f t="shared" si="1"/>
        <v>210</v>
      </c>
      <c r="V10" s="664" t="s">
        <v>14</v>
      </c>
      <c r="W10" s="665">
        <f t="shared" si="2"/>
        <v>210</v>
      </c>
      <c r="X10" s="666"/>
      <c r="Y10" s="3362"/>
      <c r="Z10" s="50" t="str">
        <f t="shared" si="7"/>
        <v>土地使用年限（年）</v>
      </c>
      <c r="AA10" s="50">
        <f t="shared" si="3"/>
        <v>0.47619047619047616</v>
      </c>
      <c r="AB10" s="50">
        <f t="shared" si="4"/>
        <v>0.47619047619047616</v>
      </c>
      <c r="AC10" s="50">
        <f t="shared" si="5"/>
        <v>0.47619047619047616</v>
      </c>
    </row>
    <row r="11" spans="1:29" ht="15">
      <c r="A11" s="367"/>
      <c r="B11" s="364" t="s">
        <v>1688</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469"/>
      <c r="Q11" s="530" t="str">
        <f t="shared" si="6"/>
        <v>容积率</v>
      </c>
      <c r="R11" s="664" t="s">
        <v>14</v>
      </c>
      <c r="S11" s="665" t="e">
        <f t="shared" si="0"/>
        <v>#N/A</v>
      </c>
      <c r="T11" s="664" t="s">
        <v>14</v>
      </c>
      <c r="U11" s="665" t="e">
        <f t="shared" si="1"/>
        <v>#N/A</v>
      </c>
      <c r="V11" s="664" t="s">
        <v>14</v>
      </c>
      <c r="W11" s="665" t="e">
        <f t="shared" si="2"/>
        <v>#N/A</v>
      </c>
      <c r="X11" s="666"/>
      <c r="Y11" s="336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8"/>
      <c r="N12" s="2438"/>
      <c r="O12" s="2539"/>
      <c r="P12" s="3469"/>
      <c r="Q12" s="530">
        <f t="shared" si="6"/>
        <v>111</v>
      </c>
      <c r="R12" s="664" t="s">
        <v>14</v>
      </c>
      <c r="S12" s="665">
        <f t="shared" si="0"/>
        <v>100</v>
      </c>
      <c r="T12" s="664" t="s">
        <v>14</v>
      </c>
      <c r="U12" s="665">
        <f t="shared" si="1"/>
        <v>100</v>
      </c>
      <c r="V12" s="664" t="s">
        <v>14</v>
      </c>
      <c r="W12" s="665">
        <f t="shared" si="2"/>
        <v>100</v>
      </c>
      <c r="X12" s="666"/>
      <c r="Y12" s="336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469"/>
      <c r="Q13" s="530">
        <f t="shared" si="6"/>
        <v>111</v>
      </c>
      <c r="R13" s="664" t="s">
        <v>14</v>
      </c>
      <c r="S13" s="665">
        <f t="shared" si="0"/>
        <v>100</v>
      </c>
      <c r="T13" s="664" t="s">
        <v>14</v>
      </c>
      <c r="U13" s="665">
        <f t="shared" si="1"/>
        <v>100</v>
      </c>
      <c r="V13" s="664" t="s">
        <v>14</v>
      </c>
      <c r="W13" s="665">
        <f t="shared" si="2"/>
        <v>100</v>
      </c>
      <c r="X13" s="666"/>
      <c r="Y13" s="3362"/>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469"/>
      <c r="Q14" s="530">
        <f t="shared" si="6"/>
        <v>111</v>
      </c>
      <c r="R14" s="664" t="s">
        <v>14</v>
      </c>
      <c r="S14" s="665">
        <f t="shared" si="0"/>
        <v>100</v>
      </c>
      <c r="T14" s="664" t="s">
        <v>14</v>
      </c>
      <c r="U14" s="665">
        <f t="shared" si="1"/>
        <v>100</v>
      </c>
      <c r="V14" s="664" t="s">
        <v>14</v>
      </c>
      <c r="W14" s="665">
        <f t="shared" si="2"/>
        <v>100</v>
      </c>
      <c r="X14" s="666"/>
      <c r="Y14" s="3362"/>
      <c r="Z14" s="50">
        <f t="shared" si="7"/>
        <v>111</v>
      </c>
      <c r="AA14" s="50">
        <f t="shared" si="3"/>
        <v>1</v>
      </c>
      <c r="AB14" s="50">
        <f t="shared" si="4"/>
        <v>1</v>
      </c>
      <c r="AC14" s="50">
        <f t="shared" si="5"/>
        <v>1</v>
      </c>
    </row>
    <row r="15" spans="1:29" ht="57">
      <c r="A15" s="379" t="s">
        <v>1689</v>
      </c>
      <c r="B15" s="554" t="s">
        <v>1919</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470" t="s">
        <v>1690</v>
      </c>
      <c r="Q15" s="1263" t="str">
        <f t="shared" si="6"/>
        <v>产业集聚程度</v>
      </c>
      <c r="R15" s="667" t="s">
        <v>14</v>
      </c>
      <c r="S15" s="668">
        <f t="shared" si="0"/>
        <v>100</v>
      </c>
      <c r="T15" s="667" t="s">
        <v>14</v>
      </c>
      <c r="U15" s="668">
        <f t="shared" si="1"/>
        <v>100</v>
      </c>
      <c r="V15" s="667" t="s">
        <v>14</v>
      </c>
      <c r="W15" s="668">
        <f t="shared" si="2"/>
        <v>100</v>
      </c>
      <c r="X15" s="1265"/>
      <c r="Y15" s="3470" t="s">
        <v>1690</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471"/>
      <c r="Q16" s="1263"/>
      <c r="R16" s="667"/>
      <c r="S16" s="668"/>
      <c r="T16" s="667"/>
      <c r="U16" s="668"/>
      <c r="V16" s="667"/>
      <c r="W16" s="668"/>
      <c r="X16" s="1265"/>
      <c r="Y16" s="3471"/>
      <c r="Z16" s="1264"/>
      <c r="AA16" s="1264">
        <v>1</v>
      </c>
      <c r="AB16" s="1264">
        <v>1</v>
      </c>
      <c r="AC16" s="1264">
        <v>1</v>
      </c>
    </row>
    <row r="17" spans="1:29" ht="85.5">
      <c r="A17" s="367"/>
      <c r="B17" s="556" t="s">
        <v>1832</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471"/>
      <c r="Q17" s="1263" t="str">
        <f>B17</f>
        <v>交通便捷度</v>
      </c>
      <c r="R17" s="667" t="s">
        <v>14</v>
      </c>
      <c r="S17" s="668">
        <f>F17</f>
        <v>100</v>
      </c>
      <c r="T17" s="667" t="s">
        <v>14</v>
      </c>
      <c r="U17" s="668">
        <f>H17</f>
        <v>100</v>
      </c>
      <c r="V17" s="667" t="s">
        <v>14</v>
      </c>
      <c r="W17" s="668">
        <f>J17</f>
        <v>100</v>
      </c>
      <c r="X17" s="1265"/>
      <c r="Y17" s="3471"/>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471"/>
      <c r="Q18" s="1263"/>
      <c r="R18" s="667"/>
      <c r="S18" s="668"/>
      <c r="T18" s="667"/>
      <c r="U18" s="668"/>
      <c r="V18" s="667"/>
      <c r="W18" s="668"/>
      <c r="X18" s="1265"/>
      <c r="Y18" s="3471"/>
      <c r="Z18" s="1264"/>
      <c r="AA18" s="1264">
        <v>1</v>
      </c>
      <c r="AB18" s="1264">
        <v>1</v>
      </c>
      <c r="AC18" s="1264">
        <v>1</v>
      </c>
    </row>
    <row r="19" spans="1:29" ht="15">
      <c r="A19" s="367"/>
      <c r="B19" s="556" t="s">
        <v>1870</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471"/>
      <c r="Q19" s="1263" t="str">
        <f t="shared" ref="Q19:Q33" si="8">B19</f>
        <v>区域土地利用方向</v>
      </c>
      <c r="R19" s="667" t="s">
        <v>14</v>
      </c>
      <c r="S19" s="668">
        <f>F19</f>
        <v>100</v>
      </c>
      <c r="T19" s="667" t="s">
        <v>14</v>
      </c>
      <c r="U19" s="668">
        <f>H19</f>
        <v>100</v>
      </c>
      <c r="V19" s="667" t="s">
        <v>14</v>
      </c>
      <c r="W19" s="668">
        <f>J19</f>
        <v>100</v>
      </c>
      <c r="X19" s="1265"/>
      <c r="Y19" s="3471"/>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471"/>
      <c r="Q20" s="1263"/>
      <c r="R20" s="667"/>
      <c r="S20" s="668"/>
      <c r="T20" s="667"/>
      <c r="U20" s="668"/>
      <c r="V20" s="667"/>
      <c r="W20" s="668"/>
      <c r="X20" s="1265"/>
      <c r="Y20" s="3471"/>
      <c r="Z20" s="1264"/>
      <c r="AA20" s="1264"/>
      <c r="AB20" s="1264"/>
      <c r="AC20" s="1264"/>
    </row>
    <row r="21" spans="1:29" ht="71.25">
      <c r="A21" s="348"/>
      <c r="B21" s="556" t="s">
        <v>1920</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471"/>
      <c r="Q21" s="1263" t="str">
        <f t="shared" si="8"/>
        <v>环境状况</v>
      </c>
      <c r="R21" s="667" t="s">
        <v>14</v>
      </c>
      <c r="S21" s="668">
        <f>F21</f>
        <v>100</v>
      </c>
      <c r="T21" s="667" t="s">
        <v>14</v>
      </c>
      <c r="U21" s="668">
        <f>H21</f>
        <v>100</v>
      </c>
      <c r="V21" s="667" t="s">
        <v>14</v>
      </c>
      <c r="W21" s="668">
        <f>J21</f>
        <v>100</v>
      </c>
      <c r="X21" s="1265"/>
      <c r="Y21" s="3471"/>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471"/>
      <c r="Q22" s="1263"/>
      <c r="R22" s="667"/>
      <c r="S22" s="668"/>
      <c r="T22" s="667"/>
      <c r="U22" s="668"/>
      <c r="V22" s="667"/>
      <c r="W22" s="668"/>
      <c r="X22" s="1265"/>
      <c r="Y22" s="3471"/>
      <c r="Z22" s="1264"/>
      <c r="AA22" s="1264">
        <v>1</v>
      </c>
      <c r="AB22" s="1264">
        <v>1</v>
      </c>
      <c r="AC22" s="1264">
        <v>1</v>
      </c>
    </row>
    <row r="23" spans="1:29" s="102" customFormat="1" ht="42.75">
      <c r="A23" s="443"/>
      <c r="B23" s="557" t="s">
        <v>1777</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8"/>
      <c r="N23" s="2438"/>
      <c r="O23" s="2539"/>
      <c r="P23" s="3471"/>
      <c r="Q23" s="530" t="str">
        <f t="shared" si="8"/>
        <v>公共配套设施</v>
      </c>
      <c r="R23" s="664" t="s">
        <v>14</v>
      </c>
      <c r="S23" s="665">
        <f>F23</f>
        <v>100</v>
      </c>
      <c r="T23" s="664" t="s">
        <v>14</v>
      </c>
      <c r="U23" s="665">
        <f>H23</f>
        <v>100</v>
      </c>
      <c r="V23" s="664" t="s">
        <v>14</v>
      </c>
      <c r="W23" s="665">
        <f>J23</f>
        <v>100</v>
      </c>
      <c r="X23" s="666"/>
      <c r="Y23" s="3471"/>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8"/>
      <c r="N24" s="2438"/>
      <c r="O24" s="2539"/>
      <c r="P24" s="3471"/>
      <c r="Q24" s="530"/>
      <c r="R24" s="664"/>
      <c r="S24" s="665"/>
      <c r="T24" s="664"/>
      <c r="U24" s="665"/>
      <c r="V24" s="664"/>
      <c r="W24" s="665"/>
      <c r="X24" s="666"/>
      <c r="Y24" s="3471"/>
      <c r="Z24" s="50"/>
      <c r="AA24" s="50">
        <v>1</v>
      </c>
      <c r="AB24" s="50">
        <v>1</v>
      </c>
      <c r="AC24" s="50">
        <v>1</v>
      </c>
    </row>
    <row r="25" spans="1:29" s="102" customFormat="1" ht="28.5">
      <c r="A25" s="443"/>
      <c r="B25" s="557" t="s">
        <v>1778</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8"/>
      <c r="N25" s="2438"/>
      <c r="O25" s="2539"/>
      <c r="P25" s="3471"/>
      <c r="Q25" s="530" t="str">
        <f t="shared" ref="Q25" si="9">B25</f>
        <v>基础设施水平</v>
      </c>
      <c r="R25" s="664" t="s">
        <v>14</v>
      </c>
      <c r="S25" s="665">
        <f>F25</f>
        <v>100</v>
      </c>
      <c r="T25" s="664" t="s">
        <v>14</v>
      </c>
      <c r="U25" s="665">
        <f>H25</f>
        <v>100</v>
      </c>
      <c r="V25" s="664" t="s">
        <v>14</v>
      </c>
      <c r="W25" s="665">
        <f>J25</f>
        <v>100</v>
      </c>
      <c r="X25" s="666"/>
      <c r="Y25" s="3471"/>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8"/>
      <c r="N26" s="2438"/>
      <c r="O26" s="2539"/>
      <c r="P26" s="3471"/>
      <c r="Q26" s="530"/>
      <c r="R26" s="664"/>
      <c r="S26" s="665"/>
      <c r="T26" s="664"/>
      <c r="U26" s="665"/>
      <c r="V26" s="664"/>
      <c r="W26" s="665"/>
      <c r="X26" s="666"/>
      <c r="Y26" s="3471"/>
      <c r="Z26" s="50"/>
      <c r="AA26" s="50">
        <v>1</v>
      </c>
      <c r="AB26" s="50">
        <v>1</v>
      </c>
      <c r="AC26" s="50">
        <v>1</v>
      </c>
    </row>
    <row r="27" spans="1:29" ht="15">
      <c r="A27" s="367"/>
      <c r="B27" s="401" t="s">
        <v>1779</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7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71"/>
      <c r="Z27" s="1264" t="str">
        <f t="shared" ref="Z27:Z40" si="13">Q27</f>
        <v>临街状况</v>
      </c>
      <c r="AA27" s="1264">
        <f t="shared" si="3"/>
        <v>1</v>
      </c>
      <c r="AB27" s="1264">
        <f t="shared" si="4"/>
        <v>1</v>
      </c>
      <c r="AC27" s="1264">
        <f t="shared" si="5"/>
        <v>1</v>
      </c>
    </row>
    <row r="28" spans="1:29" ht="27">
      <c r="A28" s="367"/>
      <c r="B28" s="557" t="s">
        <v>1814</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71"/>
      <c r="Q28" s="1263" t="str">
        <f t="shared" si="8"/>
        <v>毗邻道路的类型与等级</v>
      </c>
      <c r="R28" s="667" t="s">
        <v>14</v>
      </c>
      <c r="S28" s="668">
        <f t="shared" si="10"/>
        <v>100</v>
      </c>
      <c r="T28" s="667" t="s">
        <v>14</v>
      </c>
      <c r="U28" s="668">
        <f t="shared" si="11"/>
        <v>100</v>
      </c>
      <c r="V28" s="667" t="s">
        <v>14</v>
      </c>
      <c r="W28" s="668">
        <f t="shared" si="12"/>
        <v>100</v>
      </c>
      <c r="X28" s="1265"/>
      <c r="Y28" s="3471"/>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471"/>
      <c r="Q29" s="1263"/>
      <c r="R29" s="667"/>
      <c r="S29" s="668"/>
      <c r="T29" s="667"/>
      <c r="U29" s="668"/>
      <c r="V29" s="667"/>
      <c r="W29" s="668"/>
      <c r="X29" s="1265"/>
      <c r="Y29" s="3471"/>
      <c r="Z29" s="1264"/>
      <c r="AA29" s="1264">
        <v>1</v>
      </c>
      <c r="AB29" s="1264">
        <v>1</v>
      </c>
      <c r="AC29" s="1264">
        <v>1</v>
      </c>
    </row>
    <row r="30" spans="1:29" ht="15">
      <c r="A30" s="367"/>
      <c r="B30" s="119" t="s">
        <v>1872</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71"/>
      <c r="Q30" s="1263" t="str">
        <f t="shared" si="8"/>
        <v>土地级别</v>
      </c>
      <c r="R30" s="667" t="s">
        <v>14</v>
      </c>
      <c r="S30" s="668">
        <f t="shared" si="10"/>
        <v>100</v>
      </c>
      <c r="T30" s="667" t="s">
        <v>14</v>
      </c>
      <c r="U30" s="668">
        <f t="shared" si="11"/>
        <v>100</v>
      </c>
      <c r="V30" s="667" t="s">
        <v>14</v>
      </c>
      <c r="W30" s="668">
        <f t="shared" si="12"/>
        <v>100</v>
      </c>
      <c r="X30" s="1265"/>
      <c r="Y30" s="3471"/>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71"/>
      <c r="Q31" s="1263">
        <f t="shared" si="8"/>
        <v>111</v>
      </c>
      <c r="R31" s="667" t="s">
        <v>14</v>
      </c>
      <c r="S31" s="668">
        <f t="shared" si="10"/>
        <v>100</v>
      </c>
      <c r="T31" s="667" t="s">
        <v>14</v>
      </c>
      <c r="U31" s="668">
        <f t="shared" si="11"/>
        <v>100</v>
      </c>
      <c r="V31" s="667" t="s">
        <v>14</v>
      </c>
      <c r="W31" s="668">
        <f t="shared" si="12"/>
        <v>100</v>
      </c>
      <c r="X31" s="1265"/>
      <c r="Y31" s="3471"/>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94" t="s">
        <v>1695</v>
      </c>
      <c r="Q32" s="1263">
        <f t="shared" si="8"/>
        <v>111</v>
      </c>
      <c r="R32" s="667" t="s">
        <v>14</v>
      </c>
      <c r="S32" s="668">
        <f t="shared" si="10"/>
        <v>100</v>
      </c>
      <c r="T32" s="667" t="s">
        <v>14</v>
      </c>
      <c r="U32" s="668">
        <f t="shared" si="11"/>
        <v>100</v>
      </c>
      <c r="V32" s="667" t="s">
        <v>14</v>
      </c>
      <c r="W32" s="668">
        <f t="shared" si="12"/>
        <v>100</v>
      </c>
      <c r="X32" s="1265"/>
      <c r="Y32" s="3475" t="s">
        <v>1695</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75"/>
      <c r="Q33" s="1263">
        <f t="shared" si="8"/>
        <v>111</v>
      </c>
      <c r="R33" s="669" t="s">
        <v>14</v>
      </c>
      <c r="S33" s="670">
        <f t="shared" si="10"/>
        <v>100</v>
      </c>
      <c r="T33" s="669" t="s">
        <v>14</v>
      </c>
      <c r="U33" s="670">
        <f t="shared" si="11"/>
        <v>100</v>
      </c>
      <c r="V33" s="669" t="s">
        <v>14</v>
      </c>
      <c r="W33" s="670">
        <f t="shared" si="12"/>
        <v>100</v>
      </c>
      <c r="X33" s="671"/>
      <c r="Y33" s="3475"/>
      <c r="Z33" s="672">
        <f t="shared" si="13"/>
        <v>111</v>
      </c>
      <c r="AA33" s="1264">
        <f t="shared" si="3"/>
        <v>1</v>
      </c>
      <c r="AB33" s="1264">
        <f t="shared" si="4"/>
        <v>1</v>
      </c>
      <c r="AC33" s="1264">
        <f t="shared" si="5"/>
        <v>1</v>
      </c>
    </row>
    <row r="34" spans="1:31" ht="15">
      <c r="A34" s="379" t="s">
        <v>1693</v>
      </c>
      <c r="B34" s="395" t="s">
        <v>1873</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75"/>
      <c r="Q34" s="1263" t="str">
        <f>B34</f>
        <v>宗地面积</v>
      </c>
      <c r="R34" s="667" t="s">
        <v>14</v>
      </c>
      <c r="S34" s="668" t="e">
        <f t="shared" si="10"/>
        <v>#N/A</v>
      </c>
      <c r="T34" s="667" t="s">
        <v>14</v>
      </c>
      <c r="U34" s="668" t="e">
        <f t="shared" si="11"/>
        <v>#N/A</v>
      </c>
      <c r="V34" s="667" t="s">
        <v>14</v>
      </c>
      <c r="W34" s="668" t="e">
        <f t="shared" si="12"/>
        <v>#N/A</v>
      </c>
      <c r="X34" s="1265"/>
      <c r="Y34" s="3475"/>
      <c r="Z34" s="1264" t="str">
        <f t="shared" si="13"/>
        <v>宗地面积</v>
      </c>
      <c r="AA34" s="1264" t="e">
        <f t="shared" si="3"/>
        <v>#N/A</v>
      </c>
      <c r="AB34" s="1264" t="e">
        <f t="shared" si="4"/>
        <v>#N/A</v>
      </c>
      <c r="AC34" s="1264" t="e">
        <f t="shared" si="5"/>
        <v>#N/A</v>
      </c>
    </row>
    <row r="35" spans="1:31" ht="15">
      <c r="A35" s="409"/>
      <c r="B35" s="364" t="s">
        <v>1874</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475"/>
      <c r="Q35" s="1263" t="str">
        <f t="shared" ref="Q35:Q40" si="14">B35</f>
        <v>宗地形状</v>
      </c>
      <c r="R35" s="667" t="s">
        <v>14</v>
      </c>
      <c r="S35" s="668">
        <f t="shared" si="10"/>
        <v>100</v>
      </c>
      <c r="T35" s="667" t="s">
        <v>14</v>
      </c>
      <c r="U35" s="668">
        <f t="shared" si="11"/>
        <v>100</v>
      </c>
      <c r="V35" s="667" t="s">
        <v>14</v>
      </c>
      <c r="W35" s="668">
        <f t="shared" si="12"/>
        <v>100</v>
      </c>
      <c r="X35" s="1265"/>
      <c r="Y35" s="3475"/>
      <c r="Z35" s="1264" t="str">
        <f t="shared" si="13"/>
        <v>宗地形状</v>
      </c>
      <c r="AA35" s="1264">
        <f t="shared" si="3"/>
        <v>1</v>
      </c>
      <c r="AB35" s="1264">
        <f t="shared" si="4"/>
        <v>1</v>
      </c>
      <c r="AC35" s="1264">
        <f t="shared" si="5"/>
        <v>1</v>
      </c>
    </row>
    <row r="36" spans="1:31" s="102" customFormat="1" ht="15">
      <c r="A36" s="410"/>
      <c r="B36" s="364" t="s">
        <v>1876</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8"/>
      <c r="N36" s="2438"/>
      <c r="O36" s="2539"/>
      <c r="P36" s="3475"/>
      <c r="Q36" s="1263" t="str">
        <f t="shared" si="14"/>
        <v>宗地开发程度</v>
      </c>
      <c r="R36" s="664" t="s">
        <v>14</v>
      </c>
      <c r="S36" s="665">
        <f t="shared" si="10"/>
        <v>100</v>
      </c>
      <c r="T36" s="664" t="s">
        <v>14</v>
      </c>
      <c r="U36" s="665">
        <f t="shared" si="11"/>
        <v>100</v>
      </c>
      <c r="V36" s="664" t="s">
        <v>14</v>
      </c>
      <c r="W36" s="665">
        <f t="shared" si="12"/>
        <v>100</v>
      </c>
      <c r="X36" s="666"/>
      <c r="Y36" s="3475"/>
      <c r="Z36" s="50" t="str">
        <f t="shared" si="13"/>
        <v>宗地开发程度</v>
      </c>
      <c r="AA36" s="50">
        <f t="shared" si="3"/>
        <v>1</v>
      </c>
      <c r="AB36" s="50">
        <f t="shared" si="4"/>
        <v>1</v>
      </c>
      <c r="AC36" s="50">
        <f t="shared" si="5"/>
        <v>1</v>
      </c>
    </row>
    <row r="37" spans="1:31" ht="15">
      <c r="A37" s="409"/>
      <c r="B37" s="364" t="s">
        <v>1877</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475" t="s">
        <v>1695</v>
      </c>
      <c r="Q37" s="1263" t="str">
        <f t="shared" si="14"/>
        <v>工程地质条件</v>
      </c>
      <c r="R37" s="667" t="s">
        <v>14</v>
      </c>
      <c r="S37" s="668">
        <f t="shared" si="10"/>
        <v>100</v>
      </c>
      <c r="T37" s="667" t="s">
        <v>14</v>
      </c>
      <c r="U37" s="668">
        <f t="shared" si="11"/>
        <v>100</v>
      </c>
      <c r="V37" s="667" t="s">
        <v>14</v>
      </c>
      <c r="W37" s="668">
        <f t="shared" si="12"/>
        <v>100</v>
      </c>
      <c r="X37" s="1265"/>
      <c r="Y37" s="3475" t="s">
        <v>1695</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75"/>
      <c r="Q38" s="1263">
        <f t="shared" si="14"/>
        <v>111</v>
      </c>
      <c r="R38" s="667" t="s">
        <v>14</v>
      </c>
      <c r="S38" s="668">
        <f t="shared" si="10"/>
        <v>100</v>
      </c>
      <c r="T38" s="667" t="s">
        <v>14</v>
      </c>
      <c r="U38" s="668">
        <f t="shared" si="11"/>
        <v>100</v>
      </c>
      <c r="V38" s="667" t="s">
        <v>14</v>
      </c>
      <c r="W38" s="668">
        <f t="shared" si="12"/>
        <v>100</v>
      </c>
      <c r="X38" s="1265"/>
      <c r="Y38" s="3475"/>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75"/>
      <c r="Q39" s="1263">
        <f t="shared" si="14"/>
        <v>111</v>
      </c>
      <c r="R39" s="667" t="s">
        <v>14</v>
      </c>
      <c r="S39" s="668">
        <f t="shared" si="10"/>
        <v>100</v>
      </c>
      <c r="T39" s="667" t="s">
        <v>14</v>
      </c>
      <c r="U39" s="668">
        <f t="shared" si="11"/>
        <v>100</v>
      </c>
      <c r="V39" s="667" t="s">
        <v>14</v>
      </c>
      <c r="W39" s="668">
        <f t="shared" si="12"/>
        <v>100</v>
      </c>
      <c r="X39" s="1265"/>
      <c r="Y39" s="3475"/>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75"/>
      <c r="Q40" s="1263">
        <f t="shared" si="14"/>
        <v>111</v>
      </c>
      <c r="R40" s="669" t="s">
        <v>14</v>
      </c>
      <c r="S40" s="670">
        <f t="shared" si="10"/>
        <v>100</v>
      </c>
      <c r="T40" s="669" t="s">
        <v>14</v>
      </c>
      <c r="U40" s="670">
        <f t="shared" si="11"/>
        <v>100</v>
      </c>
      <c r="V40" s="669" t="s">
        <v>14</v>
      </c>
      <c r="W40" s="670">
        <f t="shared" si="12"/>
        <v>100</v>
      </c>
      <c r="X40" s="671"/>
      <c r="Y40" s="3475"/>
      <c r="Z40" s="672">
        <f t="shared" si="13"/>
        <v>111</v>
      </c>
      <c r="AA40" s="1264">
        <f t="shared" si="3"/>
        <v>1</v>
      </c>
      <c r="AB40" s="1264">
        <f t="shared" si="4"/>
        <v>1</v>
      </c>
      <c r="AC40" s="1264">
        <f t="shared" si="5"/>
        <v>1</v>
      </c>
    </row>
    <row r="41" spans="1:31" ht="15">
      <c r="A41" s="416" t="s">
        <v>1843</v>
      </c>
      <c r="B41" s="1830" t="s">
        <v>1921</v>
      </c>
      <c r="C41" s="602" t="s">
        <v>0</v>
      </c>
      <c r="D41" s="418"/>
      <c r="E41" s="419"/>
      <c r="F41" s="420"/>
      <c r="G41" s="421"/>
      <c r="H41" s="422"/>
      <c r="I41" s="419"/>
      <c r="J41" s="422"/>
      <c r="K41" s="674"/>
      <c r="L41" s="2493"/>
      <c r="M41" s="2486"/>
      <c r="N41" s="2486"/>
      <c r="O41" s="2486"/>
      <c r="P41" s="3469" t="str">
        <f>A41</f>
        <v>成交单价</v>
      </c>
      <c r="Q41" s="3469"/>
      <c r="R41" s="3464">
        <f>E41</f>
        <v>0</v>
      </c>
      <c r="S41" s="3464"/>
      <c r="T41" s="3464">
        <f>G41</f>
        <v>0</v>
      </c>
      <c r="U41" s="3464"/>
      <c r="V41" s="3464">
        <f>I41</f>
        <v>0</v>
      </c>
      <c r="W41" s="3464"/>
      <c r="X41" s="385"/>
      <c r="Y41" s="673"/>
      <c r="Z41" s="385"/>
      <c r="AA41" s="385"/>
      <c r="AB41" s="385"/>
      <c r="AC41" s="385"/>
    </row>
    <row r="42" spans="1:31" ht="15.75" thickBot="1">
      <c r="A42" s="423" t="s">
        <v>1792</v>
      </c>
      <c r="B42" s="603"/>
      <c r="C42" s="426" t="e">
        <f>R43</f>
        <v>#DIV/0!</v>
      </c>
      <c r="D42" s="2141" t="s">
        <v>2137</v>
      </c>
      <c r="E42" s="426" t="e">
        <f>R42</f>
        <v>#DIV/0!</v>
      </c>
      <c r="F42" s="2142"/>
      <c r="G42" s="425" t="e">
        <f>T42</f>
        <v>#DIV/0!</v>
      </c>
      <c r="H42" s="2142"/>
      <c r="I42" s="426" t="e">
        <f>V42</f>
        <v>#DIV/0!</v>
      </c>
      <c r="J42" s="2142"/>
      <c r="K42" s="2144">
        <f>F42+H42+J42</f>
        <v>0</v>
      </c>
      <c r="L42" s="2493"/>
      <c r="M42" s="2486"/>
      <c r="N42" s="2486"/>
      <c r="O42" s="2486"/>
      <c r="P42" s="3469" t="str">
        <f>A42</f>
        <v>比较价值（元/平方米）</v>
      </c>
      <c r="Q42" s="3469"/>
      <c r="R42" s="3496" t="e">
        <f>ROUND(PRODUCT(R41,AA7:AA40),0)</f>
        <v>#DIV/0!</v>
      </c>
      <c r="S42" s="3496"/>
      <c r="T42" s="3496" t="e">
        <f>ROUND(PRODUCT(T41,AB7:AB40),0)</f>
        <v>#DIV/0!</v>
      </c>
      <c r="U42" s="3496"/>
      <c r="V42" s="3496" t="e">
        <f>ROUND(PRODUCT(V41,AC7:AC40),0)</f>
        <v>#DIV/0!</v>
      </c>
      <c r="W42" s="3496"/>
      <c r="X42" s="385"/>
      <c r="Y42" s="385"/>
      <c r="Z42" s="385"/>
      <c r="AA42" s="385"/>
      <c r="AB42" s="385"/>
      <c r="AC42" s="385"/>
    </row>
    <row r="43" spans="1:31" ht="15.75" thickBot="1">
      <c r="A43" s="427" t="s">
        <v>1793</v>
      </c>
      <c r="B43" s="428"/>
      <c r="C43" s="429" t="e">
        <f>R43</f>
        <v>#DIV/0!</v>
      </c>
      <c r="D43" s="429"/>
      <c r="E43" s="429"/>
      <c r="F43" s="429"/>
      <c r="G43" s="429"/>
      <c r="H43" s="429"/>
      <c r="I43" s="429"/>
      <c r="J43" s="429"/>
      <c r="K43" s="675"/>
      <c r="L43" s="2493"/>
      <c r="M43" s="2486"/>
      <c r="N43" s="2486"/>
      <c r="O43" s="2486"/>
      <c r="P43" s="3466" t="str">
        <f>A43</f>
        <v>估价对象XX用房的比较价值（楼面单价，元/平方米）</v>
      </c>
      <c r="Q43" s="3467"/>
      <c r="R43" s="3497" t="e">
        <f>ROUND(IF(D42="简单平均",AVERAGE(R42:W42),R42*F42+T42*H42+V42*J42),0)</f>
        <v>#DIV/0!</v>
      </c>
      <c r="S43" s="3497"/>
      <c r="T43" s="3497"/>
      <c r="U43" s="3497"/>
      <c r="V43" s="3497"/>
      <c r="W43" s="3497"/>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1794</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1795</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1796</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4" t="s">
        <v>1880</v>
      </c>
      <c r="B50" s="605" t="s">
        <v>1881</v>
      </c>
      <c r="C50" s="1831" t="s">
        <v>1882</v>
      </c>
      <c r="D50" s="1832" t="s">
        <v>1883</v>
      </c>
      <c r="E50" s="606" t="s">
        <v>1884</v>
      </c>
      <c r="F50" s="607" t="s">
        <v>1885</v>
      </c>
      <c r="G50" s="3452" t="s">
        <v>1886</v>
      </c>
      <c r="H50" s="3498"/>
      <c r="I50" s="1264" t="s">
        <v>1922</v>
      </c>
      <c r="J50" s="1264">
        <f>项目基本情况!F35</f>
        <v>0</v>
      </c>
      <c r="K50" s="1834" t="s">
        <v>1888</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1889</v>
      </c>
      <c r="B51" s="609" t="e">
        <f>C43</f>
        <v>#DIV/0!</v>
      </c>
      <c r="C51" s="610">
        <v>1</v>
      </c>
      <c r="D51" s="890">
        <v>1</v>
      </c>
      <c r="E51" s="610">
        <f>'数据-汇总表'!E8+'数据-汇总表'!E9</f>
        <v>6547.83</v>
      </c>
      <c r="F51" s="611" t="e">
        <f t="shared" ref="F51:F60" si="15">ROUND(B51*E51/10000,0)</f>
        <v>#DIV/0!</v>
      </c>
      <c r="G51" s="3451"/>
      <c r="H51" s="3469"/>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1890</v>
      </c>
      <c r="B52" s="210" t="e">
        <f>ROUND($C$43*C52*D52,0)</f>
        <v>#DIV/0!</v>
      </c>
      <c r="C52" s="163">
        <f t="shared" ref="C52:C60" si="16">IF($C$50="北京市系数",I52,J52)</f>
        <v>0.7</v>
      </c>
      <c r="D52" s="891">
        <v>0.25</v>
      </c>
      <c r="E52" s="614"/>
      <c r="F52" s="611" t="e">
        <f t="shared" si="15"/>
        <v>#DIV/0!</v>
      </c>
      <c r="G52" s="2749" t="s">
        <v>1891</v>
      </c>
      <c r="H52" s="834" t="str">
        <f>项目基本情况!B37</f>
        <v>一级</v>
      </c>
      <c r="I52" s="727">
        <f>SUMIF(修正!A57:A68,H52,修正!B57:B68)</f>
        <v>0.7</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1892</v>
      </c>
      <c r="B53" s="210" t="e">
        <f t="shared" ref="B53:B60" si="17">ROUND($C$43*C53*D53,0)</f>
        <v>#DIV/0!</v>
      </c>
      <c r="C53" s="163">
        <f t="shared" si="16"/>
        <v>0.4</v>
      </c>
      <c r="D53" s="891">
        <v>0.25</v>
      </c>
      <c r="E53" s="614"/>
      <c r="F53" s="611" t="e">
        <f t="shared" si="15"/>
        <v>#DIV/0!</v>
      </c>
      <c r="G53" s="2750"/>
      <c r="H53" s="834" t="str">
        <f>项目基本情况!B37</f>
        <v>一级</v>
      </c>
      <c r="I53" s="727">
        <f>SUMIF(修正!A57:A68,H53,修正!C57:C68)</f>
        <v>0.4</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1893</v>
      </c>
      <c r="B54" s="210" t="e">
        <f t="shared" si="17"/>
        <v>#DIV/0!</v>
      </c>
      <c r="C54" s="163">
        <f t="shared" si="16"/>
        <v>0.3</v>
      </c>
      <c r="D54" s="891">
        <v>0.25</v>
      </c>
      <c r="E54" s="614"/>
      <c r="F54" s="611" t="e">
        <f t="shared" si="15"/>
        <v>#DIV/0!</v>
      </c>
      <c r="G54" s="2750"/>
      <c r="H54" s="834" t="str">
        <f>项目基本情况!B37</f>
        <v>一级</v>
      </c>
      <c r="I54" s="727">
        <f>SUMIF(修正!A57:A68,H54,修正!D57:D68)</f>
        <v>0.3</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1894</v>
      </c>
      <c r="B56" s="210" t="e">
        <f t="shared" si="17"/>
        <v>#DIV/0!</v>
      </c>
      <c r="C56" s="163">
        <f t="shared" si="16"/>
        <v>0.3</v>
      </c>
      <c r="D56" s="891">
        <v>0.25</v>
      </c>
      <c r="E56" s="209">
        <f>'数据-汇总表'!E11</f>
        <v>0</v>
      </c>
      <c r="F56" s="611" t="e">
        <f t="shared" si="15"/>
        <v>#DIV/0!</v>
      </c>
      <c r="G56" s="1835" t="s">
        <v>1895</v>
      </c>
      <c r="H56" s="834" t="str">
        <f>项目基本情况!C37</f>
        <v>一级</v>
      </c>
      <c r="I56" s="727">
        <f>SUMIF(修正!A57:A68,H56,修正!E57:E68)</f>
        <v>0.3</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1896</v>
      </c>
      <c r="B57" s="210" t="e">
        <f t="shared" si="17"/>
        <v>#DIV/0!</v>
      </c>
      <c r="C57" s="163">
        <f t="shared" si="16"/>
        <v>0.3</v>
      </c>
      <c r="D57" s="891">
        <v>0.25</v>
      </c>
      <c r="E57" s="209">
        <f>'数据-汇总表'!E12</f>
        <v>0</v>
      </c>
      <c r="F57" s="611" t="e">
        <f t="shared" si="15"/>
        <v>#DIV/0!</v>
      </c>
      <c r="G57" s="839" t="s">
        <v>1897</v>
      </c>
      <c r="H57" s="834" t="str">
        <f>IF(G57="商业",项目基本情况!B37,IF(G57="办公",项目基本情况!C37,IF(G57="住宅",项目基本情况!D37,项目基本情况!E37)))</f>
        <v>一级</v>
      </c>
      <c r="I57" s="727">
        <f>SUMIF(修正!A57:A68,H57,修正!F57:F68)</f>
        <v>0.3</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1898</v>
      </c>
      <c r="B58" s="210" t="e">
        <f t="shared" si="17"/>
        <v>#DIV/0!</v>
      </c>
      <c r="C58" s="163">
        <f t="shared" si="16"/>
        <v>0</v>
      </c>
      <c r="D58" s="891">
        <v>0.25</v>
      </c>
      <c r="E58" s="209">
        <f>'数据-汇总表'!E13</f>
        <v>0</v>
      </c>
      <c r="F58" s="611" t="e">
        <f t="shared" si="15"/>
        <v>#DIV/0!</v>
      </c>
      <c r="G58" s="839" t="s">
        <v>1899</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1900</v>
      </c>
      <c r="B59" s="210" t="e">
        <f t="shared" si="17"/>
        <v>#DIV/0!</v>
      </c>
      <c r="C59" s="163">
        <f t="shared" si="16"/>
        <v>0.2</v>
      </c>
      <c r="D59" s="891">
        <v>0.25</v>
      </c>
      <c r="E59" s="209">
        <f>'数据-汇总表'!E14</f>
        <v>0</v>
      </c>
      <c r="F59" s="611" t="e">
        <f t="shared" si="15"/>
        <v>#DIV/0!</v>
      </c>
      <c r="G59" s="1835" t="s">
        <v>1891</v>
      </c>
      <c r="H59" s="834" t="str">
        <f>项目基本情况!B37</f>
        <v>一级</v>
      </c>
      <c r="I59" s="727">
        <f>SUMIF(修正!A57:A68,H59,修正!G57:G68)</f>
        <v>0.2</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5" thickBot="1">
      <c r="A60" s="613" t="s">
        <v>1901</v>
      </c>
      <c r="B60" s="210" t="e">
        <f t="shared" si="17"/>
        <v>#DIV/0!</v>
      </c>
      <c r="C60" s="163">
        <f t="shared" si="16"/>
        <v>0.2</v>
      </c>
      <c r="D60" s="891">
        <v>0.25</v>
      </c>
      <c r="E60" s="209">
        <f>'数据-汇总表'!E15</f>
        <v>0</v>
      </c>
      <c r="F60" s="611" t="e">
        <f t="shared" si="15"/>
        <v>#DIV/0!</v>
      </c>
      <c r="G60" s="1836" t="s">
        <v>1895</v>
      </c>
      <c r="H60" s="844" t="str">
        <f>项目基本情况!C37</f>
        <v>一级</v>
      </c>
      <c r="I60" s="727">
        <f>SUMIF(修正!A57:A68,H60,修正!G57:G68)</f>
        <v>0.2</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5" thickBot="1">
      <c r="A61" s="615" t="s">
        <v>1902</v>
      </c>
      <c r="B61" s="616" t="s">
        <v>22</v>
      </c>
      <c r="C61" s="616" t="s">
        <v>23</v>
      </c>
      <c r="D61" s="616" t="s">
        <v>392</v>
      </c>
      <c r="E61" s="616">
        <f>IF(B41="楼面地价",SUM(E51:E60),'数据-汇总表'!D3)</f>
        <v>750.35</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2023-5-1</v>
      </c>
      <c r="D63" s="656">
        <f>EDATE(C63,-3)</f>
        <v>44958</v>
      </c>
      <c r="E63" s="656">
        <f>EDATE(D63,-3)</f>
        <v>44866</v>
      </c>
      <c r="F63" s="656">
        <f t="shared" ref="F63:O63" si="18">EDATE(E63,-3)</f>
        <v>44774</v>
      </c>
      <c r="G63" s="656">
        <f t="shared" si="18"/>
        <v>44682</v>
      </c>
      <c r="H63" s="656">
        <f t="shared" si="18"/>
        <v>44593</v>
      </c>
      <c r="I63" s="656">
        <f t="shared" si="18"/>
        <v>44501</v>
      </c>
      <c r="J63" s="656">
        <f t="shared" si="18"/>
        <v>44409</v>
      </c>
      <c r="K63" s="656">
        <f t="shared" si="18"/>
        <v>44317</v>
      </c>
      <c r="L63" s="656">
        <f t="shared" si="18"/>
        <v>44228</v>
      </c>
      <c r="M63" s="656">
        <f t="shared" si="18"/>
        <v>44136</v>
      </c>
      <c r="N63" s="656">
        <f t="shared" si="18"/>
        <v>44044</v>
      </c>
      <c r="O63" s="656">
        <f t="shared" si="18"/>
        <v>43952</v>
      </c>
      <c r="P63" s="2486"/>
      <c r="Q63" s="2486"/>
      <c r="R63" s="2486"/>
      <c r="S63" s="2486"/>
      <c r="T63" s="2486"/>
      <c r="U63" s="2486"/>
      <c r="V63" s="2486"/>
      <c r="W63" s="2486"/>
      <c r="X63" s="2486"/>
      <c r="Y63" s="2486"/>
      <c r="Z63" s="2486"/>
      <c r="AA63" s="2486"/>
      <c r="AB63" s="2486"/>
      <c r="AC63" s="2486"/>
      <c r="AD63" s="2486"/>
      <c r="AE63" s="2486"/>
    </row>
    <row r="64" spans="1:31" ht="21.75" thickBot="1">
      <c r="A64" s="658" t="s">
        <v>1797</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5">
      <c r="A65" s="1630" t="s">
        <v>1903</v>
      </c>
      <c r="B65" s="1046"/>
      <c r="C65" s="1101" t="str">
        <f>YEAR(C63)&amp;"-"&amp;ROUNDUP(MONTH(C63)/3,0)</f>
        <v>2023-2</v>
      </c>
      <c r="D65" s="1101" t="str">
        <f t="shared" ref="D65:O65" si="19">YEAR(D63)&amp;"-"&amp;ROUNDUP(MONTH(D63)/3,0)</f>
        <v>2023-1</v>
      </c>
      <c r="E65" s="1101" t="str">
        <f t="shared" si="19"/>
        <v>2022-4</v>
      </c>
      <c r="F65" s="1101" t="str">
        <f t="shared" si="19"/>
        <v>2022-3</v>
      </c>
      <c r="G65" s="1101" t="str">
        <f t="shared" si="19"/>
        <v>2022-2</v>
      </c>
      <c r="H65" s="1101" t="str">
        <f t="shared" si="19"/>
        <v>2022-1</v>
      </c>
      <c r="I65" s="1101" t="str">
        <f t="shared" si="19"/>
        <v>2021-4</v>
      </c>
      <c r="J65" s="1101" t="str">
        <f t="shared" si="19"/>
        <v>2021-3</v>
      </c>
      <c r="K65" s="1101" t="str">
        <f t="shared" si="19"/>
        <v>2021-2</v>
      </c>
      <c r="L65" s="1101" t="str">
        <f t="shared" si="19"/>
        <v>2021-1</v>
      </c>
      <c r="M65" s="1101" t="str">
        <f t="shared" si="19"/>
        <v>2020-4</v>
      </c>
      <c r="N65" s="1101" t="str">
        <f t="shared" si="19"/>
        <v>2020-3</v>
      </c>
      <c r="O65" s="1101" t="str">
        <f t="shared" si="19"/>
        <v>2020-2</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1923</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8"/>
      <c r="R66" s="2438"/>
      <c r="S66" s="2438"/>
      <c r="T66" s="2438"/>
      <c r="U66" s="2438"/>
      <c r="V66" s="2438"/>
      <c r="W66" s="2438"/>
      <c r="X66" s="2438"/>
      <c r="Y66" s="2438"/>
      <c r="Z66" s="2438"/>
      <c r="AA66" s="2438"/>
      <c r="AB66" s="2438"/>
      <c r="AC66" s="2438"/>
      <c r="AD66" s="2438"/>
      <c r="AE66" s="2438"/>
    </row>
    <row r="67" spans="1:31" s="102" customFormat="1" ht="15.75" thickBot="1">
      <c r="A67" s="449" t="s">
        <v>1715</v>
      </c>
      <c r="B67" s="450"/>
      <c r="C67" s="451"/>
      <c r="D67" s="452"/>
      <c r="E67" s="452"/>
      <c r="F67" s="452"/>
      <c r="G67" s="452"/>
      <c r="H67" s="452"/>
      <c r="I67" s="452"/>
      <c r="J67" s="452"/>
      <c r="K67" s="452"/>
      <c r="L67" s="452"/>
      <c r="M67" s="453"/>
      <c r="N67" s="453"/>
      <c r="O67" s="454"/>
      <c r="P67" s="2507"/>
      <c r="Q67" s="2507"/>
      <c r="R67" s="2438"/>
      <c r="S67" s="2438"/>
      <c r="T67" s="2438"/>
      <c r="U67" s="2438"/>
      <c r="V67" s="2438"/>
      <c r="W67" s="2438"/>
      <c r="X67" s="2438"/>
      <c r="Y67" s="2438"/>
      <c r="Z67" s="2438"/>
      <c r="AA67" s="2438"/>
      <c r="AB67" s="2438"/>
      <c r="AC67" s="2438"/>
      <c r="AD67" s="2438"/>
      <c r="AE67" s="2438"/>
    </row>
    <row r="68" spans="1:31" s="102" customFormat="1" ht="15">
      <c r="A68" s="455" t="s">
        <v>1680</v>
      </c>
      <c r="B68" s="444"/>
      <c r="C68" s="456" t="s">
        <v>1775</v>
      </c>
      <c r="D68" s="31"/>
      <c r="E68" s="31"/>
      <c r="F68" s="31"/>
      <c r="G68" s="31"/>
      <c r="H68" s="31"/>
      <c r="I68" s="31"/>
      <c r="J68" s="31"/>
      <c r="K68" s="31"/>
      <c r="L68" s="457"/>
      <c r="M68" s="458"/>
      <c r="N68" s="2519"/>
      <c r="O68" s="2519"/>
      <c r="P68" s="2543"/>
      <c r="Q68" s="2507"/>
      <c r="R68" s="2438"/>
      <c r="S68" s="2438"/>
      <c r="T68" s="2438"/>
      <c r="U68" s="2438"/>
      <c r="V68" s="2438"/>
      <c r="W68" s="2438"/>
      <c r="X68" s="2438"/>
      <c r="Y68" s="2438"/>
      <c r="Z68" s="2438"/>
      <c r="AA68" s="2438"/>
      <c r="AB68" s="2438"/>
      <c r="AC68" s="2438"/>
      <c r="AD68" s="2438"/>
      <c r="AE68" s="2438"/>
    </row>
    <row r="69" spans="1:31" s="102" customFormat="1" ht="15.75" thickBot="1">
      <c r="A69" s="455"/>
      <c r="B69" s="444"/>
      <c r="C69" s="563">
        <v>100</v>
      </c>
      <c r="D69" s="446"/>
      <c r="E69" s="446"/>
      <c r="F69" s="446"/>
      <c r="G69" s="446"/>
      <c r="H69" s="446"/>
      <c r="I69" s="446"/>
      <c r="J69" s="446"/>
      <c r="K69" s="446"/>
      <c r="L69" s="446"/>
      <c r="M69" s="448"/>
      <c r="N69" s="2519"/>
      <c r="O69" s="2519"/>
      <c r="P69" s="2507"/>
      <c r="Q69" s="2507"/>
      <c r="R69" s="2438"/>
      <c r="S69" s="2438"/>
      <c r="T69" s="2438"/>
      <c r="U69" s="2438"/>
      <c r="V69" s="2438"/>
      <c r="W69" s="2438"/>
      <c r="X69" s="2438"/>
      <c r="Y69" s="2438"/>
      <c r="Z69" s="2438"/>
      <c r="AA69" s="2438"/>
      <c r="AB69" s="2438"/>
      <c r="AC69" s="2438"/>
      <c r="AD69" s="2438"/>
      <c r="AE69" s="2438"/>
    </row>
    <row r="70" spans="1:31">
      <c r="A70" s="379" t="s">
        <v>1718</v>
      </c>
      <c r="B70" s="460" t="s">
        <v>1684</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7"/>
      <c r="B72" s="469" t="s">
        <v>1687</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7"/>
      <c r="B74" s="477" t="s">
        <v>1688</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5.7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5.7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5.7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5.7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5.7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5.7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1689</v>
      </c>
      <c r="B83" s="460" t="s">
        <v>1828</v>
      </c>
      <c r="C83" s="504" t="s">
        <v>1720</v>
      </c>
      <c r="D83" s="504" t="s">
        <v>1721</v>
      </c>
      <c r="E83" s="504" t="s">
        <v>1722</v>
      </c>
      <c r="F83" s="504" t="s">
        <v>1723</v>
      </c>
      <c r="G83" s="504" t="s">
        <v>1724</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7"/>
      <c r="B85" s="469" t="s">
        <v>1725</v>
      </c>
      <c r="C85" s="509" t="s">
        <v>1720</v>
      </c>
      <c r="D85" s="509" t="s">
        <v>1721</v>
      </c>
      <c r="E85" s="509" t="s">
        <v>1722</v>
      </c>
      <c r="F85" s="509" t="s">
        <v>1723</v>
      </c>
      <c r="G85" s="509" t="s">
        <v>1724</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15.75" thickTop="1">
      <c r="A87" s="370"/>
      <c r="B87" s="469" t="s">
        <v>1906</v>
      </c>
      <c r="C87" s="504" t="s">
        <v>1720</v>
      </c>
      <c r="D87" s="504" t="s">
        <v>1721</v>
      </c>
      <c r="E87" s="504" t="s">
        <v>1722</v>
      </c>
      <c r="F87" s="504" t="s">
        <v>1723</v>
      </c>
      <c r="G87" s="504" t="s">
        <v>1724</v>
      </c>
      <c r="H87" s="509"/>
      <c r="I87" s="509"/>
      <c r="J87" s="509"/>
      <c r="K87" s="509"/>
      <c r="L87" s="618"/>
      <c r="M87" s="547"/>
      <c r="N87" s="2519"/>
      <c r="O87" s="2519"/>
      <c r="P87" s="2519"/>
      <c r="Q87" s="2507"/>
      <c r="R87" s="2438"/>
      <c r="S87" s="2438"/>
      <c r="T87" s="2438"/>
      <c r="U87" s="2438"/>
      <c r="V87" s="2438"/>
      <c r="W87" s="2438"/>
      <c r="X87" s="2438"/>
      <c r="Y87" s="2438"/>
      <c r="Z87" s="2438"/>
      <c r="AA87" s="2438"/>
      <c r="AB87" s="2438"/>
      <c r="AC87" s="2438"/>
      <c r="AD87" s="2438"/>
      <c r="AE87" s="2438"/>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8"/>
      <c r="S88" s="2438"/>
      <c r="T88" s="2438"/>
      <c r="U88" s="2438"/>
      <c r="V88" s="2438"/>
      <c r="W88" s="2438"/>
      <c r="X88" s="2438"/>
      <c r="Y88" s="2438"/>
      <c r="Z88" s="2438"/>
      <c r="AA88" s="2438"/>
      <c r="AB88" s="2438"/>
      <c r="AC88" s="2438"/>
      <c r="AD88" s="2438"/>
      <c r="AE88" s="2438"/>
    </row>
    <row r="89" spans="1:31" s="102" customFormat="1" ht="27.75" thickTop="1">
      <c r="A89" s="370"/>
      <c r="B89" s="469" t="s">
        <v>1907</v>
      </c>
      <c r="C89" s="504" t="s">
        <v>1720</v>
      </c>
      <c r="D89" s="504" t="s">
        <v>1721</v>
      </c>
      <c r="E89" s="504" t="s">
        <v>1722</v>
      </c>
      <c r="F89" s="504" t="s">
        <v>1723</v>
      </c>
      <c r="G89" s="504" t="s">
        <v>1724</v>
      </c>
      <c r="H89" s="509"/>
      <c r="I89" s="509"/>
      <c r="J89" s="509"/>
      <c r="K89" s="509"/>
      <c r="L89" s="509"/>
      <c r="M89" s="547"/>
      <c r="N89" s="2519"/>
      <c r="O89" s="2519"/>
      <c r="P89" s="2519"/>
      <c r="Q89" s="2507"/>
      <c r="R89" s="2438"/>
      <c r="S89" s="2438"/>
      <c r="T89" s="2438"/>
      <c r="U89" s="2438"/>
      <c r="V89" s="2438"/>
      <c r="W89" s="2438"/>
      <c r="X89" s="2438"/>
      <c r="Y89" s="2438"/>
      <c r="Z89" s="2438"/>
      <c r="AA89" s="2438"/>
      <c r="AB89" s="2438"/>
      <c r="AC89" s="2438"/>
      <c r="AD89" s="2438"/>
      <c r="AE89" s="2438"/>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8"/>
      <c r="S90" s="2438"/>
      <c r="T90" s="2438"/>
      <c r="U90" s="2438"/>
      <c r="V90" s="2438"/>
      <c r="W90" s="2438"/>
      <c r="X90" s="2438"/>
      <c r="Y90" s="2438"/>
      <c r="Z90" s="2438"/>
      <c r="AA90" s="2438"/>
      <c r="AB90" s="2438"/>
      <c r="AC90" s="2438"/>
      <c r="AD90" s="2438"/>
      <c r="AE90" s="2438"/>
    </row>
    <row r="91" spans="1:31" s="408" customFormat="1" ht="15.75" thickTop="1">
      <c r="A91" s="484"/>
      <c r="B91" s="469" t="s">
        <v>1777</v>
      </c>
      <c r="C91" s="504" t="s">
        <v>1720</v>
      </c>
      <c r="D91" s="504" t="s">
        <v>1721</v>
      </c>
      <c r="E91" s="504" t="s">
        <v>1722</v>
      </c>
      <c r="F91" s="504" t="s">
        <v>1723</v>
      </c>
      <c r="G91" s="504" t="s">
        <v>1724</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75" thickTop="1">
      <c r="A93" s="484"/>
      <c r="B93" s="477" t="s">
        <v>1924</v>
      </c>
      <c r="C93" s="581" t="s">
        <v>1798</v>
      </c>
      <c r="D93" s="581" t="s">
        <v>1799</v>
      </c>
      <c r="E93" s="581" t="s">
        <v>1800</v>
      </c>
      <c r="F93" s="581" t="s">
        <v>1801</v>
      </c>
      <c r="G93" s="581" t="s">
        <v>1802</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7"/>
      <c r="B95" s="469" t="str">
        <f>B27</f>
        <v>临街状况</v>
      </c>
      <c r="C95" s="470" t="s">
        <v>1908</v>
      </c>
      <c r="D95" s="470" t="s">
        <v>1909</v>
      </c>
      <c r="E95" s="470" t="s">
        <v>1910</v>
      </c>
      <c r="F95" s="470" t="s">
        <v>1911</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7"/>
      <c r="B97" s="469" t="s">
        <v>1814</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7"/>
      <c r="B99" s="469" t="s">
        <v>1872</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5.7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1693</v>
      </c>
      <c r="B107" s="460" t="s">
        <v>1912</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1913</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1915</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1916</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5.7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2082</v>
      </c>
      <c r="C1" s="3506" t="s">
        <v>2083</v>
      </c>
      <c r="D1" s="3507"/>
      <c r="E1" s="3507"/>
      <c r="F1" s="3507"/>
      <c r="G1" s="3507"/>
      <c r="H1" s="3507"/>
      <c r="I1" s="3507"/>
      <c r="J1" s="3507"/>
      <c r="K1" s="3507"/>
      <c r="L1" s="3507"/>
      <c r="M1" s="3507"/>
      <c r="N1" s="3507"/>
      <c r="O1" s="3507"/>
      <c r="P1" s="3507"/>
      <c r="Q1" s="3507"/>
      <c r="R1" s="3507"/>
      <c r="S1" s="3508"/>
      <c r="T1" s="929" t="s">
        <v>2084</v>
      </c>
    </row>
    <row r="2" spans="1:45" s="625" customFormat="1">
      <c r="A2" s="930"/>
      <c r="B2" s="622" t="s">
        <v>2085</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2086</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2087</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2088</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2089</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2090</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2091</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2092</v>
      </c>
      <c r="B17" s="1987" t="s">
        <v>2093</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2094</v>
      </c>
      <c r="E19" s="1253"/>
      <c r="F19" s="1253"/>
      <c r="G19" s="1253"/>
      <c r="H19" s="996"/>
      <c r="I19" s="151"/>
      <c r="J19" s="151"/>
      <c r="K19" s="151"/>
      <c r="L19" s="151"/>
      <c r="M19" s="151"/>
      <c r="N19" s="151"/>
      <c r="O19" s="151"/>
      <c r="P19" s="151"/>
      <c r="Q19" s="151"/>
      <c r="R19" s="151"/>
      <c r="S19" s="121"/>
    </row>
    <row r="20" spans="1:45" ht="16.5" thickBot="1">
      <c r="A20" s="632" t="s">
        <v>2095</v>
      </c>
      <c r="B20" s="286" t="e">
        <f ca="1">IF(D20="——",S22,S22-F20)</f>
        <v>#REF!</v>
      </c>
      <c r="C20" s="151"/>
      <c r="D20" s="1989"/>
      <c r="E20" s="1254"/>
      <c r="F20" s="929" t="e">
        <f ca="1">SUMIF(INDIRECT("'"&amp;H20&amp;"'"&amp;"!A:A"),"承租人权益价值",INDIRECT("'"&amp;H20&amp;"'"&amp;"!c:c"))</f>
        <v>#REF!</v>
      </c>
      <c r="G20" s="929" t="s">
        <v>2096</v>
      </c>
      <c r="H20" s="1990"/>
      <c r="I20" s="151"/>
      <c r="J20" s="151"/>
      <c r="K20" s="151"/>
      <c r="L20" s="151"/>
      <c r="M20" s="151"/>
      <c r="N20" s="151"/>
      <c r="O20" s="151"/>
      <c r="P20" s="151"/>
      <c r="Q20" s="151"/>
      <c r="R20" s="151"/>
      <c r="S20" s="121"/>
    </row>
    <row r="21" spans="1:45" ht="15.75">
      <c r="A21" s="632" t="s">
        <v>2097</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2098</v>
      </c>
      <c r="B22" s="21">
        <f>SUM(B24:B10000)</f>
        <v>0</v>
      </c>
      <c r="C22" s="3503" t="s">
        <v>27</v>
      </c>
      <c r="D22" s="3504"/>
      <c r="E22" s="3504"/>
      <c r="F22" s="3504"/>
      <c r="G22" s="3504"/>
      <c r="H22" s="3504"/>
      <c r="I22" s="3504"/>
      <c r="J22" s="3504"/>
      <c r="K22" s="3504"/>
      <c r="L22" s="3504"/>
      <c r="M22" s="3504"/>
      <c r="N22" s="3504"/>
      <c r="O22" s="3504"/>
      <c r="P22" s="3504"/>
      <c r="Q22" s="3505"/>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2104</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2080</v>
      </c>
      <c r="B1" s="4"/>
      <c r="C1" s="4"/>
      <c r="D1" s="4"/>
      <c r="E1" s="4"/>
      <c r="F1" s="2543"/>
      <c r="G1" s="2543"/>
      <c r="H1" s="2543"/>
      <c r="I1" s="2543"/>
      <c r="J1" s="2543"/>
      <c r="K1" s="2543"/>
      <c r="L1" s="2543"/>
      <c r="M1" s="2543"/>
      <c r="N1" s="2543"/>
      <c r="O1" s="2543"/>
      <c r="P1" s="2543"/>
    </row>
    <row r="2" spans="1:16" ht="15.75">
      <c r="A2" s="1984" t="s">
        <v>2072</v>
      </c>
      <c r="B2" s="2386">
        <f ca="1">SUMIF(B6:B13,"&lt;&gt;#ref!",B6:B13)</f>
        <v>0</v>
      </c>
      <c r="C2" s="1984" t="s">
        <v>2073</v>
      </c>
      <c r="D2" s="1984" t="s">
        <v>2074</v>
      </c>
      <c r="E2" s="2396">
        <f ca="1">SUMIF(E6:E13,"&lt;&gt;#ref!",E6:E13)</f>
        <v>6547.83</v>
      </c>
      <c r="F2" s="2543"/>
      <c r="G2" s="2543"/>
      <c r="H2" s="2543"/>
      <c r="I2" s="2543"/>
      <c r="J2" s="2543"/>
      <c r="K2" s="2543"/>
      <c r="L2" s="2543"/>
      <c r="M2" s="2543"/>
      <c r="N2" s="2543"/>
      <c r="O2" s="2543"/>
      <c r="P2" s="2543"/>
    </row>
    <row r="3" spans="1:16" ht="15.75">
      <c r="A3" s="1984" t="s">
        <v>2075</v>
      </c>
      <c r="B3" s="2386">
        <f ca="1">ROUND(B2*10000/E2,0)</f>
        <v>0</v>
      </c>
      <c r="C3" s="1984" t="s">
        <v>2081</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2" t="s">
        <v>2076</v>
      </c>
      <c r="B5" s="2394" t="s">
        <v>2077</v>
      </c>
      <c r="C5" s="1985"/>
      <c r="D5" s="2543"/>
      <c r="E5" s="2395" t="s">
        <v>2078</v>
      </c>
      <c r="F5" s="2543"/>
      <c r="G5" s="2543"/>
      <c r="H5" s="2543"/>
      <c r="I5" s="2543"/>
      <c r="J5" s="2543"/>
      <c r="K5" s="2543"/>
      <c r="L5" s="2543"/>
      <c r="M5" s="2543"/>
      <c r="N5" s="2543"/>
      <c r="O5" s="2543"/>
      <c r="P5" s="2543"/>
    </row>
    <row r="6" spans="1:16" ht="15.75">
      <c r="A6" s="2393" t="s">
        <v>2079</v>
      </c>
      <c r="B6" s="2386">
        <f ca="1">SUMIF(INDIRECT("'"&amp;A6&amp;"'"&amp;"!A:A"),"总价",INDIRECT("'"&amp;A6&amp;"'"&amp;"!B:B"))</f>
        <v>0</v>
      </c>
      <c r="C6" s="1984" t="s">
        <v>2073</v>
      </c>
      <c r="D6" s="2543"/>
      <c r="E6" s="2396">
        <f ca="1">SUMIF(INDIRECT("'"&amp;A6&amp;"'"&amp;"!C:C"),"建筑面积",INDIRECT("'"&amp;A6&amp;"'"&amp;"!D:D"))</f>
        <v>6547.83</v>
      </c>
      <c r="F6" s="2543"/>
      <c r="G6" s="2543"/>
      <c r="H6" s="2543"/>
      <c r="I6" s="2543"/>
      <c r="J6" s="2543"/>
      <c r="K6" s="2543"/>
      <c r="L6" s="2543"/>
      <c r="M6" s="2543"/>
      <c r="N6" s="2543"/>
      <c r="O6" s="2543"/>
      <c r="P6" s="2543"/>
    </row>
    <row r="7" spans="1:16" ht="15.75">
      <c r="A7" s="2393"/>
      <c r="B7" s="2386" t="e">
        <f ca="1">SUMIF(INDIRECT("'"&amp;A7&amp;"'"&amp;"!A:A"),"总价",INDIRECT("'"&amp;A7&amp;"'"&amp;"!B:B"))</f>
        <v>#REF!</v>
      </c>
      <c r="C7" s="1984" t="s">
        <v>2073</v>
      </c>
      <c r="D7" s="2543"/>
      <c r="E7" s="2396" t="e">
        <f t="shared" ref="E7:E13" ca="1" si="0">SUMIF(INDIRECT("'"&amp;A7&amp;"'"&amp;"!C:C"),"建筑面积",INDIRECT("'"&amp;A7&amp;"'"&amp;"!D:D"))</f>
        <v>#REF!</v>
      </c>
      <c r="F7" s="2543"/>
      <c r="G7" s="2543"/>
      <c r="H7" s="2543"/>
      <c r="I7" s="2543"/>
      <c r="J7" s="2543"/>
      <c r="K7" s="2543"/>
      <c r="L7" s="2543"/>
      <c r="M7" s="2543"/>
      <c r="N7" s="2543"/>
      <c r="O7" s="2543"/>
      <c r="P7" s="2543"/>
    </row>
    <row r="8" spans="1:16" ht="15.75">
      <c r="A8" s="2393"/>
      <c r="B8" s="2386" t="e">
        <f t="shared" ref="B8:B13" ca="1" si="1">SUMIF(INDIRECT("'"&amp;A8&amp;"'"&amp;"!A:A"),"总价",INDIRECT("'"&amp;A8&amp;"'"&amp;"!B:B"))</f>
        <v>#REF!</v>
      </c>
      <c r="C8" s="1984" t="s">
        <v>2073</v>
      </c>
      <c r="D8" s="2543"/>
      <c r="E8" s="2396" t="e">
        <f t="shared" ca="1" si="0"/>
        <v>#REF!</v>
      </c>
      <c r="F8" s="2543"/>
      <c r="G8" s="2543"/>
      <c r="H8" s="2543"/>
      <c r="I8" s="2543"/>
      <c r="J8" s="2543"/>
      <c r="K8" s="2543"/>
      <c r="L8" s="2543"/>
      <c r="M8" s="2543"/>
      <c r="N8" s="2543"/>
      <c r="O8" s="2543"/>
      <c r="P8" s="2543"/>
    </row>
    <row r="9" spans="1:16" ht="15.75">
      <c r="A9" s="2393"/>
      <c r="B9" s="2386" t="e">
        <f t="shared" ca="1" si="1"/>
        <v>#REF!</v>
      </c>
      <c r="C9" s="1984" t="s">
        <v>2073</v>
      </c>
      <c r="D9" s="2543"/>
      <c r="E9" s="2396" t="e">
        <f t="shared" ca="1" si="0"/>
        <v>#REF!</v>
      </c>
      <c r="F9" s="2543"/>
      <c r="G9" s="2543"/>
      <c r="H9" s="2543"/>
      <c r="I9" s="2543"/>
      <c r="J9" s="2543"/>
      <c r="K9" s="2543"/>
      <c r="L9" s="2543"/>
      <c r="M9" s="2543"/>
      <c r="N9" s="2543"/>
      <c r="O9" s="2543"/>
      <c r="P9" s="2543"/>
    </row>
    <row r="10" spans="1:16" ht="15.75">
      <c r="A10" s="2393"/>
      <c r="B10" s="2386" t="e">
        <f t="shared" ca="1" si="1"/>
        <v>#REF!</v>
      </c>
      <c r="C10" s="1984" t="s">
        <v>2073</v>
      </c>
      <c r="D10" s="2543"/>
      <c r="E10" s="2396" t="e">
        <f t="shared" ca="1" si="0"/>
        <v>#REF!</v>
      </c>
      <c r="F10" s="2543"/>
      <c r="G10" s="2543"/>
      <c r="H10" s="2543"/>
      <c r="I10" s="2543"/>
      <c r="J10" s="2543"/>
      <c r="K10" s="2543"/>
      <c r="L10" s="2543"/>
      <c r="M10" s="2543"/>
      <c r="N10" s="2543"/>
      <c r="O10" s="2543"/>
      <c r="P10" s="2543"/>
    </row>
    <row r="11" spans="1:16" ht="15.75">
      <c r="A11" s="2393"/>
      <c r="B11" s="2386" t="e">
        <f t="shared" ca="1" si="1"/>
        <v>#REF!</v>
      </c>
      <c r="C11" s="1984" t="s">
        <v>2073</v>
      </c>
      <c r="D11" s="2543"/>
      <c r="E11" s="2396" t="e">
        <f t="shared" ca="1" si="0"/>
        <v>#REF!</v>
      </c>
      <c r="F11" s="2543"/>
      <c r="G11" s="2543"/>
      <c r="H11" s="2543"/>
      <c r="I11" s="2543"/>
      <c r="J11" s="2543"/>
      <c r="K11" s="2543"/>
      <c r="L11" s="2543"/>
      <c r="M11" s="2543"/>
      <c r="N11" s="2543"/>
      <c r="O11" s="2543"/>
      <c r="P11" s="2543"/>
    </row>
    <row r="12" spans="1:16" ht="15.75">
      <c r="A12" s="2393"/>
      <c r="B12" s="2386" t="e">
        <f t="shared" ca="1" si="1"/>
        <v>#REF!</v>
      </c>
      <c r="C12" s="1984" t="s">
        <v>2073</v>
      </c>
      <c r="D12" s="2543"/>
      <c r="E12" s="2396" t="e">
        <f t="shared" ca="1" si="0"/>
        <v>#REF!</v>
      </c>
      <c r="F12" s="2543"/>
      <c r="G12" s="2543"/>
      <c r="H12" s="2543"/>
      <c r="I12" s="2543"/>
      <c r="J12" s="2543"/>
      <c r="K12" s="2543"/>
      <c r="L12" s="2543"/>
      <c r="M12" s="2543"/>
      <c r="N12" s="2543"/>
      <c r="O12" s="2543"/>
      <c r="P12" s="2543"/>
    </row>
    <row r="13" spans="1:16" ht="15.75">
      <c r="A13" s="2393"/>
      <c r="B13" s="2386" t="e">
        <f t="shared" ca="1" si="1"/>
        <v>#REF!</v>
      </c>
      <c r="C13" s="1984" t="s">
        <v>2073</v>
      </c>
      <c r="D13" s="2543"/>
      <c r="E13" s="2396"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thickBot="1">
      <c r="A1" s="2809" t="s">
        <v>2592</v>
      </c>
      <c r="B1" s="2810" t="s">
        <v>2593</v>
      </c>
      <c r="C1" s="2810" t="s">
        <v>2594</v>
      </c>
      <c r="D1" s="2810" t="s">
        <v>2595</v>
      </c>
      <c r="E1" s="2810" t="s">
        <v>2596</v>
      </c>
      <c r="F1" s="2810" t="s">
        <v>2597</v>
      </c>
      <c r="G1" s="2810" t="s">
        <v>2598</v>
      </c>
      <c r="H1" s="2810" t="s">
        <v>2599</v>
      </c>
      <c r="I1" s="2810" t="s">
        <v>2600</v>
      </c>
      <c r="J1" s="2810" t="s">
        <v>2601</v>
      </c>
      <c r="K1" s="2810" t="s">
        <v>2602</v>
      </c>
      <c r="L1" s="2810" t="s">
        <v>2603</v>
      </c>
      <c r="M1" s="2811" t="s">
        <v>2604</v>
      </c>
    </row>
    <row r="2" spans="1:13" ht="19.5" customHeight="1">
      <c r="A2" s="2813" t="s">
        <v>2605</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2606</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2607</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2608</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2609</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2610</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2611</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2612</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2613</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2614</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2615</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2616</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2617</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2618</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2619</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2620</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2621</v>
      </c>
      <c r="B18" s="2835"/>
      <c r="C18" s="2836"/>
      <c r="D18" s="2836"/>
      <c r="E18" s="2835"/>
      <c r="F18" s="2836"/>
      <c r="G18" s="2836"/>
    </row>
    <row r="19" spans="1:13" ht="19.5" customHeight="1" thickBot="1">
      <c r="A19" s="2833" t="s">
        <v>2622</v>
      </c>
      <c r="B19" s="2838" t="s">
        <v>2623</v>
      </c>
      <c r="C19" s="2838" t="s">
        <v>2624</v>
      </c>
      <c r="D19" s="2839"/>
      <c r="E19" s="2833" t="s">
        <v>2625</v>
      </c>
      <c r="F19" s="2840"/>
      <c r="G19" s="2840"/>
    </row>
    <row r="20" spans="1:13" ht="19.5" customHeight="1">
      <c r="A20" s="3516" t="s">
        <v>2605</v>
      </c>
      <c r="B20" s="3509" t="s">
        <v>2626</v>
      </c>
      <c r="C20" s="2841" t="s">
        <v>2437</v>
      </c>
      <c r="D20" s="2842"/>
      <c r="E20" s="2843">
        <v>1</v>
      </c>
      <c r="F20" s="2844" t="s">
        <v>2438</v>
      </c>
      <c r="G20" s="2844"/>
    </row>
    <row r="21" spans="1:13" ht="19.5" customHeight="1">
      <c r="A21" s="3517"/>
      <c r="B21" s="3510"/>
      <c r="C21" s="2845" t="s">
        <v>2439</v>
      </c>
      <c r="D21" s="2846"/>
      <c r="E21" s="2847">
        <v>1</v>
      </c>
      <c r="F21" s="2844" t="s">
        <v>2440</v>
      </c>
      <c r="G21" s="2844"/>
    </row>
    <row r="22" spans="1:13" ht="19.5" customHeight="1">
      <c r="A22" s="3517"/>
      <c r="B22" s="3510"/>
      <c r="C22" s="2845" t="s">
        <v>2441</v>
      </c>
      <c r="D22" s="2846"/>
      <c r="E22" s="2847">
        <v>0.9</v>
      </c>
      <c r="F22" s="2844" t="s">
        <v>2442</v>
      </c>
      <c r="G22" s="2844"/>
    </row>
    <row r="23" spans="1:13" ht="19.5" customHeight="1">
      <c r="A23" s="3517"/>
      <c r="B23" s="3510"/>
      <c r="C23" s="2845" t="s">
        <v>2443</v>
      </c>
      <c r="D23" s="2846"/>
      <c r="E23" s="2847">
        <v>0.9</v>
      </c>
      <c r="F23" s="2844" t="s">
        <v>2444</v>
      </c>
      <c r="G23" s="2844"/>
    </row>
    <row r="24" spans="1:13" ht="19.5" customHeight="1">
      <c r="A24" s="3517"/>
      <c r="B24" s="3510"/>
      <c r="C24" s="2845" t="s">
        <v>2445</v>
      </c>
      <c r="D24" s="2846"/>
      <c r="E24" s="2847">
        <v>0.8</v>
      </c>
      <c r="F24" s="2844" t="s">
        <v>2446</v>
      </c>
      <c r="G24" s="2844"/>
    </row>
    <row r="25" spans="1:13" ht="19.5" customHeight="1" thickBot="1">
      <c r="A25" s="3518"/>
      <c r="B25" s="3511"/>
      <c r="C25" s="2848" t="s">
        <v>2447</v>
      </c>
      <c r="D25" s="2849"/>
      <c r="E25" s="2850">
        <v>0.8</v>
      </c>
      <c r="F25" s="2844" t="s">
        <v>2448</v>
      </c>
      <c r="G25" s="2844"/>
    </row>
    <row r="26" spans="1:13" ht="19.5" customHeight="1" thickBot="1">
      <c r="A26" s="2851" t="s">
        <v>2627</v>
      </c>
      <c r="B26" s="2852" t="s">
        <v>2626</v>
      </c>
      <c r="C26" s="2853" t="s">
        <v>2628</v>
      </c>
      <c r="D26" s="2854"/>
      <c r="E26" s="2855">
        <v>1</v>
      </c>
      <c r="F26" s="2844" t="s">
        <v>2449</v>
      </c>
      <c r="G26" s="2844"/>
    </row>
    <row r="27" spans="1:13" ht="19.5" customHeight="1">
      <c r="A27" s="3512" t="s">
        <v>2629</v>
      </c>
      <c r="B27" s="3509" t="s">
        <v>2610</v>
      </c>
      <c r="C27" s="2841" t="s">
        <v>2450</v>
      </c>
      <c r="D27" s="2842"/>
      <c r="E27" s="2843">
        <v>1</v>
      </c>
      <c r="F27" s="2844" t="s">
        <v>2451</v>
      </c>
      <c r="G27" s="2844"/>
    </row>
    <row r="28" spans="1:13" ht="19.5" customHeight="1">
      <c r="A28" s="3513"/>
      <c r="B28" s="3510"/>
      <c r="C28" s="2845" t="s">
        <v>2452</v>
      </c>
      <c r="D28" s="2846"/>
      <c r="E28" s="2847">
        <v>1</v>
      </c>
      <c r="F28" s="2844" t="s">
        <v>2453</v>
      </c>
      <c r="G28" s="2844"/>
    </row>
    <row r="29" spans="1:13" ht="19.5" customHeight="1">
      <c r="A29" s="3513"/>
      <c r="B29" s="3510"/>
      <c r="C29" s="2845" t="s">
        <v>2454</v>
      </c>
      <c r="D29" s="2846"/>
      <c r="E29" s="2847">
        <v>0.8</v>
      </c>
      <c r="F29" s="2844" t="s">
        <v>2455</v>
      </c>
      <c r="G29" s="2844"/>
    </row>
    <row r="30" spans="1:13" ht="19.5" customHeight="1">
      <c r="A30" s="3513"/>
      <c r="B30" s="3510"/>
      <c r="C30" s="2845" t="s">
        <v>2456</v>
      </c>
      <c r="D30" s="2846"/>
      <c r="E30" s="2847">
        <v>0.8</v>
      </c>
      <c r="F30" s="2844" t="s">
        <v>2457</v>
      </c>
      <c r="G30" s="2844"/>
    </row>
    <row r="31" spans="1:13" ht="19.5" customHeight="1">
      <c r="A31" s="3513"/>
      <c r="B31" s="3510"/>
      <c r="C31" s="2845" t="s">
        <v>2458</v>
      </c>
      <c r="D31" s="2846"/>
      <c r="E31" s="2847">
        <v>0.8</v>
      </c>
      <c r="F31" s="2844" t="s">
        <v>2459</v>
      </c>
      <c r="G31" s="2844"/>
    </row>
    <row r="32" spans="1:13" ht="19.5" customHeight="1">
      <c r="A32" s="3513"/>
      <c r="B32" s="3510"/>
      <c r="C32" s="2845" t="s">
        <v>2460</v>
      </c>
      <c r="D32" s="2846"/>
      <c r="E32" s="2847">
        <v>0.7</v>
      </c>
      <c r="F32" s="2844" t="s">
        <v>2461</v>
      </c>
      <c r="G32" s="2844"/>
    </row>
    <row r="33" spans="1:7" ht="19.5" customHeight="1">
      <c r="A33" s="3513"/>
      <c r="B33" s="3510"/>
      <c r="C33" s="2845" t="s">
        <v>2462</v>
      </c>
      <c r="D33" s="2846"/>
      <c r="E33" s="2847">
        <v>0.8</v>
      </c>
      <c r="F33" s="2844" t="s">
        <v>2463</v>
      </c>
      <c r="G33" s="2844"/>
    </row>
    <row r="34" spans="1:7" ht="19.5" customHeight="1">
      <c r="A34" s="3513"/>
      <c r="B34" s="3510"/>
      <c r="C34" s="2845" t="s">
        <v>2464</v>
      </c>
      <c r="D34" s="2846"/>
      <c r="E34" s="2847">
        <v>0.6</v>
      </c>
      <c r="F34" s="2844" t="s">
        <v>2465</v>
      </c>
      <c r="G34" s="2844"/>
    </row>
    <row r="35" spans="1:7" ht="19.5" customHeight="1">
      <c r="A35" s="3513"/>
      <c r="B35" s="3510"/>
      <c r="C35" s="2845" t="s">
        <v>2466</v>
      </c>
      <c r="D35" s="2846"/>
      <c r="E35" s="2847">
        <v>0.2</v>
      </c>
      <c r="F35" s="2844" t="s">
        <v>2467</v>
      </c>
      <c r="G35" s="2844"/>
    </row>
    <row r="36" spans="1:7" ht="19.5" customHeight="1">
      <c r="A36" s="3513"/>
      <c r="B36" s="3510"/>
      <c r="C36" s="2845" t="s">
        <v>2468</v>
      </c>
      <c r="D36" s="2846"/>
      <c r="E36" s="2847">
        <v>0.2</v>
      </c>
      <c r="F36" s="2844" t="s">
        <v>2469</v>
      </c>
      <c r="G36" s="2844"/>
    </row>
    <row r="37" spans="1:7" ht="19.5" customHeight="1">
      <c r="A37" s="3513"/>
      <c r="B37" s="3515" t="s">
        <v>2630</v>
      </c>
      <c r="C37" s="2845" t="s">
        <v>2470</v>
      </c>
      <c r="D37" s="2846"/>
      <c r="E37" s="2847">
        <v>0.6</v>
      </c>
      <c r="F37" s="2844" t="s">
        <v>2471</v>
      </c>
      <c r="G37" s="2844"/>
    </row>
    <row r="38" spans="1:7" ht="19.5" customHeight="1">
      <c r="A38" s="3513"/>
      <c r="B38" s="3510"/>
      <c r="C38" s="2845" t="s">
        <v>2472</v>
      </c>
      <c r="D38" s="2846"/>
      <c r="E38" s="2847">
        <v>0.6</v>
      </c>
      <c r="F38" s="2844" t="s">
        <v>2473</v>
      </c>
      <c r="G38" s="2844"/>
    </row>
    <row r="39" spans="1:7" ht="19.5" customHeight="1" thickBot="1">
      <c r="A39" s="3514"/>
      <c r="B39" s="3511"/>
      <c r="C39" s="2848" t="s">
        <v>2474</v>
      </c>
      <c r="D39" s="2849"/>
      <c r="E39" s="2850">
        <v>0.6</v>
      </c>
      <c r="F39" s="2844" t="s">
        <v>2475</v>
      </c>
      <c r="G39" s="2844"/>
    </row>
    <row r="40" spans="1:7" ht="19.5" customHeight="1" thickBot="1">
      <c r="A40" s="2851" t="s">
        <v>2607</v>
      </c>
      <c r="B40" s="2852" t="s">
        <v>2607</v>
      </c>
      <c r="C40" s="2853" t="s">
        <v>2631</v>
      </c>
      <c r="D40" s="2854"/>
      <c r="E40" s="2855">
        <v>1</v>
      </c>
      <c r="F40" s="2844" t="s">
        <v>2476</v>
      </c>
      <c r="G40" s="2844"/>
    </row>
    <row r="41" spans="1:7" ht="19.5" customHeight="1">
      <c r="A41" s="3516" t="s">
        <v>2608</v>
      </c>
      <c r="B41" s="3509" t="s">
        <v>2632</v>
      </c>
      <c r="C41" s="2841" t="s">
        <v>2477</v>
      </c>
      <c r="D41" s="2842"/>
      <c r="E41" s="2843">
        <v>1</v>
      </c>
      <c r="F41" s="2844" t="s">
        <v>2478</v>
      </c>
      <c r="G41" s="2844"/>
    </row>
    <row r="42" spans="1:7" ht="19.5" customHeight="1">
      <c r="A42" s="3517"/>
      <c r="B42" s="3510"/>
      <c r="C42" s="2845" t="s">
        <v>2479</v>
      </c>
      <c r="D42" s="2846"/>
      <c r="E42" s="2847">
        <v>1</v>
      </c>
      <c r="F42" s="2844" t="s">
        <v>2480</v>
      </c>
      <c r="G42" s="2844"/>
    </row>
    <row r="43" spans="1:7" ht="19.5" customHeight="1">
      <c r="A43" s="3517"/>
      <c r="B43" s="3519"/>
      <c r="C43" s="2845" t="s">
        <v>2481</v>
      </c>
      <c r="D43" s="2846"/>
      <c r="E43" s="2847">
        <v>1.5</v>
      </c>
      <c r="F43" s="2844" t="s">
        <v>2482</v>
      </c>
      <c r="G43" s="2844"/>
    </row>
    <row r="44" spans="1:7" ht="19.5" customHeight="1">
      <c r="A44" s="3517"/>
      <c r="B44" s="2856" t="s">
        <v>2633</v>
      </c>
      <c r="C44" s="2845" t="s">
        <v>2634</v>
      </c>
      <c r="D44" s="2846"/>
      <c r="E44" s="2847">
        <v>2</v>
      </c>
      <c r="F44" s="2844" t="s">
        <v>2483</v>
      </c>
      <c r="G44" s="2844"/>
    </row>
    <row r="45" spans="1:7" ht="19.5" customHeight="1">
      <c r="A45" s="3517"/>
      <c r="B45" s="3515" t="s">
        <v>2635</v>
      </c>
      <c r="C45" s="2845" t="s">
        <v>2484</v>
      </c>
      <c r="D45" s="2846"/>
      <c r="E45" s="2847">
        <v>1</v>
      </c>
      <c r="F45" s="2844" t="s">
        <v>2485</v>
      </c>
      <c r="G45" s="2844"/>
    </row>
    <row r="46" spans="1:7" ht="19.5" customHeight="1">
      <c r="A46" s="3517"/>
      <c r="B46" s="3510"/>
      <c r="C46" s="2845" t="s">
        <v>2486</v>
      </c>
      <c r="D46" s="2846"/>
      <c r="E46" s="2847">
        <v>1</v>
      </c>
      <c r="F46" s="2844" t="s">
        <v>2487</v>
      </c>
      <c r="G46" s="2844"/>
    </row>
    <row r="47" spans="1:7" ht="19.5" customHeight="1">
      <c r="A47" s="3517"/>
      <c r="B47" s="3510"/>
      <c r="C47" s="2845" t="s">
        <v>2488</v>
      </c>
      <c r="D47" s="2846"/>
      <c r="E47" s="2847">
        <v>1</v>
      </c>
      <c r="F47" s="2844" t="s">
        <v>2489</v>
      </c>
      <c r="G47" s="2844"/>
    </row>
    <row r="48" spans="1:7" ht="19.5" customHeight="1">
      <c r="A48" s="3517"/>
      <c r="B48" s="3510"/>
      <c r="C48" s="2845" t="s">
        <v>2490</v>
      </c>
      <c r="D48" s="2846"/>
      <c r="E48" s="2847">
        <v>1</v>
      </c>
      <c r="F48" s="2844" t="s">
        <v>2491</v>
      </c>
      <c r="G48" s="2844"/>
    </row>
    <row r="49" spans="1:7" ht="19.5" customHeight="1">
      <c r="A49" s="3517"/>
      <c r="B49" s="3510"/>
      <c r="C49" s="2845" t="s">
        <v>2492</v>
      </c>
      <c r="D49" s="2846"/>
      <c r="E49" s="2847">
        <v>1</v>
      </c>
      <c r="F49" s="2844" t="s">
        <v>2493</v>
      </c>
      <c r="G49" s="2844"/>
    </row>
    <row r="50" spans="1:7" ht="19.5" customHeight="1">
      <c r="A50" s="3517"/>
      <c r="B50" s="3510"/>
      <c r="C50" s="2845" t="s">
        <v>2494</v>
      </c>
      <c r="D50" s="2846"/>
      <c r="E50" s="2847">
        <v>1</v>
      </c>
      <c r="F50" s="2844" t="s">
        <v>2495</v>
      </c>
      <c r="G50" s="2844"/>
    </row>
    <row r="51" spans="1:7" ht="19.5" customHeight="1" thickBot="1">
      <c r="A51" s="3518"/>
      <c r="B51" s="3511"/>
      <c r="C51" s="2848" t="s">
        <v>2496</v>
      </c>
      <c r="D51" s="2849"/>
      <c r="E51" s="2850">
        <v>1</v>
      </c>
      <c r="F51" s="2844" t="s">
        <v>2497</v>
      </c>
      <c r="G51" s="2844"/>
    </row>
    <row r="52" spans="1:7" ht="19.5" customHeight="1">
      <c r="A52" s="2857"/>
      <c r="B52" s="2857"/>
      <c r="C52" s="2857"/>
      <c r="D52" s="2857"/>
      <c r="E52" s="2857"/>
      <c r="F52" s="2857"/>
      <c r="G52" s="2857"/>
    </row>
    <row r="54" spans="1:7" ht="19.5" customHeight="1">
      <c r="A54" s="2858"/>
      <c r="B54" s="2830" t="s">
        <v>2636</v>
      </c>
      <c r="C54" s="2830" t="s">
        <v>2636</v>
      </c>
      <c r="D54" s="2830" t="s">
        <v>2636</v>
      </c>
      <c r="E54" s="2833" t="s">
        <v>2636</v>
      </c>
      <c r="F54" s="2833" t="s">
        <v>2637</v>
      </c>
      <c r="G54" s="2833" t="s">
        <v>2638</v>
      </c>
    </row>
    <row r="55" spans="1:7" ht="19.5" customHeight="1">
      <c r="A55" s="2859"/>
      <c r="B55" s="2833" t="s">
        <v>2605</v>
      </c>
      <c r="C55" s="2833" t="s">
        <v>2605</v>
      </c>
      <c r="D55" s="2833" t="s">
        <v>2605</v>
      </c>
      <c r="E55" s="2830" t="s">
        <v>2606</v>
      </c>
      <c r="F55" s="2830" t="s">
        <v>2608</v>
      </c>
      <c r="G55" s="2830" t="s">
        <v>2639</v>
      </c>
    </row>
    <row r="56" spans="1:7" ht="19.5" customHeight="1">
      <c r="A56" s="2860"/>
      <c r="B56" s="2830">
        <v>1</v>
      </c>
      <c r="C56" s="2830">
        <v>2</v>
      </c>
      <c r="D56" s="2830">
        <v>3</v>
      </c>
      <c r="E56" s="2861" t="s">
        <v>2640</v>
      </c>
      <c r="F56" s="2861" t="s">
        <v>2640</v>
      </c>
      <c r="G56" s="2861" t="s">
        <v>2640</v>
      </c>
    </row>
    <row r="57" spans="1:7" ht="19.5" customHeight="1">
      <c r="A57" s="2862" t="s">
        <v>2593</v>
      </c>
      <c r="B57" s="2830">
        <v>0.7</v>
      </c>
      <c r="C57" s="2830">
        <v>0.4</v>
      </c>
      <c r="D57" s="2830">
        <v>0.3</v>
      </c>
      <c r="E57" s="2861">
        <v>0.3</v>
      </c>
      <c r="F57" s="2830">
        <v>0.3</v>
      </c>
      <c r="G57" s="2830">
        <v>0.2</v>
      </c>
    </row>
    <row r="58" spans="1:7" ht="19.5" customHeight="1">
      <c r="A58" s="2862" t="s">
        <v>2594</v>
      </c>
      <c r="B58" s="2830">
        <v>0.7</v>
      </c>
      <c r="C58" s="2830">
        <v>0.4</v>
      </c>
      <c r="D58" s="2830">
        <v>0.3</v>
      </c>
      <c r="E58" s="2830">
        <v>0.3</v>
      </c>
      <c r="F58" s="2830">
        <v>0.3</v>
      </c>
      <c r="G58" s="2830">
        <v>0.2</v>
      </c>
    </row>
    <row r="59" spans="1:7" ht="19.5" customHeight="1">
      <c r="A59" s="2862" t="s">
        <v>2595</v>
      </c>
      <c r="B59" s="2830">
        <v>0.6</v>
      </c>
      <c r="C59" s="2830">
        <v>0.3</v>
      </c>
      <c r="D59" s="2830">
        <v>0.25</v>
      </c>
      <c r="E59" s="2830">
        <v>0.25</v>
      </c>
      <c r="F59" s="2830">
        <v>0.25</v>
      </c>
      <c r="G59" s="2830">
        <v>0.15</v>
      </c>
    </row>
    <row r="60" spans="1:7" ht="19.5" customHeight="1">
      <c r="A60" s="2862" t="s">
        <v>2596</v>
      </c>
      <c r="B60" s="2830">
        <v>0.6</v>
      </c>
      <c r="C60" s="2830">
        <v>0.3</v>
      </c>
      <c r="D60" s="2830">
        <v>0.25</v>
      </c>
      <c r="E60" s="2830">
        <v>0.25</v>
      </c>
      <c r="F60" s="2830">
        <v>0.25</v>
      </c>
      <c r="G60" s="2830">
        <v>0.15</v>
      </c>
    </row>
    <row r="61" spans="1:7" ht="19.5" customHeight="1">
      <c r="A61" s="2862" t="s">
        <v>2597</v>
      </c>
      <c r="B61" s="2830">
        <v>0.6</v>
      </c>
      <c r="C61" s="2830">
        <v>0.3</v>
      </c>
      <c r="D61" s="2830">
        <v>0.25</v>
      </c>
      <c r="E61" s="2830">
        <v>0.25</v>
      </c>
      <c r="F61" s="2830">
        <v>0.25</v>
      </c>
      <c r="G61" s="2830">
        <v>0.15</v>
      </c>
    </row>
    <row r="62" spans="1:7" ht="19.5" customHeight="1">
      <c r="A62" s="2862" t="s">
        <v>2598</v>
      </c>
      <c r="B62" s="2830">
        <v>0.6</v>
      </c>
      <c r="C62" s="2830">
        <v>0.3</v>
      </c>
      <c r="D62" s="2830">
        <v>0.25</v>
      </c>
      <c r="E62" s="2830">
        <v>0.25</v>
      </c>
      <c r="F62" s="2830">
        <v>0.25</v>
      </c>
      <c r="G62" s="2830">
        <v>0.15</v>
      </c>
    </row>
    <row r="63" spans="1:7" ht="19.5" customHeight="1">
      <c r="A63" s="2862" t="s">
        <v>2599</v>
      </c>
      <c r="B63" s="2830">
        <v>0.6</v>
      </c>
      <c r="C63" s="2830">
        <v>0.3</v>
      </c>
      <c r="D63" s="2830">
        <v>0.25</v>
      </c>
      <c r="E63" s="2830">
        <v>0.25</v>
      </c>
      <c r="F63" s="2830">
        <v>0.25</v>
      </c>
      <c r="G63" s="2830">
        <v>0.15</v>
      </c>
    </row>
    <row r="64" spans="1:7" ht="19.5" customHeight="1">
      <c r="A64" s="2862" t="s">
        <v>2600</v>
      </c>
      <c r="B64" s="2830">
        <v>0.5</v>
      </c>
      <c r="C64" s="2830">
        <v>0.2</v>
      </c>
      <c r="D64" s="2830">
        <v>0.2</v>
      </c>
      <c r="E64" s="2830">
        <v>0.2</v>
      </c>
      <c r="F64" s="2830">
        <v>0.2</v>
      </c>
      <c r="G64" s="2830">
        <v>0.1</v>
      </c>
    </row>
    <row r="65" spans="1:7" ht="19.5" customHeight="1">
      <c r="A65" s="2862" t="s">
        <v>2601</v>
      </c>
      <c r="B65" s="2830">
        <v>0.5</v>
      </c>
      <c r="C65" s="2830">
        <v>0.2</v>
      </c>
      <c r="D65" s="2830">
        <v>0.2</v>
      </c>
      <c r="E65" s="2830">
        <v>0.2</v>
      </c>
      <c r="F65" s="2830">
        <v>0.2</v>
      </c>
      <c r="G65" s="2830">
        <v>0.1</v>
      </c>
    </row>
    <row r="66" spans="1:7" ht="19.5" customHeight="1">
      <c r="A66" s="2862" t="s">
        <v>2602</v>
      </c>
      <c r="B66" s="2830">
        <v>0.5</v>
      </c>
      <c r="C66" s="2830">
        <v>0.2</v>
      </c>
      <c r="D66" s="2830">
        <v>0.2</v>
      </c>
      <c r="E66" s="2830">
        <v>0.2</v>
      </c>
      <c r="F66" s="2830">
        <v>0.2</v>
      </c>
      <c r="G66" s="2830">
        <v>0.1</v>
      </c>
    </row>
    <row r="67" spans="1:7" ht="19.5" customHeight="1">
      <c r="A67" s="2862" t="s">
        <v>2603</v>
      </c>
      <c r="B67" s="2830">
        <v>0.5</v>
      </c>
      <c r="C67" s="2830">
        <v>0.2</v>
      </c>
      <c r="D67" s="2830">
        <v>0.2</v>
      </c>
      <c r="E67" s="2830">
        <v>0.2</v>
      </c>
      <c r="F67" s="2830">
        <v>0.2</v>
      </c>
      <c r="G67" s="2830">
        <v>0.1</v>
      </c>
    </row>
    <row r="68" spans="1:7" ht="19.5" customHeight="1">
      <c r="A68" s="2862" t="s">
        <v>2604</v>
      </c>
      <c r="B68" s="2830">
        <v>0.5</v>
      </c>
      <c r="C68" s="2830">
        <v>0.2</v>
      </c>
      <c r="D68" s="2830">
        <v>0.2</v>
      </c>
      <c r="E68" s="2830">
        <v>0.2</v>
      </c>
      <c r="F68" s="2830">
        <v>0.2</v>
      </c>
      <c r="G68" s="2830">
        <v>0.1</v>
      </c>
    </row>
    <row r="70" spans="1:7" ht="19.5" customHeight="1">
      <c r="A70" s="2844"/>
      <c r="B70" s="2863"/>
      <c r="C70" s="2863"/>
      <c r="D70" s="2863" t="s">
        <v>2641</v>
      </c>
      <c r="E70" s="2863"/>
      <c r="F70" s="2863"/>
    </row>
    <row r="71" spans="1:7" ht="19.5" customHeight="1">
      <c r="A71" s="2856" t="s">
        <v>2642</v>
      </c>
      <c r="B71" s="2856" t="s">
        <v>2643</v>
      </c>
      <c r="C71" s="2856" t="s">
        <v>2644</v>
      </c>
      <c r="D71" s="2856" t="s">
        <v>2645</v>
      </c>
      <c r="E71" s="2856" t="s">
        <v>2646</v>
      </c>
      <c r="F71" s="2856" t="s">
        <v>2647</v>
      </c>
    </row>
    <row r="72" spans="1:7" ht="13.5">
      <c r="A72" s="2856"/>
      <c r="B72" s="2856"/>
      <c r="C72" s="2856" t="s">
        <v>2648</v>
      </c>
      <c r="D72" s="2856"/>
      <c r="E72" s="2856" t="s">
        <v>2619</v>
      </c>
      <c r="F72" s="2856" t="s">
        <v>2619</v>
      </c>
    </row>
    <row r="73" spans="1:7" ht="13.5">
      <c r="A73" s="2856">
        <v>1</v>
      </c>
      <c r="B73" s="3515" t="s">
        <v>2649</v>
      </c>
      <c r="C73" s="2830" t="s">
        <v>2650</v>
      </c>
      <c r="D73" s="2830" t="s">
        <v>2651</v>
      </c>
      <c r="E73" s="2856">
        <v>0.2</v>
      </c>
      <c r="F73" s="2856">
        <v>25</v>
      </c>
    </row>
    <row r="74" spans="1:7" ht="24">
      <c r="A74" s="2856">
        <v>2</v>
      </c>
      <c r="B74" s="3510"/>
      <c r="C74" s="2830" t="s">
        <v>2652</v>
      </c>
      <c r="D74" s="2830" t="s">
        <v>2653</v>
      </c>
      <c r="E74" s="2856">
        <v>0.2</v>
      </c>
      <c r="F74" s="2856">
        <v>25</v>
      </c>
    </row>
    <row r="75" spans="1:7" ht="24">
      <c r="A75" s="2856">
        <v>3</v>
      </c>
      <c r="B75" s="3510"/>
      <c r="C75" s="2830" t="s">
        <v>2654</v>
      </c>
      <c r="D75" s="2830" t="s">
        <v>2655</v>
      </c>
      <c r="E75" s="2856">
        <v>0.2</v>
      </c>
      <c r="F75" s="2856">
        <v>25</v>
      </c>
    </row>
    <row r="76" spans="1:7" ht="13.5">
      <c r="A76" s="2856">
        <v>4</v>
      </c>
      <c r="B76" s="3510"/>
      <c r="C76" s="2830" t="s">
        <v>2656</v>
      </c>
      <c r="D76" s="2830" t="s">
        <v>2657</v>
      </c>
      <c r="E76" s="2856">
        <v>0.15</v>
      </c>
      <c r="F76" s="2856">
        <v>20</v>
      </c>
    </row>
    <row r="77" spans="1:7" ht="24">
      <c r="A77" s="2856">
        <v>5</v>
      </c>
      <c r="B77" s="3510"/>
      <c r="C77" s="2830" t="s">
        <v>2658</v>
      </c>
      <c r="D77" s="2830" t="s">
        <v>2659</v>
      </c>
      <c r="E77" s="2856">
        <v>0.15</v>
      </c>
      <c r="F77" s="2856">
        <v>20</v>
      </c>
    </row>
    <row r="78" spans="1:7" ht="24">
      <c r="A78" s="2856">
        <v>6</v>
      </c>
      <c r="B78" s="3510"/>
      <c r="C78" s="2830" t="s">
        <v>2660</v>
      </c>
      <c r="D78" s="2830" t="s">
        <v>2661</v>
      </c>
      <c r="E78" s="2856">
        <v>0.15</v>
      </c>
      <c r="F78" s="2856">
        <v>20</v>
      </c>
    </row>
    <row r="79" spans="1:7" ht="24">
      <c r="A79" s="2856">
        <v>7</v>
      </c>
      <c r="B79" s="3510"/>
      <c r="C79" s="2830" t="s">
        <v>2662</v>
      </c>
      <c r="D79" s="2830" t="s">
        <v>2663</v>
      </c>
      <c r="E79" s="2856">
        <v>0.15</v>
      </c>
      <c r="F79" s="2856">
        <v>20</v>
      </c>
    </row>
    <row r="80" spans="1:7" ht="24">
      <c r="A80" s="2856">
        <v>8</v>
      </c>
      <c r="B80" s="3510"/>
      <c r="C80" s="2830" t="s">
        <v>2664</v>
      </c>
      <c r="D80" s="2830" t="s">
        <v>2665</v>
      </c>
      <c r="E80" s="2856">
        <v>0.1</v>
      </c>
      <c r="F80" s="2856">
        <v>15</v>
      </c>
    </row>
    <row r="81" spans="1:6" ht="24">
      <c r="A81" s="2856">
        <v>9</v>
      </c>
      <c r="B81" s="3510"/>
      <c r="C81" s="2830" t="s">
        <v>2666</v>
      </c>
      <c r="D81" s="2830" t="s">
        <v>2667</v>
      </c>
      <c r="E81" s="2856">
        <v>0.1</v>
      </c>
      <c r="F81" s="2856">
        <v>15</v>
      </c>
    </row>
    <row r="82" spans="1:6" ht="24">
      <c r="A82" s="2856">
        <v>10</v>
      </c>
      <c r="B82" s="3510"/>
      <c r="C82" s="2830" t="s">
        <v>2668</v>
      </c>
      <c r="D82" s="2830" t="s">
        <v>2669</v>
      </c>
      <c r="E82" s="2856">
        <v>0.1</v>
      </c>
      <c r="F82" s="2856">
        <v>15</v>
      </c>
    </row>
    <row r="83" spans="1:6" ht="24">
      <c r="A83" s="2856">
        <v>11</v>
      </c>
      <c r="B83" s="3510"/>
      <c r="C83" s="2830" t="s">
        <v>2670</v>
      </c>
      <c r="D83" s="2830" t="s">
        <v>2671</v>
      </c>
      <c r="E83" s="2856">
        <v>0.1</v>
      </c>
      <c r="F83" s="2856">
        <v>15</v>
      </c>
    </row>
    <row r="84" spans="1:6" ht="24">
      <c r="A84" s="2856">
        <v>12</v>
      </c>
      <c r="B84" s="3510"/>
      <c r="C84" s="2830" t="s">
        <v>2672</v>
      </c>
      <c r="D84" s="2830" t="s">
        <v>2673</v>
      </c>
      <c r="E84" s="2856">
        <v>0.1</v>
      </c>
      <c r="F84" s="2856">
        <v>15</v>
      </c>
    </row>
    <row r="85" spans="1:6" ht="13.5">
      <c r="A85" s="2856">
        <v>13</v>
      </c>
      <c r="B85" s="3510"/>
      <c r="C85" s="2830" t="s">
        <v>2674</v>
      </c>
      <c r="D85" s="2830" t="s">
        <v>2675</v>
      </c>
      <c r="E85" s="2856">
        <v>0.1</v>
      </c>
      <c r="F85" s="2856">
        <v>15</v>
      </c>
    </row>
    <row r="86" spans="1:6" ht="13.5">
      <c r="A86" s="2856">
        <v>14</v>
      </c>
      <c r="B86" s="3510"/>
      <c r="C86" s="2830" t="s">
        <v>2676</v>
      </c>
      <c r="D86" s="2830" t="s">
        <v>2677</v>
      </c>
      <c r="E86" s="2856">
        <v>0.1</v>
      </c>
      <c r="F86" s="2856">
        <v>15</v>
      </c>
    </row>
    <row r="87" spans="1:6" ht="13.5">
      <c r="A87" s="2856">
        <v>15</v>
      </c>
      <c r="B87" s="3510"/>
      <c r="C87" s="2830" t="s">
        <v>2678</v>
      </c>
      <c r="D87" s="2830" t="s">
        <v>2679</v>
      </c>
      <c r="E87" s="2856">
        <v>0.1</v>
      </c>
      <c r="F87" s="2856">
        <v>15</v>
      </c>
    </row>
    <row r="88" spans="1:6" ht="24">
      <c r="A88" s="2856">
        <v>16</v>
      </c>
      <c r="B88" s="3510"/>
      <c r="C88" s="2830" t="s">
        <v>2680</v>
      </c>
      <c r="D88" s="2830" t="s">
        <v>2681</v>
      </c>
      <c r="E88" s="2856">
        <v>0.1</v>
      </c>
      <c r="F88" s="2856">
        <v>15</v>
      </c>
    </row>
    <row r="89" spans="1:6" ht="24">
      <c r="A89" s="2856">
        <v>17</v>
      </c>
      <c r="B89" s="3519"/>
      <c r="C89" s="2830" t="s">
        <v>2682</v>
      </c>
      <c r="D89" s="2830" t="s">
        <v>2683</v>
      </c>
      <c r="E89" s="2856">
        <v>0.1</v>
      </c>
      <c r="F89" s="2856">
        <v>15</v>
      </c>
    </row>
    <row r="90" spans="1:6" ht="13.5">
      <c r="A90" s="2856">
        <v>18</v>
      </c>
      <c r="B90" s="3515" t="s">
        <v>2684</v>
      </c>
      <c r="C90" s="2830" t="s">
        <v>2685</v>
      </c>
      <c r="D90" s="2830" t="s">
        <v>2686</v>
      </c>
      <c r="E90" s="2856">
        <v>0.2</v>
      </c>
      <c r="F90" s="2856">
        <v>25</v>
      </c>
    </row>
    <row r="91" spans="1:6" ht="24">
      <c r="A91" s="2856">
        <v>19</v>
      </c>
      <c r="B91" s="3510"/>
      <c r="C91" s="2830" t="s">
        <v>2687</v>
      </c>
      <c r="D91" s="2830" t="s">
        <v>2688</v>
      </c>
      <c r="E91" s="2856">
        <v>0.2</v>
      </c>
      <c r="F91" s="2856">
        <v>25</v>
      </c>
    </row>
    <row r="92" spans="1:6" ht="13.5">
      <c r="A92" s="2856">
        <v>20</v>
      </c>
      <c r="B92" s="3510"/>
      <c r="C92" s="2830" t="s">
        <v>2689</v>
      </c>
      <c r="D92" s="2830" t="s">
        <v>2690</v>
      </c>
      <c r="E92" s="2856">
        <v>0.15</v>
      </c>
      <c r="F92" s="2856">
        <v>20</v>
      </c>
    </row>
    <row r="93" spans="1:6" ht="13.5">
      <c r="A93" s="2856">
        <v>21</v>
      </c>
      <c r="B93" s="3510"/>
      <c r="C93" s="2830" t="s">
        <v>2691</v>
      </c>
      <c r="D93" s="2830" t="s">
        <v>2692</v>
      </c>
      <c r="E93" s="2856">
        <v>0.15</v>
      </c>
      <c r="F93" s="2856">
        <v>20</v>
      </c>
    </row>
    <row r="94" spans="1:6" ht="13.5">
      <c r="A94" s="2856">
        <v>22</v>
      </c>
      <c r="B94" s="3510"/>
      <c r="C94" s="2830" t="s">
        <v>2693</v>
      </c>
      <c r="D94" s="2830" t="s">
        <v>2694</v>
      </c>
      <c r="E94" s="2856">
        <v>0.15</v>
      </c>
      <c r="F94" s="2856">
        <v>20</v>
      </c>
    </row>
    <row r="95" spans="1:6" ht="36">
      <c r="A95" s="2856">
        <v>23</v>
      </c>
      <c r="B95" s="3510"/>
      <c r="C95" s="2830" t="s">
        <v>2695</v>
      </c>
      <c r="D95" s="2830" t="s">
        <v>2696</v>
      </c>
      <c r="E95" s="2856">
        <v>0.15</v>
      </c>
      <c r="F95" s="2856">
        <v>20</v>
      </c>
    </row>
    <row r="96" spans="1:6" ht="13.5">
      <c r="A96" s="2856">
        <v>24</v>
      </c>
      <c r="B96" s="3510"/>
      <c r="C96" s="2830" t="s">
        <v>2697</v>
      </c>
      <c r="D96" s="2830" t="s">
        <v>2698</v>
      </c>
      <c r="E96" s="2856">
        <v>0.1</v>
      </c>
      <c r="F96" s="2856">
        <v>15</v>
      </c>
    </row>
    <row r="97" spans="1:6" ht="13.5">
      <c r="A97" s="2856">
        <v>25</v>
      </c>
      <c r="B97" s="3510"/>
      <c r="C97" s="2830" t="s">
        <v>2699</v>
      </c>
      <c r="D97" s="2830" t="s">
        <v>2700</v>
      </c>
      <c r="E97" s="2856">
        <v>0.1</v>
      </c>
      <c r="F97" s="2856">
        <v>15</v>
      </c>
    </row>
    <row r="98" spans="1:6" ht="24">
      <c r="A98" s="2856">
        <v>26</v>
      </c>
      <c r="B98" s="3510"/>
      <c r="C98" s="2830" t="s">
        <v>2701</v>
      </c>
      <c r="D98" s="2830" t="s">
        <v>2702</v>
      </c>
      <c r="E98" s="2856">
        <v>0.1</v>
      </c>
      <c r="F98" s="2856">
        <v>15</v>
      </c>
    </row>
    <row r="99" spans="1:6" ht="24">
      <c r="A99" s="2856">
        <v>27</v>
      </c>
      <c r="B99" s="3510"/>
      <c r="C99" s="2830" t="s">
        <v>2703</v>
      </c>
      <c r="D99" s="2830" t="s">
        <v>2704</v>
      </c>
      <c r="E99" s="2856">
        <v>0.1</v>
      </c>
      <c r="F99" s="2856">
        <v>15</v>
      </c>
    </row>
    <row r="100" spans="1:6" ht="13.5">
      <c r="A100" s="2856">
        <v>28</v>
      </c>
      <c r="B100" s="3510"/>
      <c r="C100" s="2830" t="s">
        <v>2705</v>
      </c>
      <c r="D100" s="2830" t="s">
        <v>2706</v>
      </c>
      <c r="E100" s="2856">
        <v>0.1</v>
      </c>
      <c r="F100" s="2856">
        <v>15</v>
      </c>
    </row>
    <row r="101" spans="1:6" ht="13.5">
      <c r="A101" s="2856">
        <v>29</v>
      </c>
      <c r="B101" s="3510"/>
      <c r="C101" s="2830" t="s">
        <v>2707</v>
      </c>
      <c r="D101" s="2830" t="s">
        <v>2708</v>
      </c>
      <c r="E101" s="2856">
        <v>0.1</v>
      </c>
      <c r="F101" s="2856">
        <v>15</v>
      </c>
    </row>
    <row r="102" spans="1:6" ht="13.5">
      <c r="A102" s="2856">
        <v>30</v>
      </c>
      <c r="B102" s="3510"/>
      <c r="C102" s="2830" t="s">
        <v>2709</v>
      </c>
      <c r="D102" s="2830" t="s">
        <v>2710</v>
      </c>
      <c r="E102" s="2856">
        <v>0.1</v>
      </c>
      <c r="F102" s="2856">
        <v>15</v>
      </c>
    </row>
    <row r="103" spans="1:6" ht="24">
      <c r="A103" s="2856">
        <v>31</v>
      </c>
      <c r="B103" s="3510"/>
      <c r="C103" s="2830" t="s">
        <v>2711</v>
      </c>
      <c r="D103" s="2830" t="s">
        <v>2712</v>
      </c>
      <c r="E103" s="2856">
        <v>0.1</v>
      </c>
      <c r="F103" s="2856">
        <v>15</v>
      </c>
    </row>
    <row r="104" spans="1:6" ht="24">
      <c r="A104" s="2856">
        <v>32</v>
      </c>
      <c r="B104" s="3510"/>
      <c r="C104" s="2830" t="s">
        <v>2713</v>
      </c>
      <c r="D104" s="2830" t="s">
        <v>2714</v>
      </c>
      <c r="E104" s="2856">
        <v>0.1</v>
      </c>
      <c r="F104" s="2856">
        <v>15</v>
      </c>
    </row>
    <row r="105" spans="1:6" ht="24">
      <c r="A105" s="2856">
        <v>33</v>
      </c>
      <c r="B105" s="3510"/>
      <c r="C105" s="2830" t="s">
        <v>2715</v>
      </c>
      <c r="D105" s="2830" t="s">
        <v>2716</v>
      </c>
      <c r="E105" s="2856">
        <v>0.1</v>
      </c>
      <c r="F105" s="2856">
        <v>15</v>
      </c>
    </row>
    <row r="106" spans="1:6" ht="24">
      <c r="A106" s="2856">
        <v>34</v>
      </c>
      <c r="B106" s="3519"/>
      <c r="C106" s="2830" t="s">
        <v>2717</v>
      </c>
      <c r="D106" s="2830" t="s">
        <v>2718</v>
      </c>
      <c r="E106" s="2856">
        <v>0.1</v>
      </c>
      <c r="F106" s="2856">
        <v>15</v>
      </c>
    </row>
    <row r="107" spans="1:6" ht="24">
      <c r="A107" s="2856">
        <v>35</v>
      </c>
      <c r="B107" s="3515" t="s">
        <v>2719</v>
      </c>
      <c r="C107" s="2856" t="s">
        <v>2720</v>
      </c>
      <c r="D107" s="2830" t="s">
        <v>2721</v>
      </c>
      <c r="E107" s="2856">
        <v>0.15</v>
      </c>
      <c r="F107" s="2856">
        <v>20</v>
      </c>
    </row>
    <row r="108" spans="1:6" ht="13.5">
      <c r="A108" s="2856">
        <v>36</v>
      </c>
      <c r="B108" s="3510"/>
      <c r="C108" s="2856" t="s">
        <v>2722</v>
      </c>
      <c r="D108" s="2830" t="s">
        <v>2723</v>
      </c>
      <c r="E108" s="2856">
        <v>0.15</v>
      </c>
      <c r="F108" s="2856">
        <v>20</v>
      </c>
    </row>
    <row r="109" spans="1:6" ht="13.5">
      <c r="A109" s="2856">
        <v>37</v>
      </c>
      <c r="B109" s="3510"/>
      <c r="C109" s="2856" t="s">
        <v>2724</v>
      </c>
      <c r="D109" s="2830" t="s">
        <v>2725</v>
      </c>
      <c r="E109" s="2856">
        <v>0.15</v>
      </c>
      <c r="F109" s="2856">
        <v>20</v>
      </c>
    </row>
    <row r="110" spans="1:6" ht="13.5">
      <c r="A110" s="2856">
        <v>38</v>
      </c>
      <c r="B110" s="3510"/>
      <c r="C110" s="2856" t="s">
        <v>2726</v>
      </c>
      <c r="D110" s="2830" t="s">
        <v>2727</v>
      </c>
      <c r="E110" s="2856">
        <v>0.1</v>
      </c>
      <c r="F110" s="2856">
        <v>15</v>
      </c>
    </row>
    <row r="111" spans="1:6" ht="24">
      <c r="A111" s="2856">
        <v>39</v>
      </c>
      <c r="B111" s="3510"/>
      <c r="C111" s="2856" t="s">
        <v>2728</v>
      </c>
      <c r="D111" s="2830" t="s">
        <v>2729</v>
      </c>
      <c r="E111" s="2856">
        <v>0.1</v>
      </c>
      <c r="F111" s="2856">
        <v>15</v>
      </c>
    </row>
    <row r="112" spans="1:6" ht="24">
      <c r="A112" s="2856">
        <v>40</v>
      </c>
      <c r="B112" s="3519"/>
      <c r="C112" s="2856" t="s">
        <v>2730</v>
      </c>
      <c r="D112" s="2830" t="s">
        <v>2731</v>
      </c>
      <c r="E112" s="2856">
        <v>0.1</v>
      </c>
      <c r="F112" s="2856">
        <v>15</v>
      </c>
    </row>
    <row r="113" spans="1:6" ht="13.5">
      <c r="A113" s="2856">
        <v>41</v>
      </c>
      <c r="B113" s="3520" t="s">
        <v>2732</v>
      </c>
      <c r="C113" s="2856" t="s">
        <v>2733</v>
      </c>
      <c r="D113" s="2830" t="s">
        <v>2734</v>
      </c>
      <c r="E113" s="2856">
        <v>0.1</v>
      </c>
      <c r="F113" s="2856">
        <v>15</v>
      </c>
    </row>
    <row r="114" spans="1:6" ht="13.5">
      <c r="A114" s="2856">
        <v>42</v>
      </c>
      <c r="B114" s="3520"/>
      <c r="C114" s="2856" t="s">
        <v>2735</v>
      </c>
      <c r="D114" s="2830" t="s">
        <v>2736</v>
      </c>
      <c r="E114" s="2856">
        <v>0.1</v>
      </c>
      <c r="F114" s="2856">
        <v>15</v>
      </c>
    </row>
    <row r="115" spans="1:6" ht="24">
      <c r="A115" s="2856">
        <v>43</v>
      </c>
      <c r="B115" s="3520"/>
      <c r="C115" s="2856" t="s">
        <v>2737</v>
      </c>
      <c r="D115" s="2830" t="s">
        <v>2738</v>
      </c>
      <c r="E115" s="2856">
        <v>0.1</v>
      </c>
      <c r="F115" s="2856">
        <v>15</v>
      </c>
    </row>
    <row r="116" spans="1:6" ht="13.5">
      <c r="A116" s="2856">
        <v>44</v>
      </c>
      <c r="B116" s="3515" t="s">
        <v>2739</v>
      </c>
      <c r="C116" s="2856" t="s">
        <v>2740</v>
      </c>
      <c r="D116" s="2830" t="s">
        <v>2741</v>
      </c>
      <c r="E116" s="2856">
        <v>0.1</v>
      </c>
      <c r="F116" s="2856">
        <v>15</v>
      </c>
    </row>
    <row r="117" spans="1:6" ht="24">
      <c r="A117" s="2856">
        <v>45</v>
      </c>
      <c r="B117" s="3519"/>
      <c r="C117" s="2830" t="s">
        <v>2742</v>
      </c>
      <c r="D117" s="2830" t="s">
        <v>2743</v>
      </c>
      <c r="E117" s="2856">
        <v>0.1</v>
      </c>
      <c r="F117" s="2856">
        <v>15</v>
      </c>
    </row>
    <row r="118" spans="1:6" ht="24">
      <c r="A118" s="2856">
        <v>46</v>
      </c>
      <c r="B118" s="3515" t="s">
        <v>2744</v>
      </c>
      <c r="C118" s="2856" t="s">
        <v>2745</v>
      </c>
      <c r="D118" s="2830" t="s">
        <v>2746</v>
      </c>
      <c r="E118" s="2856">
        <v>0.1</v>
      </c>
      <c r="F118" s="2856">
        <v>15</v>
      </c>
    </row>
    <row r="119" spans="1:6" ht="24">
      <c r="A119" s="2856">
        <v>47</v>
      </c>
      <c r="B119" s="3519"/>
      <c r="C119" s="2856" t="s">
        <v>2747</v>
      </c>
      <c r="D119" s="2830" t="s">
        <v>2748</v>
      </c>
      <c r="E119" s="2856">
        <v>0.1</v>
      </c>
      <c r="F119" s="2856">
        <v>15</v>
      </c>
    </row>
    <row r="120" spans="1:6" ht="13.5">
      <c r="A120" s="2856">
        <v>48</v>
      </c>
      <c r="B120" s="3515" t="s">
        <v>2749</v>
      </c>
      <c r="C120" s="2856" t="s">
        <v>2750</v>
      </c>
      <c r="D120" s="2830" t="s">
        <v>2751</v>
      </c>
      <c r="E120" s="2856">
        <v>0.1</v>
      </c>
      <c r="F120" s="2856">
        <v>15</v>
      </c>
    </row>
    <row r="121" spans="1:6" ht="13.5">
      <c r="A121" s="2856">
        <v>49</v>
      </c>
      <c r="B121" s="3519"/>
      <c r="C121" s="2856" t="s">
        <v>2752</v>
      </c>
      <c r="D121" s="2830" t="s">
        <v>2753</v>
      </c>
      <c r="E121" s="2856">
        <v>0.1</v>
      </c>
      <c r="F121" s="2856">
        <v>15</v>
      </c>
    </row>
    <row r="122" spans="1:6" ht="24">
      <c r="A122" s="2856">
        <v>50</v>
      </c>
      <c r="B122" s="3520" t="s">
        <v>2754</v>
      </c>
      <c r="C122" s="2856" t="s">
        <v>2755</v>
      </c>
      <c r="D122" s="2830" t="s">
        <v>2756</v>
      </c>
      <c r="E122" s="2856">
        <v>0.1</v>
      </c>
      <c r="F122" s="2856">
        <v>15</v>
      </c>
    </row>
    <row r="123" spans="1:6" ht="24">
      <c r="A123" s="2856">
        <v>51</v>
      </c>
      <c r="B123" s="3520"/>
      <c r="C123" s="2856" t="s">
        <v>2757</v>
      </c>
      <c r="D123" s="2830" t="s">
        <v>2758</v>
      </c>
      <c r="E123" s="2856">
        <v>0.1</v>
      </c>
      <c r="F123" s="2856">
        <v>15</v>
      </c>
    </row>
    <row r="124" spans="1:6" ht="24">
      <c r="A124" s="2856">
        <v>52</v>
      </c>
      <c r="B124" s="3520" t="s">
        <v>2759</v>
      </c>
      <c r="C124" s="2856" t="s">
        <v>2760</v>
      </c>
      <c r="D124" s="2830" t="s">
        <v>2761</v>
      </c>
      <c r="E124" s="2856">
        <v>0.1</v>
      </c>
      <c r="F124" s="2856">
        <v>15</v>
      </c>
    </row>
    <row r="125" spans="1:6" ht="24">
      <c r="A125" s="2856">
        <v>53</v>
      </c>
      <c r="B125" s="3520"/>
      <c r="C125" s="2856" t="s">
        <v>2762</v>
      </c>
      <c r="D125" s="2830" t="s">
        <v>2763</v>
      </c>
      <c r="E125" s="2856">
        <v>0.1</v>
      </c>
      <c r="F125" s="2856">
        <v>15</v>
      </c>
    </row>
    <row r="126" spans="1:6" ht="13.5">
      <c r="A126" s="2856">
        <v>54</v>
      </c>
      <c r="B126" s="2856" t="s">
        <v>2764</v>
      </c>
      <c r="C126" s="2856" t="s">
        <v>2765</v>
      </c>
      <c r="D126" s="2830" t="s">
        <v>2766</v>
      </c>
      <c r="E126" s="2856">
        <v>0.1</v>
      </c>
      <c r="F126" s="2856">
        <v>15</v>
      </c>
    </row>
    <row r="127" spans="1:6" ht="13.5">
      <c r="A127" s="2856">
        <v>55</v>
      </c>
      <c r="B127" s="3520" t="s">
        <v>2767</v>
      </c>
      <c r="C127" s="2856" t="s">
        <v>2768</v>
      </c>
      <c r="D127" s="2830" t="s">
        <v>2769</v>
      </c>
      <c r="E127" s="2856">
        <v>0.1</v>
      </c>
      <c r="F127" s="2856">
        <v>15</v>
      </c>
    </row>
    <row r="128" spans="1:6" ht="13.5">
      <c r="A128" s="2856">
        <v>56</v>
      </c>
      <c r="B128" s="3520"/>
      <c r="C128" s="2856" t="s">
        <v>2770</v>
      </c>
      <c r="D128" s="2830" t="s">
        <v>2771</v>
      </c>
      <c r="E128" s="2856">
        <v>0.1</v>
      </c>
      <c r="F128" s="2856">
        <v>15</v>
      </c>
    </row>
    <row r="129" spans="1:6" ht="24">
      <c r="A129" s="2856">
        <v>57</v>
      </c>
      <c r="B129" s="3520"/>
      <c r="C129" s="2856" t="s">
        <v>2772</v>
      </c>
      <c r="D129" s="2830" t="s">
        <v>2773</v>
      </c>
      <c r="E129" s="2856">
        <v>0.1</v>
      </c>
      <c r="F129" s="2856">
        <v>15</v>
      </c>
    </row>
    <row r="130" spans="1:6" ht="24">
      <c r="A130" s="2856">
        <v>58</v>
      </c>
      <c r="B130" s="3520" t="s">
        <v>2774</v>
      </c>
      <c r="C130" s="2856" t="s">
        <v>2775</v>
      </c>
      <c r="D130" s="2830" t="s">
        <v>2776</v>
      </c>
      <c r="E130" s="2856">
        <v>0.1</v>
      </c>
      <c r="F130" s="2856">
        <v>15</v>
      </c>
    </row>
    <row r="131" spans="1:6" ht="13.5">
      <c r="A131" s="2856">
        <v>59</v>
      </c>
      <c r="B131" s="3520"/>
      <c r="C131" s="2856" t="s">
        <v>2777</v>
      </c>
      <c r="D131" s="2830" t="s">
        <v>2778</v>
      </c>
      <c r="E131" s="2856">
        <v>0.1</v>
      </c>
      <c r="F131" s="2856">
        <v>15</v>
      </c>
    </row>
    <row r="132" spans="1:6" ht="13.5">
      <c r="A132" s="2856">
        <v>60</v>
      </c>
      <c r="B132" s="3515" t="s">
        <v>2779</v>
      </c>
      <c r="C132" s="2856" t="s">
        <v>2780</v>
      </c>
      <c r="D132" s="2830" t="s">
        <v>2781</v>
      </c>
      <c r="E132" s="2856">
        <v>0.1</v>
      </c>
      <c r="F132" s="2856">
        <v>15</v>
      </c>
    </row>
    <row r="133" spans="1:6" ht="13.5">
      <c r="A133" s="2856">
        <v>61</v>
      </c>
      <c r="B133" s="3519"/>
      <c r="C133" s="2856" t="s">
        <v>2782</v>
      </c>
      <c r="D133" s="2830" t="s">
        <v>2783</v>
      </c>
      <c r="E133" s="2856">
        <v>0.1</v>
      </c>
      <c r="F133" s="2856">
        <v>15</v>
      </c>
    </row>
    <row r="134" spans="1:6" ht="24">
      <c r="A134" s="2856">
        <v>62</v>
      </c>
      <c r="B134" s="2856" t="s">
        <v>2784</v>
      </c>
      <c r="C134" s="2856" t="s">
        <v>2785</v>
      </c>
      <c r="D134" s="2830" t="s">
        <v>2786</v>
      </c>
      <c r="E134" s="2856">
        <v>0.1</v>
      </c>
      <c r="F134" s="2856">
        <v>15</v>
      </c>
    </row>
    <row r="135" spans="1:6" ht="13.5">
      <c r="A135" s="2856">
        <v>63</v>
      </c>
      <c r="B135" s="3520" t="s">
        <v>2787</v>
      </c>
      <c r="C135" s="2856" t="s">
        <v>2788</v>
      </c>
      <c r="D135" s="2830" t="s">
        <v>2789</v>
      </c>
      <c r="E135" s="2856">
        <v>0.1</v>
      </c>
      <c r="F135" s="2856">
        <v>15</v>
      </c>
    </row>
    <row r="136" spans="1:6" ht="13.5">
      <c r="A136" s="2856">
        <v>64</v>
      </c>
      <c r="B136" s="3520"/>
      <c r="C136" s="2856" t="s">
        <v>2790</v>
      </c>
      <c r="D136" s="2830" t="s">
        <v>2791</v>
      </c>
      <c r="E136" s="2856">
        <v>0.1</v>
      </c>
      <c r="F136" s="2856">
        <v>15</v>
      </c>
    </row>
    <row r="137" spans="1:6" ht="13.5">
      <c r="A137" s="2856">
        <v>65</v>
      </c>
      <c r="B137" s="2856" t="s">
        <v>2792</v>
      </c>
      <c r="C137" s="2856" t="s">
        <v>2793</v>
      </c>
      <c r="D137" s="2830" t="s">
        <v>2794</v>
      </c>
      <c r="E137" s="2856">
        <v>0.1</v>
      </c>
      <c r="F137" s="2856">
        <v>15</v>
      </c>
    </row>
    <row r="138" spans="1:6" ht="13.5">
      <c r="A138" s="2856"/>
      <c r="B138" s="2856"/>
      <c r="C138" s="2856"/>
      <c r="D138" s="2856"/>
      <c r="E138" s="2856" t="s">
        <v>2795</v>
      </c>
      <c r="F138" s="2856"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5"/>
      <c r="C2" s="3175"/>
      <c r="D2" s="3175"/>
      <c r="E2" s="3175"/>
    </row>
    <row r="3" spans="1:5" ht="18">
      <c r="A3" s="3176" t="str">
        <f>IF(项目基本情况!B9="房地产市场价值","估价结果一览表（市场价值不需“结果表-1”）","估价结果一览表")</f>
        <v>估价结果一览表</v>
      </c>
      <c r="B3" s="3176"/>
      <c r="C3" s="3176"/>
      <c r="D3" s="3176"/>
      <c r="E3" s="3176"/>
    </row>
    <row r="4" spans="1:5" ht="19.5" thickBot="1">
      <c r="A4" s="1391"/>
      <c r="B4" s="3174" t="s">
        <v>917</v>
      </c>
      <c r="C4" s="3174"/>
      <c r="D4" s="3174"/>
      <c r="E4" s="1391"/>
    </row>
    <row r="5" spans="1:5" ht="16.5" thickTop="1">
      <c r="B5" s="3172" t="s">
        <v>909</v>
      </c>
      <c r="C5" s="1392" t="s">
        <v>910</v>
      </c>
      <c r="D5" s="797">
        <f ca="1">结果表!H101</f>
        <v>18019</v>
      </c>
    </row>
    <row r="6" spans="1:5" ht="15.75">
      <c r="B6" s="3172"/>
      <c r="C6" s="1392" t="s">
        <v>911</v>
      </c>
      <c r="D6" s="797" t="str">
        <f ca="1">NUMBERSTRING(INT(D5*10000),2)&amp;"元整"</f>
        <v>壹亿捌仟零壹拾玖万元整</v>
      </c>
    </row>
    <row r="7" spans="1:5" ht="15.75">
      <c r="B7" s="3177"/>
      <c r="C7" s="1393" t="s">
        <v>912</v>
      </c>
      <c r="D7" s="798">
        <f ca="1">结果表!H102</f>
        <v>27519</v>
      </c>
    </row>
    <row r="8" spans="1:5" ht="15.75">
      <c r="B8" s="3178" t="str">
        <f>结果表!E103</f>
        <v>2.估价师知悉的法定优先受偿款</v>
      </c>
      <c r="C8" s="1394" t="s">
        <v>913</v>
      </c>
      <c r="D8" s="798">
        <f>结果表!H103</f>
        <v>0</v>
      </c>
    </row>
    <row r="9" spans="1:5" ht="15.75">
      <c r="B9" s="3180"/>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71" t="str">
        <f>结果表!E107</f>
        <v>3.房地产抵押价值</v>
      </c>
      <c r="C13" s="1397" t="s">
        <v>910</v>
      </c>
      <c r="D13" s="800">
        <f ca="1">结果表!H107</f>
        <v>18019</v>
      </c>
    </row>
    <row r="14" spans="1:5" ht="15.75">
      <c r="B14" s="3172"/>
      <c r="C14" s="1392" t="s">
        <v>911</v>
      </c>
      <c r="D14" s="797" t="str">
        <f ca="1">NUMBERSTRING(INT(D13*10000),2)&amp;"元整"</f>
        <v>壹亿捌仟零壹拾玖万元整</v>
      </c>
    </row>
    <row r="15" spans="1:5" ht="15">
      <c r="B15" s="3177"/>
      <c r="C15" s="1393" t="s">
        <v>921</v>
      </c>
      <c r="D15" s="806">
        <f ca="1">结果表!H108</f>
        <v>27519</v>
      </c>
    </row>
    <row r="16" spans="1:5" ht="15">
      <c r="B16" s="3178" t="str">
        <f>结果表!E109</f>
        <v>——</v>
      </c>
      <c r="C16" s="1397" t="s">
        <v>922</v>
      </c>
      <c r="D16" s="1398" t="str">
        <f>结果表!H109</f>
        <v>——</v>
      </c>
    </row>
    <row r="17" spans="1:5" ht="15.75">
      <c r="B17" s="3179"/>
      <c r="C17" s="1392" t="s">
        <v>923</v>
      </c>
      <c r="D17" s="797" t="e">
        <f>NUMBERSTRING(INT(D16*10000),2)&amp;"元整"</f>
        <v>#VALUE!</v>
      </c>
    </row>
    <row r="18" spans="1:5" ht="15">
      <c r="B18" s="3180"/>
      <c r="C18" s="1393" t="s">
        <v>912</v>
      </c>
      <c r="D18" s="806" t="str">
        <f>结果表!H110</f>
        <v>——</v>
      </c>
    </row>
    <row r="19" spans="1:5" ht="15.75">
      <c r="B19" s="3171" t="str">
        <f>结果表!E111</f>
        <v>——</v>
      </c>
      <c r="C19" s="1397" t="s">
        <v>910</v>
      </c>
      <c r="D19" s="798" t="str">
        <f>结果表!H111</f>
        <v>——</v>
      </c>
    </row>
    <row r="20" spans="1:5" ht="15.75">
      <c r="B20" s="3172"/>
      <c r="C20" s="1392" t="s">
        <v>923</v>
      </c>
      <c r="D20" s="797" t="e">
        <f>NUMBERSTRING(INT(D19*10000),2)&amp;"元整"</f>
        <v>#VALUE!</v>
      </c>
    </row>
    <row r="21" spans="1:5" ht="15.75" thickBot="1">
      <c r="B21" s="3173"/>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8"/>
  </cols>
  <sheetData>
    <row r="1" spans="1:20" ht="15" thickBot="1">
      <c r="A1" s="2864" t="s">
        <v>2796</v>
      </c>
      <c r="B1" s="2864"/>
      <c r="C1" s="2864"/>
      <c r="D1" s="2864"/>
      <c r="E1" s="2864"/>
      <c r="F1" s="2864"/>
      <c r="G1" s="2864"/>
      <c r="H1" s="2864"/>
      <c r="I1" s="2864"/>
      <c r="J1" s="2864"/>
      <c r="K1" s="2864"/>
      <c r="L1" s="2864"/>
      <c r="M1" s="2864"/>
      <c r="N1" s="707"/>
    </row>
    <row r="2" spans="1:20">
      <c r="A2" s="2865" t="s">
        <v>2797</v>
      </c>
      <c r="B2" s="2866" t="s">
        <v>2593</v>
      </c>
      <c r="C2" s="2866" t="s">
        <v>2594</v>
      </c>
      <c r="D2" s="2866" t="s">
        <v>2595</v>
      </c>
      <c r="E2" s="2866" t="s">
        <v>2596</v>
      </c>
      <c r="F2" s="2866" t="s">
        <v>2597</v>
      </c>
      <c r="G2" s="2866" t="s">
        <v>2598</v>
      </c>
      <c r="H2" s="2867" t="s">
        <v>2599</v>
      </c>
      <c r="I2" s="2867" t="s">
        <v>2600</v>
      </c>
      <c r="J2" s="2868" t="s">
        <v>2601</v>
      </c>
      <c r="K2" s="2868" t="s">
        <v>2602</v>
      </c>
      <c r="L2" s="2868" t="s">
        <v>2603</v>
      </c>
      <c r="M2" s="2869" t="s">
        <v>2604</v>
      </c>
      <c r="Q2" s="2879" t="s">
        <v>2802</v>
      </c>
      <c r="R2" s="2879" t="s">
        <v>2803</v>
      </c>
      <c r="S2" s="2879" t="s">
        <v>2804</v>
      </c>
      <c r="T2" s="2879" t="s">
        <v>2805</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2798</v>
      </c>
      <c r="B93" s="2864"/>
      <c r="C93" s="2864"/>
      <c r="D93" s="2864"/>
      <c r="E93" s="2864"/>
      <c r="F93" s="2864"/>
      <c r="G93" s="2864"/>
      <c r="H93" s="2864"/>
      <c r="I93" s="2864"/>
      <c r="J93" s="2864"/>
      <c r="K93" s="2864"/>
      <c r="L93" s="2864"/>
      <c r="M93" s="2864"/>
    </row>
    <row r="94" spans="1:20">
      <c r="A94" s="2865" t="s">
        <v>2797</v>
      </c>
      <c r="B94" s="2866" t="s">
        <v>2593</v>
      </c>
      <c r="C94" s="2866" t="s">
        <v>2594</v>
      </c>
      <c r="D94" s="2866" t="s">
        <v>2595</v>
      </c>
      <c r="E94" s="2866" t="s">
        <v>2596</v>
      </c>
      <c r="F94" s="2866" t="s">
        <v>2597</v>
      </c>
      <c r="G94" s="2866" t="s">
        <v>2598</v>
      </c>
      <c r="H94" s="2867" t="s">
        <v>2599</v>
      </c>
      <c r="I94" s="2867" t="s">
        <v>2600</v>
      </c>
      <c r="J94" s="2868" t="s">
        <v>2601</v>
      </c>
      <c r="K94" s="2868" t="s">
        <v>2602</v>
      </c>
      <c r="L94" s="2868" t="s">
        <v>2603</v>
      </c>
      <c r="M94" s="2869" t="s">
        <v>2604</v>
      </c>
      <c r="N94">
        <f>SUMPRODUCT((A95:A184=ROUNDDOWN(基准地价修正!G3,1))*(B94:M94=基准地价修正!G2)*(B95:M184))</f>
        <v>0.89739999999999998</v>
      </c>
      <c r="Q94" s="2879" t="s">
        <v>2802</v>
      </c>
      <c r="R94" s="2879" t="s">
        <v>2803</v>
      </c>
      <c r="S94" s="2879" t="s">
        <v>2804</v>
      </c>
      <c r="T94" s="2879" t="s">
        <v>2805</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2799</v>
      </c>
      <c r="B185" s="2864"/>
      <c r="C185" s="2864"/>
      <c r="D185" s="2864"/>
      <c r="E185" s="2864"/>
      <c r="F185" s="2864"/>
      <c r="G185" s="2864"/>
      <c r="H185" s="2864"/>
      <c r="I185" s="2864"/>
      <c r="J185" s="2864"/>
      <c r="K185" s="2864"/>
      <c r="L185" s="2864"/>
      <c r="M185" s="2864"/>
    </row>
    <row r="186" spans="1:20">
      <c r="A186" s="2865" t="s">
        <v>2797</v>
      </c>
      <c r="B186" s="2866" t="s">
        <v>2593</v>
      </c>
      <c r="C186" s="2866" t="s">
        <v>2594</v>
      </c>
      <c r="D186" s="2866" t="s">
        <v>2595</v>
      </c>
      <c r="E186" s="2866" t="s">
        <v>2596</v>
      </c>
      <c r="F186" s="2866" t="s">
        <v>2597</v>
      </c>
      <c r="G186" s="2866" t="s">
        <v>2598</v>
      </c>
      <c r="H186" s="2867" t="s">
        <v>2599</v>
      </c>
      <c r="I186" s="2867" t="s">
        <v>2600</v>
      </c>
      <c r="J186" s="2868" t="s">
        <v>2601</v>
      </c>
      <c r="K186" s="2868" t="s">
        <v>2602</v>
      </c>
      <c r="L186" s="2868" t="s">
        <v>2603</v>
      </c>
      <c r="M186" s="2869" t="s">
        <v>2604</v>
      </c>
      <c r="Q186" s="2879" t="s">
        <v>2802</v>
      </c>
      <c r="R186" s="2879" t="s">
        <v>2803</v>
      </c>
      <c r="S186" s="2879" t="s">
        <v>2804</v>
      </c>
      <c r="T186" s="2879" t="s">
        <v>2805</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2800</v>
      </c>
      <c r="B277" s="2864"/>
      <c r="C277" s="2864"/>
      <c r="D277" s="2864"/>
      <c r="E277" s="2864"/>
      <c r="F277" s="2864"/>
      <c r="G277" s="2864"/>
      <c r="H277" s="2864"/>
      <c r="I277" s="2864"/>
      <c r="J277" s="2864"/>
      <c r="K277" s="2864"/>
      <c r="L277" s="2864"/>
      <c r="M277" s="2864"/>
    </row>
    <row r="278" spans="1:21">
      <c r="A278" s="2865" t="s">
        <v>2797</v>
      </c>
      <c r="B278" s="2866" t="s">
        <v>2593</v>
      </c>
      <c r="C278" s="2866" t="s">
        <v>2594</v>
      </c>
      <c r="D278" s="2866" t="s">
        <v>2595</v>
      </c>
      <c r="E278" s="2866" t="s">
        <v>2596</v>
      </c>
      <c r="F278" s="2866" t="s">
        <v>2597</v>
      </c>
      <c r="G278" s="2866" t="s">
        <v>2598</v>
      </c>
      <c r="H278" s="2867" t="s">
        <v>2599</v>
      </c>
      <c r="I278" s="2867" t="s">
        <v>2600</v>
      </c>
      <c r="J278" s="2868" t="s">
        <v>2601</v>
      </c>
      <c r="K278" s="2868" t="s">
        <v>2602</v>
      </c>
      <c r="L278" s="2868" t="s">
        <v>2603</v>
      </c>
      <c r="M278" s="2869" t="s">
        <v>2604</v>
      </c>
      <c r="Q278" s="2879" t="s">
        <v>2802</v>
      </c>
      <c r="R278" s="2879" t="s">
        <v>2803</v>
      </c>
      <c r="S278" s="2879" t="s">
        <v>2806</v>
      </c>
      <c r="T278" s="2879" t="s">
        <v>2807</v>
      </c>
      <c r="U278" s="2879" t="s">
        <v>2805</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2801</v>
      </c>
      <c r="B369" s="2877"/>
      <c r="C369" s="2877"/>
      <c r="D369" s="2877"/>
      <c r="E369" s="2877"/>
      <c r="F369" s="2877"/>
      <c r="G369" s="2877"/>
      <c r="H369" s="2877"/>
      <c r="I369" s="2877"/>
      <c r="J369" s="2877"/>
      <c r="K369" s="2877"/>
      <c r="L369" s="2877"/>
      <c r="M369" s="2877"/>
    </row>
    <row r="370" spans="1:20">
      <c r="A370" s="2865" t="s">
        <v>2797</v>
      </c>
      <c r="B370" s="2866" t="s">
        <v>2593</v>
      </c>
      <c r="C370" s="2866" t="s">
        <v>2594</v>
      </c>
      <c r="D370" s="2866" t="s">
        <v>2595</v>
      </c>
      <c r="E370" s="2866" t="s">
        <v>2596</v>
      </c>
      <c r="F370" s="2866" t="s">
        <v>2597</v>
      </c>
      <c r="G370" s="2866" t="s">
        <v>2598</v>
      </c>
      <c r="H370" s="2867" t="s">
        <v>2599</v>
      </c>
      <c r="I370" s="2867" t="s">
        <v>2600</v>
      </c>
      <c r="J370" s="2868" t="s">
        <v>2601</v>
      </c>
      <c r="K370" s="2868" t="s">
        <v>2602</v>
      </c>
      <c r="L370" s="2868" t="s">
        <v>2603</v>
      </c>
      <c r="M370" s="2869" t="s">
        <v>2604</v>
      </c>
      <c r="N370">
        <f>SUMPRODUCT((A371:A460=ROUNDDOWN(基准地价修正!G3,1))*(B370:M370=基准地价修正!G2)*(B371:M460))</f>
        <v>0.85</v>
      </c>
      <c r="Q370" s="2879" t="s">
        <v>2802</v>
      </c>
      <c r="R370" s="2879" t="s">
        <v>2803</v>
      </c>
      <c r="S370" s="2879" t="s">
        <v>2804</v>
      </c>
      <c r="T370" s="2879" t="s">
        <v>2805</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36164</v>
      </c>
      <c r="C2" s="2" t="s">
        <v>106</v>
      </c>
      <c r="D2" s="191"/>
      <c r="E2" s="191"/>
      <c r="F2" s="191"/>
      <c r="G2" s="191"/>
    </row>
    <row r="3" spans="1:7" s="192" customFormat="1" ht="18" customHeight="1" thickBot="1">
      <c r="A3" s="195" t="s">
        <v>58</v>
      </c>
      <c r="B3" s="196">
        <f ca="1">ROUND(B2*10000/'数据-汇总表'!E3,0)</f>
        <v>55231</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131</v>
      </c>
      <c r="D10" s="795">
        <f>'数据-汇总表'!E6</f>
        <v>6547.83</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131</v>
      </c>
      <c r="D19" s="204">
        <f>'数据-汇总表'!E3</f>
        <v>6547.83</v>
      </c>
      <c r="E19" s="203">
        <f>'数据-取费表'!B31</f>
        <v>200</v>
      </c>
      <c r="F19" s="223"/>
      <c r="G19" s="1" t="s">
        <v>436</v>
      </c>
    </row>
    <row r="20" spans="1:7" s="206" customFormat="1" ht="13.5" customHeight="1">
      <c r="A20" s="731" t="s">
        <v>419</v>
      </c>
      <c r="B20" s="202" t="s">
        <v>77</v>
      </c>
      <c r="C20" s="224">
        <f>ROUND((C5+C19)*F20,0)</f>
        <v>622</v>
      </c>
      <c r="D20" s="224"/>
      <c r="E20" s="224"/>
      <c r="F20" s="225">
        <f>'数据-取费表'!B37</f>
        <v>0.03</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2730</v>
      </c>
      <c r="D22" s="227">
        <f ca="1">C26</f>
        <v>1.9E-3</v>
      </c>
      <c r="E22" s="228" t="s">
        <v>99</v>
      </c>
      <c r="F22" s="229">
        <f ca="1">'数据-取费表'!B40</f>
        <v>4.1499999999999995E-2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2674</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17</v>
      </c>
      <c r="D24" s="230"/>
      <c r="E24" s="230"/>
      <c r="F24" s="231"/>
      <c r="G24" s="232" t="s">
        <v>82</v>
      </c>
    </row>
    <row r="25" spans="1:7" s="206" customFormat="1" ht="24">
      <c r="A25" s="734" t="s">
        <v>348</v>
      </c>
      <c r="B25" s="207" t="s">
        <v>420</v>
      </c>
      <c r="C25" s="1042">
        <f ca="1">ROUND(IF('数据-取费表'!B22&lt;=1,C20*F22*'数据-取费表'!B23/2,C20*(POWER((1+F22),'数据-取费表'!B23/2)-1)),0)</f>
        <v>39</v>
      </c>
      <c r="D25" s="230"/>
      <c r="E25" s="233"/>
      <c r="F25" s="231"/>
      <c r="G25" s="234" t="s">
        <v>83</v>
      </c>
    </row>
    <row r="26" spans="1:7" s="206" customFormat="1">
      <c r="A26" s="734" t="s">
        <v>350</v>
      </c>
      <c r="B26" s="207" t="s">
        <v>422</v>
      </c>
      <c r="C26" s="230">
        <f ca="1">ROUND(IF('数据-取费表'!B22&lt;=1,F21*F22*'数据-取费表'!B23/2,F21*(POWER((1+F22),'数据-取费表'!B23/2)-1)),4)</f>
        <v>1.9E-3</v>
      </c>
      <c r="D26" s="230"/>
      <c r="E26" s="233"/>
      <c r="F26" s="231"/>
      <c r="G26" s="235"/>
    </row>
    <row r="27" spans="1:7" s="206" customFormat="1" ht="24.75">
      <c r="A27" s="731" t="s">
        <v>342</v>
      </c>
      <c r="B27" s="236" t="s">
        <v>85</v>
      </c>
      <c r="C27" s="237">
        <f>C28</f>
        <v>4273</v>
      </c>
      <c r="D27" s="227">
        <f>C29</f>
        <v>6.0000000000000001E-3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4273</v>
      </c>
      <c r="D28" s="227"/>
      <c r="E28" s="228"/>
      <c r="F28" s="238"/>
      <c r="G28" s="239"/>
    </row>
    <row r="29" spans="1:7" s="206" customFormat="1" ht="13.5" customHeight="1">
      <c r="A29" s="734" t="s">
        <v>347</v>
      </c>
      <c r="B29" s="240" t="s">
        <v>425</v>
      </c>
      <c r="C29" s="230">
        <f>ROUND(C21*F27*'数据-取费表'!B21/'数据-取费表'!B20,4)</f>
        <v>6.0000000000000001E-3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31214</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4068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3732</v>
      </c>
      <c r="D34" s="209"/>
      <c r="E34" s="212"/>
      <c r="F34" s="249">
        <f>IF('数据-取费表'!B24=0,1,'数据-取费表'!N16)</f>
        <v>1</v>
      </c>
      <c r="G34" s="211" t="s">
        <v>89</v>
      </c>
    </row>
    <row r="35" spans="1:7" ht="13.5" customHeight="1">
      <c r="A35" s="734" t="s">
        <v>351</v>
      </c>
      <c r="B35" s="207" t="s">
        <v>33</v>
      </c>
      <c r="C35" s="212">
        <f>ROUND(C34*F35,0)</f>
        <v>149</v>
      </c>
      <c r="D35" s="212"/>
      <c r="E35" s="212"/>
      <c r="F35" s="251">
        <f>'数据-取费表'!B33</f>
        <v>0.04</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131</v>
      </c>
      <c r="D37" s="209">
        <f>'数据-汇总表'!E3</f>
        <v>6547.83</v>
      </c>
      <c r="E37" s="241">
        <f>'数据-取费表'!B35</f>
        <v>200</v>
      </c>
      <c r="F37" s="251"/>
      <c r="G37" s="253" t="s">
        <v>92</v>
      </c>
    </row>
    <row r="38" spans="1:7" ht="13.5" customHeight="1">
      <c r="A38" s="734" t="s">
        <v>354</v>
      </c>
      <c r="B38" s="207" t="s">
        <v>36</v>
      </c>
      <c r="C38" s="212">
        <f>ROUND(C34*F38,0)</f>
        <v>56</v>
      </c>
      <c r="D38" s="212"/>
      <c r="E38" s="212"/>
      <c r="F38" s="251">
        <f>'数据-取费表'!B36</f>
        <v>1.4999999999999999E-2</v>
      </c>
      <c r="G38" s="211" t="s">
        <v>90</v>
      </c>
    </row>
    <row r="39" spans="1:7" s="206" customFormat="1" ht="13.5" customHeight="1">
      <c r="A39" s="731" t="s">
        <v>338</v>
      </c>
      <c r="B39" s="202" t="s">
        <v>77</v>
      </c>
      <c r="C39" s="224">
        <f>ROUND(C33*F20,0)</f>
        <v>122</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264</v>
      </c>
      <c r="D41" s="227">
        <f ca="1">C44</f>
        <v>1.9E-3</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256</v>
      </c>
      <c r="D42" s="230"/>
      <c r="E42" s="230"/>
      <c r="F42" s="231"/>
      <c r="G42" s="3405" t="s">
        <v>94</v>
      </c>
    </row>
    <row r="43" spans="1:7" ht="13.5" customHeight="1">
      <c r="A43" s="734" t="s">
        <v>347</v>
      </c>
      <c r="B43" s="207" t="s">
        <v>426</v>
      </c>
      <c r="C43" s="230">
        <f ca="1">ROUND(IF('数据-取费表'!B22&lt;=1,C39*F22*'数据-取费表'!B21/2,C39*(POWER((1+F22),'数据-取费表'!B21/2)-1)),0)</f>
        <v>8</v>
      </c>
      <c r="D43" s="230"/>
      <c r="E43" s="230"/>
      <c r="F43" s="231"/>
      <c r="G43" s="3406"/>
    </row>
    <row r="44" spans="1:7" ht="13.5" customHeight="1">
      <c r="A44" s="734" t="s">
        <v>348</v>
      </c>
      <c r="B44" s="207" t="s">
        <v>428</v>
      </c>
      <c r="C44" s="230">
        <f ca="1">ROUND(IF('数据-取费表'!B22&lt;=1,C40*F22*'数据-取费表'!B21/2,C40*(POWER((1+F22),'数据-取费表'!B21/2)-1)),4)</f>
        <v>1.9E-3</v>
      </c>
      <c r="D44" s="230"/>
      <c r="E44" s="230"/>
      <c r="F44" s="231"/>
      <c r="G44" s="3407"/>
    </row>
    <row r="45" spans="1:7" s="206" customFormat="1" ht="13.5" customHeight="1">
      <c r="A45" s="731" t="s">
        <v>341</v>
      </c>
      <c r="B45" s="236" t="s">
        <v>85</v>
      </c>
      <c r="C45" s="237">
        <f>C46</f>
        <v>838</v>
      </c>
      <c r="D45" s="227">
        <f>C47</f>
        <v>6.0000000000000001E-3</v>
      </c>
      <c r="E45" s="228" t="s">
        <v>102</v>
      </c>
      <c r="F45" s="238"/>
      <c r="G45" s="239" t="s">
        <v>434</v>
      </c>
    </row>
    <row r="46" spans="1:7" s="206" customFormat="1" ht="13.5" customHeight="1">
      <c r="A46" s="734" t="s">
        <v>349</v>
      </c>
      <c r="B46" s="240" t="s">
        <v>427</v>
      </c>
      <c r="C46" s="241">
        <f>ROUND((C33+C39)*F27,0)</f>
        <v>838</v>
      </c>
      <c r="D46" s="255"/>
      <c r="E46" s="228"/>
      <c r="F46" s="238"/>
      <c r="G46" s="239"/>
    </row>
    <row r="47" spans="1:7" s="206" customFormat="1" ht="13.5" customHeight="1">
      <c r="A47" s="734" t="s">
        <v>347</v>
      </c>
      <c r="B47" s="240" t="s">
        <v>429</v>
      </c>
      <c r="C47" s="230">
        <f>ROUND(C40*F27,4)</f>
        <v>6.0000000000000001E-3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5823</v>
      </c>
      <c r="D49" s="224"/>
      <c r="E49" s="224"/>
      <c r="F49" s="256"/>
      <c r="G49" s="226" t="s">
        <v>435</v>
      </c>
    </row>
    <row r="50" spans="1:7" s="250" customFormat="1" ht="24">
      <c r="A50" s="731" t="s">
        <v>344</v>
      </c>
      <c r="B50" s="202" t="s">
        <v>97</v>
      </c>
      <c r="C50" s="224"/>
      <c r="D50" s="224"/>
      <c r="E50" s="224"/>
      <c r="F50" s="256">
        <f>IF('数据-取费表'!B24=0,'数据-取费表'!N16,1)</f>
        <v>0.85</v>
      </c>
      <c r="G50" s="239" t="s">
        <v>98</v>
      </c>
    </row>
    <row r="51" spans="1:7" ht="16.5" customHeight="1">
      <c r="A51" s="731" t="s">
        <v>345</v>
      </c>
      <c r="B51" s="202" t="s">
        <v>105</v>
      </c>
      <c r="C51" s="224">
        <f ca="1">ROUND(C49*F50,0)</f>
        <v>4950</v>
      </c>
      <c r="D51" s="224"/>
      <c r="E51" s="224"/>
      <c r="F51" s="256"/>
      <c r="G51" s="226" t="s">
        <v>37</v>
      </c>
    </row>
    <row r="52" spans="1:7" s="200" customFormat="1" ht="16.5" thickBot="1">
      <c r="A52" s="257" t="s">
        <v>38</v>
      </c>
      <c r="B52" s="258"/>
      <c r="C52" s="259">
        <f ca="1">C31+C51</f>
        <v>36164</v>
      </c>
      <c r="D52" s="258"/>
      <c r="E52" s="258"/>
      <c r="F52" s="258"/>
      <c r="G52" s="260"/>
    </row>
    <row r="55" spans="1:7" ht="15">
      <c r="B55" s="262" t="s">
        <v>39</v>
      </c>
      <c r="C55" s="263"/>
    </row>
    <row r="56" spans="1:7">
      <c r="B56" s="265" t="s">
        <v>40</v>
      </c>
      <c r="C56" s="266">
        <f ca="1">ROUND(C51/C52,3)</f>
        <v>0.13700000000000001</v>
      </c>
    </row>
    <row r="57" spans="1:7">
      <c r="B57" s="265" t="s">
        <v>41</v>
      </c>
      <c r="C57" s="267">
        <f ca="1">1-C56</f>
        <v>0.86299999999999999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topLeftCell="A213" zoomScale="80" zoomScaleNormal="80" workbookViewId="0">
      <selection activeCell="A3" sqref="A3:G9"/>
    </sheetView>
  </sheetViews>
  <sheetFormatPr defaultColWidth="8.875" defaultRowHeight="11.25"/>
  <cols>
    <col min="1" max="1" width="9.625" style="2781" customWidth="1"/>
    <col min="2" max="2" width="18.625" style="2781" customWidth="1"/>
    <col min="3" max="6" width="10.25" style="2781" customWidth="1"/>
    <col min="7" max="7" width="10.5" style="2781" bestFit="1" customWidth="1"/>
    <col min="8" max="8" width="8.875" style="2780"/>
    <col min="9" max="9" width="13.375" style="2780" customWidth="1"/>
    <col min="10" max="13" width="13.375" style="2781" customWidth="1"/>
    <col min="14" max="14" width="18.25" style="2781" customWidth="1"/>
    <col min="15" max="17" width="15.125" style="2781" customWidth="1"/>
    <col min="18" max="20" width="11.5" style="2781" customWidth="1"/>
    <col min="21" max="16384" width="8.875" style="2781"/>
  </cols>
  <sheetData>
    <row r="1" spans="1:20" ht="12" thickBot="1">
      <c r="A1" s="3523" t="s">
        <v>2839</v>
      </c>
      <c r="B1" s="3523"/>
      <c r="C1" s="3523"/>
      <c r="D1" s="3523"/>
      <c r="E1" s="3523"/>
      <c r="F1" s="3523"/>
      <c r="G1" s="3524"/>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2"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521" t="s">
        <v>2866</v>
      </c>
      <c r="B3" s="2943"/>
      <c r="C3" s="2944" t="s">
        <v>2809</v>
      </c>
      <c r="D3" s="2944" t="s">
        <v>2867</v>
      </c>
      <c r="E3" s="2944" t="s">
        <v>2811</v>
      </c>
      <c r="F3" s="2944" t="s">
        <v>2868</v>
      </c>
      <c r="G3" s="2944" t="s">
        <v>2629</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2" thickBot="1">
      <c r="A4" s="3522"/>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2"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2"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2"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2"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525" t="s">
        <v>3181</v>
      </c>
      <c r="B1" s="3525"/>
    </row>
    <row r="2" spans="1:7" ht="14.25" thickBot="1">
      <c r="A2" s="2967"/>
      <c r="B2" s="2967"/>
    </row>
    <row r="3" spans="1:7" ht="14.25" thickBot="1">
      <c r="A3" s="2967"/>
      <c r="B3" s="2967"/>
      <c r="C3" s="2968" t="s">
        <v>2809</v>
      </c>
      <c r="D3" s="2968" t="s">
        <v>2867</v>
      </c>
      <c r="E3" s="2968" t="s">
        <v>2811</v>
      </c>
      <c r="F3" s="2968" t="s">
        <v>2868</v>
      </c>
      <c r="G3" s="2968" t="s">
        <v>2629</v>
      </c>
    </row>
    <row r="4" spans="1:7" ht="14.2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4.2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4.2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4.2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4.2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4.2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4.2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4.2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4.2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4.2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4.2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2"/>
  </cols>
  <sheetData>
    <row r="1" spans="1:6">
      <c r="A1" s="3526" t="s">
        <v>3232</v>
      </c>
      <c r="B1" s="3526"/>
      <c r="C1" s="3526"/>
      <c r="D1" s="3526"/>
      <c r="E1" s="3526"/>
      <c r="F1" s="3527"/>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E1" sqref="E1:E1048576"/>
    </sheetView>
  </sheetViews>
  <sheetFormatPr defaultRowHeight="13.5"/>
  <cols>
    <col min="1" max="1" width="13.875" customWidth="1"/>
    <col min="11" max="17" width="0" hidden="1" customWidth="1"/>
    <col min="25" max="30" width="0" hidden="1" customWidth="1"/>
  </cols>
  <sheetData>
    <row r="1" spans="1:30">
      <c r="A1" s="2936">
        <f>基准地价修正!G23</f>
        <v>45051</v>
      </c>
      <c r="B1" s="2928" t="s">
        <v>2838</v>
      </c>
      <c r="C1" s="2929"/>
      <c r="D1" s="2929"/>
      <c r="E1" s="2929"/>
      <c r="F1" s="2929"/>
      <c r="G1" s="2929"/>
      <c r="H1" s="2929"/>
      <c r="I1" s="2929"/>
      <c r="J1" s="2895"/>
      <c r="K1" s="2929" t="s">
        <v>454</v>
      </c>
      <c r="L1" s="2929"/>
      <c r="M1" s="2929"/>
      <c r="N1" s="2929"/>
      <c r="O1" s="2929"/>
      <c r="P1" s="2929"/>
      <c r="Q1" s="2895"/>
      <c r="R1" s="3528" t="s">
        <v>456</v>
      </c>
      <c r="S1" s="3529"/>
      <c r="T1" s="3529"/>
      <c r="U1" s="3529"/>
      <c r="V1" s="3529"/>
      <c r="W1" s="3529"/>
      <c r="X1" s="2895"/>
      <c r="Y1" s="3528" t="s">
        <v>457</v>
      </c>
      <c r="Z1" s="3529"/>
      <c r="AA1" s="3529"/>
      <c r="AB1" s="3529"/>
      <c r="AC1" s="3529"/>
      <c r="AD1" s="3529"/>
    </row>
    <row r="2" spans="1:30" s="2010" customFormat="1" ht="14.25" thickBot="1">
      <c r="B2" s="2880"/>
      <c r="C2" s="2881"/>
      <c r="D2" s="2011" t="s">
        <v>2808</v>
      </c>
      <c r="E2" s="2012" t="s">
        <v>2809</v>
      </c>
      <c r="F2" s="2012" t="s">
        <v>2810</v>
      </c>
      <c r="G2" s="2012" t="s">
        <v>2811</v>
      </c>
      <c r="H2" s="2012" t="s">
        <v>2812</v>
      </c>
      <c r="I2" s="2012" t="s">
        <v>2629</v>
      </c>
      <c r="J2" s="2882"/>
      <c r="K2" s="2011" t="s">
        <v>2808</v>
      </c>
      <c r="L2" s="2012" t="s">
        <v>2809</v>
      </c>
      <c r="M2" s="2012" t="s">
        <v>2810</v>
      </c>
      <c r="N2" s="2012" t="s">
        <v>2811</v>
      </c>
      <c r="O2" s="2012" t="s">
        <v>2813</v>
      </c>
      <c r="P2" s="2012" t="s">
        <v>2629</v>
      </c>
      <c r="Q2" s="2882"/>
      <c r="R2" s="2011" t="s">
        <v>2808</v>
      </c>
      <c r="S2" s="2012" t="s">
        <v>2809</v>
      </c>
      <c r="T2" s="2012" t="s">
        <v>2810</v>
      </c>
      <c r="U2" s="2012" t="s">
        <v>2814</v>
      </c>
      <c r="V2" s="2012" t="s">
        <v>2815</v>
      </c>
      <c r="W2" s="2012" t="s">
        <v>2629</v>
      </c>
      <c r="X2" s="2882"/>
      <c r="Y2" s="2011" t="s">
        <v>2808</v>
      </c>
      <c r="Z2" s="2012" t="s">
        <v>2809</v>
      </c>
      <c r="AA2" s="2012" t="s">
        <v>2810</v>
      </c>
      <c r="AB2" s="2012" t="s">
        <v>2816</v>
      </c>
      <c r="AC2" s="2012" t="s">
        <v>2815</v>
      </c>
      <c r="AD2" s="2012" t="s">
        <v>2629</v>
      </c>
    </row>
    <row r="3" spans="1:30" s="2885" customFormat="1" ht="12.75">
      <c r="A3" s="2883" t="s">
        <v>2817</v>
      </c>
      <c r="B3" s="2884"/>
      <c r="D3" s="2885">
        <f>ROUND(AVERAGEIF(D4:D16,"&lt;&gt;0"),2)</f>
        <v>0.82</v>
      </c>
      <c r="E3" s="2885">
        <f t="shared" ref="E3:H3" si="0">ROUND(AVERAGEIF(E4:E16,"&lt;&gt;0"),2)</f>
        <v>0.38</v>
      </c>
      <c r="F3" s="2885">
        <f t="shared" si="0"/>
        <v>0.2</v>
      </c>
      <c r="G3" s="2885">
        <f t="shared" si="0"/>
        <v>0.89</v>
      </c>
      <c r="H3" s="2885">
        <f t="shared" si="0"/>
        <v>0.64</v>
      </c>
      <c r="I3" s="2885">
        <f>F3</f>
        <v>0.2</v>
      </c>
      <c r="J3" s="2886"/>
      <c r="K3" s="2887">
        <f>ROUND(AVERAGEIF(K4:K16,"&lt;&gt;0"),4)</f>
        <v>8.2000000000000007E-3</v>
      </c>
      <c r="L3" s="2888">
        <f t="shared" ref="L3:O3" si="1">ROUND(AVERAGEIF(L4:L16,"&lt;&gt;0"),4)</f>
        <v>3.8E-3</v>
      </c>
      <c r="M3" s="2888">
        <f t="shared" si="1"/>
        <v>2E-3</v>
      </c>
      <c r="N3" s="2888">
        <f t="shared" si="1"/>
        <v>8.8999999999999999E-3</v>
      </c>
      <c r="O3" s="2888">
        <f t="shared" si="1"/>
        <v>6.4000000000000003E-3</v>
      </c>
      <c r="P3" s="2888">
        <f>M3</f>
        <v>2E-3</v>
      </c>
      <c r="Q3" s="2886"/>
      <c r="R3" s="2889">
        <f>ROUND(SUMPRODUCT(PRODUCT(1+K4:K16)),4)</f>
        <v>1.0763</v>
      </c>
      <c r="S3" s="2890">
        <f t="shared" ref="S3:V3" si="2">ROUND(SUMPRODUCT(PRODUCT(1+L4:L16)),4)</f>
        <v>1.0343</v>
      </c>
      <c r="T3" s="2890">
        <f t="shared" si="2"/>
        <v>1.0177</v>
      </c>
      <c r="U3" s="2890">
        <f t="shared" si="2"/>
        <v>1.0833999999999999</v>
      </c>
      <c r="V3" s="2890">
        <f t="shared" si="2"/>
        <v>1.0592999999999999</v>
      </c>
      <c r="W3" s="2889">
        <f>T3</f>
        <v>1.0177</v>
      </c>
      <c r="X3" s="2886"/>
      <c r="Y3" s="2891">
        <f>ROUND(AVERAGEIF(Y5:Y16,"&lt;&gt;0"),4)</f>
        <v>8.6999999999999994E-3</v>
      </c>
      <c r="Z3" s="2892">
        <f t="shared" ref="Z3:AC3" si="3">ROUND(AVERAGEIF(Z5:Z16,"&lt;&gt;0"),4)</f>
        <v>3.5000000000000001E-3</v>
      </c>
      <c r="AA3" s="2893">
        <f t="shared" si="3"/>
        <v>8.9999999999999998E-4</v>
      </c>
      <c r="AB3" s="2891">
        <f t="shared" si="3"/>
        <v>9.4999999999999998E-3</v>
      </c>
      <c r="AC3" s="2894">
        <f t="shared" si="3"/>
        <v>6.1000000000000004E-3</v>
      </c>
      <c r="AD3" s="2891">
        <f>AA3</f>
        <v>8.9999999999999998E-4</v>
      </c>
    </row>
    <row r="4" spans="1:30" s="2009" customFormat="1" ht="12.75">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30" s="2045" customFormat="1" ht="12.75">
      <c r="A5" s="2904" t="s">
        <v>3368</v>
      </c>
      <c r="B5" s="2031">
        <v>2023</v>
      </c>
      <c r="C5" s="2042">
        <v>4</v>
      </c>
      <c r="D5" s="2007">
        <v>0</v>
      </c>
      <c r="E5" s="2007">
        <v>0</v>
      </c>
      <c r="F5" s="2007">
        <v>0</v>
      </c>
      <c r="G5" s="2007">
        <v>0</v>
      </c>
      <c r="H5" s="2007">
        <v>0</v>
      </c>
      <c r="I5" s="2008">
        <f t="shared" ref="I5:I16" si="4">F5</f>
        <v>0</v>
      </c>
      <c r="J5" s="2905"/>
      <c r="K5" s="2043">
        <f t="shared" ref="K5:O16" si="5">D5/100</f>
        <v>0</v>
      </c>
      <c r="L5" s="2028">
        <f t="shared" si="5"/>
        <v>0</v>
      </c>
      <c r="M5" s="2028">
        <f t="shared" si="5"/>
        <v>0</v>
      </c>
      <c r="N5" s="2028">
        <f t="shared" si="5"/>
        <v>0</v>
      </c>
      <c r="O5" s="2028">
        <f t="shared" si="5"/>
        <v>0</v>
      </c>
      <c r="P5" s="2028">
        <f>M5</f>
        <v>0</v>
      </c>
      <c r="Q5" s="2905"/>
      <c r="R5" s="2027">
        <f>ROUND(IF(项目基本情况!$B$8="出让",SUMPRODUCT(PRODUCT(1+K5:$K$16)),SUMPRODUCT(PRODUCT(1+K5:$K$15))),4)</f>
        <v>1.0659000000000001</v>
      </c>
      <c r="S5" s="2027">
        <f>ROUND(IF(项目基本情况!$B$8="出让",SUMPRODUCT(PRODUCT(1+L5:$L$16)),SUMPRODUCT(PRODUCT(1+L5:$L$15))),4)</f>
        <v>1.0326</v>
      </c>
      <c r="T5" s="2027">
        <f>ROUND(IF(项目基本情况!$B$8="出让",SUMPRODUCT(PRODUCT(1+M5:$M$16)),SUMPRODUCT(PRODUCT(1+M5:$M$15))),4)</f>
        <v>1.0203</v>
      </c>
      <c r="U5" s="2027">
        <f>ROUND(IF(项目基本情况!$B$8="出让",SUMPRODUCT(PRODUCT(1+N5:$N$16)),SUMPRODUCT(PRODUCT(1+N5:$N$15))),4)</f>
        <v>1.0714999999999999</v>
      </c>
      <c r="V5" s="2027">
        <f>ROUND(IF(项目基本情况!$B$8="出让",SUMPRODUCT(PRODUCT(1+O5:$O$16)),SUMPRODUCT(PRODUCT(1+O5:$O$15))),4)</f>
        <v>1.0555000000000001</v>
      </c>
      <c r="W5" s="2027">
        <f>T5</f>
        <v>1.0203</v>
      </c>
      <c r="X5" s="2905"/>
      <c r="Y5" s="2028">
        <f>IF(D5=0,0,ROUND(AVERAGE(D5:D16)/100,4))</f>
        <v>0</v>
      </c>
      <c r="Z5" s="2028">
        <f t="shared" ref="Z5:AC5" si="6">IF(E5=0,0,ROUND(AVERAGE(E5:E16)/100,4))</f>
        <v>0</v>
      </c>
      <c r="AA5" s="2028">
        <f t="shared" si="6"/>
        <v>0</v>
      </c>
      <c r="AB5" s="2028">
        <f t="shared" si="6"/>
        <v>0</v>
      </c>
      <c r="AC5" s="2028">
        <f t="shared" si="6"/>
        <v>0</v>
      </c>
      <c r="AD5" s="2028">
        <f t="shared" ref="AD5:AD15" si="7">AA5</f>
        <v>0</v>
      </c>
    </row>
    <row r="6" spans="1:30" s="2045" customFormat="1" ht="12.75">
      <c r="A6" s="2904" t="s">
        <v>3369</v>
      </c>
      <c r="B6" s="2031">
        <v>2023</v>
      </c>
      <c r="C6" s="2042">
        <v>3</v>
      </c>
      <c r="D6" s="2007">
        <v>0</v>
      </c>
      <c r="E6" s="2007">
        <v>0</v>
      </c>
      <c r="F6" s="2007">
        <v>0</v>
      </c>
      <c r="G6" s="2007">
        <v>0</v>
      </c>
      <c r="H6" s="2007">
        <v>0</v>
      </c>
      <c r="I6" s="2008">
        <f t="shared" si="4"/>
        <v>0</v>
      </c>
      <c r="J6" s="2905"/>
      <c r="K6" s="2043">
        <f t="shared" ref="K6:K8" si="8">D6/100</f>
        <v>0</v>
      </c>
      <c r="L6" s="2028">
        <f t="shared" ref="L6:L8" si="9">E6/100</f>
        <v>0</v>
      </c>
      <c r="M6" s="2028">
        <f t="shared" ref="M6:M8" si="10">F6/100</f>
        <v>0</v>
      </c>
      <c r="N6" s="2028">
        <f t="shared" ref="N6:N8" si="11">G6/100</f>
        <v>0</v>
      </c>
      <c r="O6" s="2028">
        <f t="shared" ref="O6:O8" si="12">H6/100</f>
        <v>0</v>
      </c>
      <c r="P6" s="2028">
        <f t="shared" ref="P6:P8" si="13">M6</f>
        <v>0</v>
      </c>
      <c r="Q6" s="2905"/>
      <c r="R6" s="2027">
        <f>ROUND(IF(项目基本情况!$B$8="出让",SUMPRODUCT(PRODUCT(1+K6:$K$16)),SUMPRODUCT(PRODUCT(1+K6:$K$15))),4)</f>
        <v>1.0659000000000001</v>
      </c>
      <c r="S6" s="2027">
        <f>ROUND(IF(项目基本情况!$B$8="出让",SUMPRODUCT(PRODUCT(1+L6:$L$16)),SUMPRODUCT(PRODUCT(1+L6:$L$15))),4)</f>
        <v>1.0326</v>
      </c>
      <c r="T6" s="2027">
        <f>ROUND(IF(项目基本情况!$B$8="出让",SUMPRODUCT(PRODUCT(1+M6:$M$16)),SUMPRODUCT(PRODUCT(1+M6:$M$15))),4)</f>
        <v>1.0203</v>
      </c>
      <c r="U6" s="2027">
        <f>ROUND(IF(项目基本情况!$B$8="出让",SUMPRODUCT(PRODUCT(1+N6:$N$16)),SUMPRODUCT(PRODUCT(1+N6:$N$15))),4)</f>
        <v>1.0714999999999999</v>
      </c>
      <c r="V6" s="2027">
        <f>ROUND(IF(项目基本情况!$B$8="出让",SUMPRODUCT(PRODUCT(1+O6:$O$16)),SUMPRODUCT(PRODUCT(1+O6:$O$15))),4)</f>
        <v>1.0555000000000001</v>
      </c>
      <c r="W6" s="2027">
        <f t="shared" ref="W6:W8" si="14">T6</f>
        <v>1.0203</v>
      </c>
      <c r="X6" s="2905"/>
      <c r="Y6" s="2028"/>
      <c r="Z6" s="2028"/>
      <c r="AA6" s="2028"/>
      <c r="AB6" s="2028"/>
      <c r="AC6" s="2028"/>
      <c r="AD6" s="2028"/>
    </row>
    <row r="7" spans="1:30" s="2045" customFormat="1" ht="12.75">
      <c r="A7" s="2904" t="s">
        <v>3367</v>
      </c>
      <c r="B7" s="2031">
        <v>2023</v>
      </c>
      <c r="C7" s="2042">
        <v>2</v>
      </c>
      <c r="D7" s="2007">
        <v>0</v>
      </c>
      <c r="E7" s="2007">
        <v>0</v>
      </c>
      <c r="F7" s="2007">
        <v>0</v>
      </c>
      <c r="G7" s="2007">
        <v>0</v>
      </c>
      <c r="H7" s="2007">
        <v>0</v>
      </c>
      <c r="I7" s="2008">
        <f t="shared" si="4"/>
        <v>0</v>
      </c>
      <c r="J7" s="2905"/>
      <c r="K7" s="2043">
        <f t="shared" si="8"/>
        <v>0</v>
      </c>
      <c r="L7" s="2028">
        <f t="shared" si="9"/>
        <v>0</v>
      </c>
      <c r="M7" s="2028">
        <f t="shared" si="10"/>
        <v>0</v>
      </c>
      <c r="N7" s="2028">
        <f t="shared" si="11"/>
        <v>0</v>
      </c>
      <c r="O7" s="2028">
        <f t="shared" si="12"/>
        <v>0</v>
      </c>
      <c r="P7" s="2028">
        <f t="shared" si="13"/>
        <v>0</v>
      </c>
      <c r="Q7" s="2905"/>
      <c r="R7" s="2027">
        <f>ROUND(IF(项目基本情况!$B$8="出让",SUMPRODUCT(PRODUCT(1+K7:$K$16)),SUMPRODUCT(PRODUCT(1+K7:$K$15))),4)</f>
        <v>1.0659000000000001</v>
      </c>
      <c r="S7" s="2027">
        <f>ROUND(IF(项目基本情况!$B$8="出让",SUMPRODUCT(PRODUCT(1+L7:$L$16)),SUMPRODUCT(PRODUCT(1+L7:$L$15))),4)</f>
        <v>1.0326</v>
      </c>
      <c r="T7" s="2027">
        <f>ROUND(IF(项目基本情况!$B$8="出让",SUMPRODUCT(PRODUCT(1+M7:$M$16)),SUMPRODUCT(PRODUCT(1+M7:$M$15))),4)</f>
        <v>1.0203</v>
      </c>
      <c r="U7" s="2027">
        <f>ROUND(IF(项目基本情况!$B$8="出让",SUMPRODUCT(PRODUCT(1+N7:$N$16)),SUMPRODUCT(PRODUCT(1+N7:$N$15))),4)</f>
        <v>1.0714999999999999</v>
      </c>
      <c r="V7" s="2027">
        <f>ROUND(IF(项目基本情况!$B$8="出让",SUMPRODUCT(PRODUCT(1+O7:$O$16)),SUMPRODUCT(PRODUCT(1+O7:$O$15))),4)</f>
        <v>1.0555000000000001</v>
      </c>
      <c r="W7" s="2027">
        <f t="shared" si="14"/>
        <v>1.0203</v>
      </c>
      <c r="X7" s="2905"/>
      <c r="Y7" s="2028"/>
      <c r="Z7" s="2028"/>
      <c r="AA7" s="2028"/>
      <c r="AB7" s="2028"/>
      <c r="AC7" s="2028"/>
      <c r="AD7" s="2028"/>
    </row>
    <row r="8" spans="1:30" s="2915" customFormat="1" ht="12.75">
      <c r="A8" s="2906" t="s">
        <v>3370</v>
      </c>
      <c r="B8" s="2907">
        <v>2023</v>
      </c>
      <c r="C8" s="2908">
        <v>1</v>
      </c>
      <c r="D8" s="2909">
        <v>0.89</v>
      </c>
      <c r="E8" s="2909">
        <v>0.74</v>
      </c>
      <c r="F8" s="2909">
        <v>0.56999999999999995</v>
      </c>
      <c r="G8" s="2909">
        <v>0.92</v>
      </c>
      <c r="H8" s="2910">
        <v>0.5</v>
      </c>
      <c r="I8" s="2911">
        <f t="shared" si="4"/>
        <v>0.56999999999999995</v>
      </c>
      <c r="J8" s="2912"/>
      <c r="K8" s="2913">
        <f t="shared" si="8"/>
        <v>8.8999999999999999E-3</v>
      </c>
      <c r="L8" s="2914">
        <f t="shared" si="9"/>
        <v>7.4000000000000003E-3</v>
      </c>
      <c r="M8" s="2914">
        <f t="shared" si="10"/>
        <v>5.6999999999999993E-3</v>
      </c>
      <c r="N8" s="2914">
        <f t="shared" si="11"/>
        <v>9.1999999999999998E-3</v>
      </c>
      <c r="O8" s="2914">
        <f t="shared" si="12"/>
        <v>5.0000000000000001E-3</v>
      </c>
      <c r="P8" s="2914">
        <f t="shared" si="13"/>
        <v>5.6999999999999993E-3</v>
      </c>
      <c r="Q8" s="2912"/>
      <c r="R8" s="2912">
        <f>ROUND(IF(项目基本情况!$B$8="出让",SUMPRODUCT(PRODUCT(1+K8:$K$16)),SUMPRODUCT(PRODUCT(1+K8:$K$15))),4)</f>
        <v>1.0659000000000001</v>
      </c>
      <c r="S8" s="2912">
        <f>ROUND(IF(项目基本情况!$B$8="出让",SUMPRODUCT(PRODUCT(1+L8:$L$16)),SUMPRODUCT(PRODUCT(1+L8:$L$15))),4)</f>
        <v>1.0326</v>
      </c>
      <c r="T8" s="2912">
        <f>ROUND(IF(项目基本情况!$B$8="出让",SUMPRODUCT(PRODUCT(1+M8:$M$16)),SUMPRODUCT(PRODUCT(1+M8:$M$15))),4)</f>
        <v>1.0203</v>
      </c>
      <c r="U8" s="2912">
        <f>ROUND(IF(项目基本情况!$B$8="出让",SUMPRODUCT(PRODUCT(1+N8:$N$16)),SUMPRODUCT(PRODUCT(1+N8:$N$15))),4)</f>
        <v>1.0714999999999999</v>
      </c>
      <c r="V8" s="2912">
        <f>ROUND(IF(项目基本情况!$B$8="出让",SUMPRODUCT(PRODUCT(1+O8:$O$16)),SUMPRODUCT(PRODUCT(1+O8:$O$15))),4)</f>
        <v>1.0555000000000001</v>
      </c>
      <c r="W8" s="2912">
        <f t="shared" si="14"/>
        <v>1.0203</v>
      </c>
      <c r="X8" s="2912"/>
      <c r="Y8" s="2914"/>
      <c r="Z8" s="2914"/>
      <c r="AA8" s="2914"/>
      <c r="AB8" s="2914"/>
      <c r="AC8" s="2914"/>
      <c r="AD8" s="2914"/>
    </row>
    <row r="9" spans="1:30" s="2045" customFormat="1" ht="12.75">
      <c r="A9" s="2904" t="s">
        <v>3371</v>
      </c>
      <c r="B9" s="2031">
        <v>2022</v>
      </c>
      <c r="C9" s="2042">
        <v>4</v>
      </c>
      <c r="D9" s="2007">
        <v>0.62</v>
      </c>
      <c r="E9" s="2007">
        <v>0.2</v>
      </c>
      <c r="F9" s="2007">
        <v>0.11</v>
      </c>
      <c r="G9" s="2007">
        <v>0.69</v>
      </c>
      <c r="H9" s="2916">
        <v>0.53</v>
      </c>
      <c r="I9" s="2008">
        <f t="shared" si="4"/>
        <v>0.11</v>
      </c>
      <c r="J9" s="2905"/>
      <c r="K9" s="2043">
        <f t="shared" si="5"/>
        <v>6.1999999999999998E-3</v>
      </c>
      <c r="L9" s="2028">
        <f t="shared" si="5"/>
        <v>2E-3</v>
      </c>
      <c r="M9" s="2028">
        <f t="shared" si="5"/>
        <v>1.1000000000000001E-3</v>
      </c>
      <c r="N9" s="2028">
        <f t="shared" si="5"/>
        <v>6.8999999999999999E-3</v>
      </c>
      <c r="O9" s="2028">
        <f t="shared" si="5"/>
        <v>5.3E-3</v>
      </c>
      <c r="P9" s="2028">
        <f t="shared" ref="P9:P16" si="15">M9</f>
        <v>1.1000000000000001E-3</v>
      </c>
      <c r="Q9" s="2905"/>
      <c r="R9" s="2027">
        <f>ROUND(IF([2]项目基本情况!B8="出让",SUMPRODUCT(PRODUCT(1+K9:K16)),SUMPRODUCT(PRODUCT(1+K9:K15))),4)</f>
        <v>1.0565</v>
      </c>
      <c r="S9" s="2027">
        <f>ROUND(IF([2]项目基本情况!B8="出让",SUMPRODUCT(PRODUCT(1+L9:L16)),SUMPRODUCT(PRODUCT(1+L9:L15))),4)</f>
        <v>1.0250999999999999</v>
      </c>
      <c r="T9" s="2027">
        <f>ROUND(IF([2]项目基本情况!B8="出让",SUMPRODUCT(PRODUCT(1+M9:M16)),SUMPRODUCT(PRODUCT(1+M9:M15))),4)</f>
        <v>1.0145</v>
      </c>
      <c r="U9" s="2027">
        <f>ROUND(IF([2]项目基本情况!B8="出让",SUMPRODUCT(PRODUCT(1+N9:N16)),SUMPRODUCT(PRODUCT(1+N9:N15))),4)</f>
        <v>1.0618000000000001</v>
      </c>
      <c r="V9" s="2027">
        <f>ROUND(IF([2]项目基本情况!B8="出让",SUMPRODUCT(PRODUCT(1+O9:O16)),SUMPRODUCT(PRODUCT(1+O9:O15))),4)</f>
        <v>1.0502</v>
      </c>
      <c r="W9" s="2027">
        <f t="shared" ref="W9:W16" si="16">T9</f>
        <v>1.0145</v>
      </c>
      <c r="X9" s="2905"/>
      <c r="Y9" s="2028">
        <f>IF(D9=0,0,ROUND(AVERAGE(D9:D17)/100,4))</f>
        <v>8.0999999999999996E-3</v>
      </c>
      <c r="Z9" s="2028">
        <f t="shared" ref="Z9:AC9" si="17">IF(E9=0,0,ROUND(AVERAGE(E9:E16)/100,4))</f>
        <v>3.3E-3</v>
      </c>
      <c r="AA9" s="2028">
        <f t="shared" si="17"/>
        <v>1.5E-3</v>
      </c>
      <c r="AB9" s="2028">
        <f t="shared" si="17"/>
        <v>8.8999999999999999E-3</v>
      </c>
      <c r="AC9" s="2028">
        <f t="shared" si="17"/>
        <v>6.6E-3</v>
      </c>
      <c r="AD9" s="2028">
        <f t="shared" si="7"/>
        <v>1.5E-3</v>
      </c>
    </row>
    <row r="10" spans="1:30" s="2045" customFormat="1" ht="12.75">
      <c r="A10" s="2904" t="s">
        <v>3363</v>
      </c>
      <c r="B10" s="2031">
        <v>2022</v>
      </c>
      <c r="C10" s="2042">
        <v>3</v>
      </c>
      <c r="D10" s="2007">
        <v>0.66</v>
      </c>
      <c r="E10" s="2007">
        <v>0.32</v>
      </c>
      <c r="F10" s="2007">
        <v>0.23</v>
      </c>
      <c r="G10" s="2007">
        <v>0.72</v>
      </c>
      <c r="H10" s="2916">
        <v>0.63</v>
      </c>
      <c r="I10" s="2008">
        <f t="shared" si="4"/>
        <v>0.23</v>
      </c>
      <c r="J10" s="2905"/>
      <c r="K10" s="2043">
        <f t="shared" si="5"/>
        <v>6.6E-3</v>
      </c>
      <c r="L10" s="2028">
        <f t="shared" si="5"/>
        <v>3.2000000000000002E-3</v>
      </c>
      <c r="M10" s="2028">
        <f t="shared" si="5"/>
        <v>2.3E-3</v>
      </c>
      <c r="N10" s="2028">
        <f t="shared" si="5"/>
        <v>7.1999999999999998E-3</v>
      </c>
      <c r="O10" s="2028">
        <f t="shared" si="5"/>
        <v>6.3E-3</v>
      </c>
      <c r="P10" s="2028">
        <f t="shared" si="15"/>
        <v>2.3E-3</v>
      </c>
      <c r="Q10" s="2905"/>
      <c r="R10" s="2027">
        <f>ROUND(IF([2]项目基本情况!B8="出让",SUMPRODUCT(PRODUCT(1+K10:K16)),SUMPRODUCT(PRODUCT(1+K10:K15))),4)</f>
        <v>1.05</v>
      </c>
      <c r="S10" s="2027">
        <f>ROUND(IF([2]项目基本情况!B8="出让",SUMPRODUCT(PRODUCT(1+L10:L16)),SUMPRODUCT(PRODUCT(1+L10:L15))),4)</f>
        <v>1.0229999999999999</v>
      </c>
      <c r="T10" s="2027">
        <f>ROUND(IF([2]项目基本情况!B8="出让",SUMPRODUCT(PRODUCT(1+M10:M16)),SUMPRODUCT(PRODUCT(1+M10:M15))),4)</f>
        <v>1.0134000000000001</v>
      </c>
      <c r="U10" s="2027">
        <f>ROUND(IF([2]项目基本情况!B8="出让",SUMPRODUCT(PRODUCT(1+N10:N16)),SUMPRODUCT(PRODUCT(1+N10:N15))),4)</f>
        <v>1.0545</v>
      </c>
      <c r="V10" s="2027">
        <f>ROUND(IF([2]项目基本情况!B8="出让",SUMPRODUCT(PRODUCT(1+O10:O16)),SUMPRODUCT(PRODUCT(1+O10:O15))),4)</f>
        <v>1.0447</v>
      </c>
      <c r="W10" s="2027">
        <f t="shared" si="16"/>
        <v>1.0134000000000001</v>
      </c>
      <c r="X10" s="2905"/>
      <c r="Y10" s="2028">
        <f>IF(D10=0,0,ROUND(AVERAGE(D10:D16)/100,4))</f>
        <v>8.3999999999999995E-3</v>
      </c>
      <c r="Z10" s="2028">
        <f t="shared" ref="Z10:AC10" si="18">IF(E10=0,0,ROUND(AVERAGE(E10:E16)/100,4))</f>
        <v>3.5000000000000001E-3</v>
      </c>
      <c r="AA10" s="2028">
        <f t="shared" si="18"/>
        <v>1.5E-3</v>
      </c>
      <c r="AB10" s="2028">
        <f t="shared" si="18"/>
        <v>9.1999999999999998E-3</v>
      </c>
      <c r="AC10" s="2028">
        <f t="shared" si="18"/>
        <v>6.7999999999999996E-3</v>
      </c>
      <c r="AD10" s="2028">
        <f t="shared" si="7"/>
        <v>1.5E-3</v>
      </c>
    </row>
    <row r="11" spans="1:30" s="2045" customFormat="1" ht="12.75">
      <c r="A11" s="2904" t="s">
        <v>3354</v>
      </c>
      <c r="B11" s="2031">
        <v>2022</v>
      </c>
      <c r="C11" s="2042">
        <v>2</v>
      </c>
      <c r="D11" s="2007">
        <v>0.93</v>
      </c>
      <c r="E11" s="2007">
        <v>0.15</v>
      </c>
      <c r="F11" s="2007">
        <v>0.01</v>
      </c>
      <c r="G11" s="2007">
        <v>1.05</v>
      </c>
      <c r="H11" s="2916">
        <v>1.08</v>
      </c>
      <c r="I11" s="2008">
        <f t="shared" si="4"/>
        <v>0.01</v>
      </c>
      <c r="J11" s="2905"/>
      <c r="K11" s="2043">
        <f t="shared" si="5"/>
        <v>9.300000000000001E-3</v>
      </c>
      <c r="L11" s="2028">
        <f t="shared" si="5"/>
        <v>1.5E-3</v>
      </c>
      <c r="M11" s="2028">
        <f t="shared" si="5"/>
        <v>1E-4</v>
      </c>
      <c r="N11" s="2028">
        <f t="shared" si="5"/>
        <v>1.0500000000000001E-2</v>
      </c>
      <c r="O11" s="2028">
        <f t="shared" si="5"/>
        <v>1.0800000000000001E-2</v>
      </c>
      <c r="P11" s="2028">
        <f t="shared" si="15"/>
        <v>1E-4</v>
      </c>
      <c r="Q11" s="2905"/>
      <c r="R11" s="2027">
        <f>ROUND(IF([2]项目基本情况!B8="出让",SUMPRODUCT(PRODUCT(1+K11:K16)),SUMPRODUCT(PRODUCT(1+K11:K15))),4)</f>
        <v>1.0430999999999999</v>
      </c>
      <c r="S11" s="2027">
        <f>ROUND(IF([2]项目基本情况!B8="出让",SUMPRODUCT(PRODUCT(1+L11:L16)),SUMPRODUCT(PRODUCT(1+L11:L15))),4)</f>
        <v>1.0197000000000001</v>
      </c>
      <c r="T11" s="2027">
        <f>ROUND(IF([2]项目基本情况!B8="出让",SUMPRODUCT(PRODUCT(1+M11:M16)),SUMPRODUCT(PRODUCT(1+M11:M15))),4)</f>
        <v>1.0109999999999999</v>
      </c>
      <c r="U11" s="2027">
        <f>ROUND(IF([2]项目基本情况!B8="出让",SUMPRODUCT(PRODUCT(1+N11:N16)),SUMPRODUCT(PRODUCT(1+N11:N15))),4)</f>
        <v>1.0468999999999999</v>
      </c>
      <c r="V11" s="2027">
        <f>ROUND(IF([2]项目基本情况!B8="出让",SUMPRODUCT(PRODUCT(1+O11:O16)),SUMPRODUCT(PRODUCT(1+O11:O15))),4)</f>
        <v>1.0382</v>
      </c>
      <c r="W11" s="2027">
        <f t="shared" si="16"/>
        <v>1.0109999999999999</v>
      </c>
      <c r="X11" s="2905"/>
      <c r="Y11" s="2028">
        <f>IF(D11=0,0,ROUND(AVERAGE(D11:D16)/100,4))</f>
        <v>8.6999999999999994E-3</v>
      </c>
      <c r="Z11" s="2028">
        <f t="shared" ref="Z11:AC11" si="19">IF(E11=0,0,ROUND(AVERAGE(E11:E16)/100,4))</f>
        <v>3.5000000000000001E-3</v>
      </c>
      <c r="AA11" s="2028">
        <f t="shared" si="19"/>
        <v>1.4E-3</v>
      </c>
      <c r="AB11" s="2028">
        <f t="shared" si="19"/>
        <v>9.4999999999999998E-3</v>
      </c>
      <c r="AC11" s="2028">
        <f t="shared" si="19"/>
        <v>6.8999999999999999E-3</v>
      </c>
      <c r="AD11" s="2028">
        <f t="shared" si="7"/>
        <v>1.4E-3</v>
      </c>
    </row>
    <row r="12" spans="1:30" s="2045" customFormat="1" ht="12.75">
      <c r="A12" s="2904" t="s">
        <v>2818</v>
      </c>
      <c r="B12" s="2031">
        <v>2022</v>
      </c>
      <c r="C12" s="2042">
        <v>1</v>
      </c>
      <c r="D12" s="2007">
        <v>0.89</v>
      </c>
      <c r="E12" s="2007">
        <v>0.44</v>
      </c>
      <c r="F12" s="2007">
        <v>0.37</v>
      </c>
      <c r="G12" s="2007">
        <v>0.96</v>
      </c>
      <c r="H12" s="2916">
        <v>0.64</v>
      </c>
      <c r="I12" s="2008">
        <f t="shared" si="4"/>
        <v>0.37</v>
      </c>
      <c r="J12" s="2905"/>
      <c r="K12" s="2043">
        <f t="shared" si="5"/>
        <v>8.8999999999999999E-3</v>
      </c>
      <c r="L12" s="2028">
        <f t="shared" si="5"/>
        <v>4.4000000000000003E-3</v>
      </c>
      <c r="M12" s="2028">
        <f t="shared" si="5"/>
        <v>3.7000000000000002E-3</v>
      </c>
      <c r="N12" s="2028">
        <f t="shared" si="5"/>
        <v>9.5999999999999992E-3</v>
      </c>
      <c r="O12" s="2028">
        <f t="shared" si="5"/>
        <v>6.4000000000000003E-3</v>
      </c>
      <c r="P12" s="2028">
        <f t="shared" si="15"/>
        <v>3.7000000000000002E-3</v>
      </c>
      <c r="Q12" s="2905"/>
      <c r="R12" s="2027">
        <f>ROUND(IF([2]项目基本情况!B8="出让",SUMPRODUCT(PRODUCT(1+K12:K16)),SUMPRODUCT(PRODUCT(1+K12:K15))),4)</f>
        <v>1.0335000000000001</v>
      </c>
      <c r="S12" s="2027">
        <f>ROUND(IF([2]项目基本情况!B8="出让",SUMPRODUCT(PRODUCT(1+L12:L16)),SUMPRODUCT(PRODUCT(1+L12:L15))),4)</f>
        <v>1.0182</v>
      </c>
      <c r="T12" s="2027">
        <f>ROUND(IF([2]项目基本情况!B8="出让",SUMPRODUCT(PRODUCT(1+M12:M16)),SUMPRODUCT(PRODUCT(1+M12:M15))),4)</f>
        <v>1.0108999999999999</v>
      </c>
      <c r="U12" s="2027">
        <f>ROUND(IF([2]项目基本情况!B8="出让",SUMPRODUCT(PRODUCT(1+N12:N16)),SUMPRODUCT(PRODUCT(1+N12:N15))),4)</f>
        <v>1.0361</v>
      </c>
      <c r="V12" s="2027">
        <f>ROUND(IF([2]项目基本情况!B8="出让",SUMPRODUCT(PRODUCT(1+O12:O16)),SUMPRODUCT(PRODUCT(1+O12:O15))),4)</f>
        <v>1.0270999999999999</v>
      </c>
      <c r="W12" s="2027">
        <f t="shared" si="16"/>
        <v>1.0108999999999999</v>
      </c>
      <c r="X12" s="2905"/>
      <c r="Y12" s="2028">
        <f>IF(D12=0,0,ROUND(AVERAGE(D12:D16)/100,4))</f>
        <v>8.6E-3</v>
      </c>
      <c r="Z12" s="2028">
        <f t="shared" ref="Z12:AC12" si="20">IF(E12=0,0,ROUND(AVERAGE(E12:E16)/100,4))</f>
        <v>3.8999999999999998E-3</v>
      </c>
      <c r="AA12" s="2028">
        <f t="shared" si="20"/>
        <v>1.6999999999999999E-3</v>
      </c>
      <c r="AB12" s="2028">
        <f t="shared" si="20"/>
        <v>9.2999999999999992E-3</v>
      </c>
      <c r="AC12" s="2028">
        <f t="shared" si="20"/>
        <v>6.1000000000000004E-3</v>
      </c>
      <c r="AD12" s="2028">
        <f t="shared" si="7"/>
        <v>1.6999999999999999E-3</v>
      </c>
    </row>
    <row r="13" spans="1:30" s="2045" customFormat="1" ht="12.75">
      <c r="A13" s="2904" t="s">
        <v>2819</v>
      </c>
      <c r="B13" s="2031">
        <v>2021</v>
      </c>
      <c r="C13" s="2042">
        <v>4</v>
      </c>
      <c r="D13" s="2007">
        <v>1.03</v>
      </c>
      <c r="E13" s="2007">
        <v>0.24</v>
      </c>
      <c r="F13" s="2007">
        <v>7.0000000000000007E-2</v>
      </c>
      <c r="G13" s="2007">
        <v>1.17</v>
      </c>
      <c r="H13" s="2916">
        <v>0.55000000000000004</v>
      </c>
      <c r="I13" s="2008">
        <f t="shared" si="4"/>
        <v>7.0000000000000007E-2</v>
      </c>
      <c r="J13" s="2905"/>
      <c r="K13" s="2043">
        <f t="shared" si="5"/>
        <v>1.03E-2</v>
      </c>
      <c r="L13" s="2028">
        <f t="shared" si="5"/>
        <v>2.3999999999999998E-3</v>
      </c>
      <c r="M13" s="2028">
        <f t="shared" si="5"/>
        <v>7.000000000000001E-4</v>
      </c>
      <c r="N13" s="2028">
        <f t="shared" si="5"/>
        <v>1.1699999999999999E-2</v>
      </c>
      <c r="O13" s="2028">
        <f t="shared" si="5"/>
        <v>5.5000000000000005E-3</v>
      </c>
      <c r="P13" s="2028">
        <f t="shared" si="15"/>
        <v>7.000000000000001E-4</v>
      </c>
      <c r="Q13" s="2905"/>
      <c r="R13" s="2027">
        <f>ROUND(IF([2]项目基本情况!B8="出让",SUMPRODUCT(PRODUCT(1+K13:K16)),SUMPRODUCT(PRODUCT(1+K13:K15))),4)</f>
        <v>1.0244</v>
      </c>
      <c r="S13" s="2027">
        <f>ROUND(IF([2]项目基本情况!B8="出让",SUMPRODUCT(PRODUCT(1+L13:L16)),SUMPRODUCT(PRODUCT(1+L13:L15))),4)</f>
        <v>1.0138</v>
      </c>
      <c r="T13" s="2027">
        <f>ROUND(IF([2]项目基本情况!B8="出让",SUMPRODUCT(PRODUCT(1+M13:M16)),SUMPRODUCT(PRODUCT(1+M13:M15))),4)</f>
        <v>1.0072000000000001</v>
      </c>
      <c r="U13" s="2027">
        <f>ROUND(IF([2]项目基本情况!B8="出让",SUMPRODUCT(PRODUCT(1+N13:N16)),SUMPRODUCT(PRODUCT(1+N13:N15))),4)</f>
        <v>1.0262</v>
      </c>
      <c r="V13" s="2027">
        <f>ROUND(IF([2]项目基本情况!B8="出让",SUMPRODUCT(PRODUCT(1+O13:O16)),SUMPRODUCT(PRODUCT(1+O13:O15))),4)</f>
        <v>1.0205</v>
      </c>
      <c r="W13" s="2027">
        <f t="shared" si="16"/>
        <v>1.0072000000000001</v>
      </c>
      <c r="X13" s="2905"/>
      <c r="Y13" s="2028">
        <f>IF(D13=0,0,ROUND(AVERAGE(D13:D16)/100,4))</f>
        <v>8.5000000000000006E-3</v>
      </c>
      <c r="Z13" s="2028">
        <f t="shared" ref="Z13:AC13" si="21">IF(E13=0,0,ROUND(AVERAGE(E13:E16)/100,4))</f>
        <v>3.8E-3</v>
      </c>
      <c r="AA13" s="2028">
        <f t="shared" si="21"/>
        <v>1.1999999999999999E-3</v>
      </c>
      <c r="AB13" s="2028">
        <f t="shared" si="21"/>
        <v>9.2999999999999992E-3</v>
      </c>
      <c r="AC13" s="2028">
        <f t="shared" si="21"/>
        <v>6.0000000000000001E-3</v>
      </c>
      <c r="AD13" s="2028">
        <f t="shared" si="7"/>
        <v>1.1999999999999999E-3</v>
      </c>
    </row>
    <row r="14" spans="1:30" s="2045" customFormat="1" ht="12.75">
      <c r="A14" s="2904" t="s">
        <v>2820</v>
      </c>
      <c r="B14" s="2031">
        <v>2021</v>
      </c>
      <c r="C14" s="2042">
        <v>3</v>
      </c>
      <c r="D14" s="2007">
        <v>0.47</v>
      </c>
      <c r="E14" s="2007">
        <v>0.41</v>
      </c>
      <c r="F14" s="2007">
        <v>0.24</v>
      </c>
      <c r="G14" s="2007">
        <v>0.48</v>
      </c>
      <c r="H14" s="2916">
        <v>0.48</v>
      </c>
      <c r="I14" s="2008">
        <f t="shared" si="4"/>
        <v>0.24</v>
      </c>
      <c r="J14" s="2905"/>
      <c r="K14" s="2043">
        <f t="shared" si="5"/>
        <v>4.6999999999999993E-3</v>
      </c>
      <c r="L14" s="2028">
        <f t="shared" si="5"/>
        <v>4.0999999999999995E-3</v>
      </c>
      <c r="M14" s="2028">
        <f t="shared" si="5"/>
        <v>2.3999999999999998E-3</v>
      </c>
      <c r="N14" s="2028">
        <f t="shared" si="5"/>
        <v>4.7999999999999996E-3</v>
      </c>
      <c r="O14" s="2028">
        <f t="shared" si="5"/>
        <v>4.7999999999999996E-3</v>
      </c>
      <c r="P14" s="2028">
        <f t="shared" si="15"/>
        <v>2.3999999999999998E-3</v>
      </c>
      <c r="Q14" s="2905"/>
      <c r="R14" s="2027">
        <f>ROUND(IF([2]项目基本情况!B8="出让",SUMPRODUCT(PRODUCT(1+K14:K16)),SUMPRODUCT(PRODUCT(1+K14:K15))),4)</f>
        <v>1.0139</v>
      </c>
      <c r="S14" s="2027">
        <f>ROUND(IF([2]项目基本情况!B8="出让",SUMPRODUCT(PRODUCT(1+L14:L16)),SUMPRODUCT(PRODUCT(1+L14:L15))),4)</f>
        <v>1.0113000000000001</v>
      </c>
      <c r="T14" s="2027">
        <f>ROUND(IF([2]项目基本情况!B8="出让",SUMPRODUCT(PRODUCT(1+M14:M16)),SUMPRODUCT(PRODUCT(1+M14:M15))),4)</f>
        <v>1.0065</v>
      </c>
      <c r="U14" s="2027">
        <f>ROUND(IF([2]项目基本情况!B8="出让",SUMPRODUCT(PRODUCT(1+N14:N16)),SUMPRODUCT(PRODUCT(1+N14:N15))),4)</f>
        <v>1.0143</v>
      </c>
      <c r="V14" s="2027">
        <f>ROUND(IF([2]项目基本情况!B8="出让",SUMPRODUCT(PRODUCT(1+O14:O16)),SUMPRODUCT(PRODUCT(1+O14:O15))),4)</f>
        <v>1.0148999999999999</v>
      </c>
      <c r="W14" s="2027">
        <f t="shared" si="16"/>
        <v>1.0065</v>
      </c>
      <c r="X14" s="2905"/>
      <c r="Y14" s="2028">
        <f>IF(D14=0,0,ROUND(AVERAGE(D14:D16)/100,4))</f>
        <v>7.9000000000000008E-3</v>
      </c>
      <c r="Z14" s="2028">
        <f>IF(E14=0,0,ROUND(AVERAGE(E14:E16)/100,4))</f>
        <v>4.3E-3</v>
      </c>
      <c r="AA14" s="2028">
        <f>IF(F14=0,0,ROUND(AVERAGE(F14:F16)/100,4))</f>
        <v>1.2999999999999999E-3</v>
      </c>
      <c r="AB14" s="2028">
        <f>IF(G14=0,0,ROUND(AVERAGE(G14:G16)/100,4))</f>
        <v>8.5000000000000006E-3</v>
      </c>
      <c r="AC14" s="2028">
        <f>IF(H14=0,0,ROUND(AVERAGE(H14:H16)/100,4))</f>
        <v>6.1999999999999998E-3</v>
      </c>
      <c r="AD14" s="2028">
        <f t="shared" si="7"/>
        <v>1.2999999999999999E-3</v>
      </c>
    </row>
    <row r="15" spans="1:30" s="2045" customFormat="1" ht="12.75">
      <c r="A15" s="2904" t="s">
        <v>2821</v>
      </c>
      <c r="B15" s="2031">
        <v>2021</v>
      </c>
      <c r="C15" s="2042">
        <v>2</v>
      </c>
      <c r="D15" s="2007">
        <v>0.92</v>
      </c>
      <c r="E15" s="2007">
        <v>0.72</v>
      </c>
      <c r="F15" s="2007">
        <v>0.41</v>
      </c>
      <c r="G15" s="2007">
        <v>0.95</v>
      </c>
      <c r="H15" s="2916">
        <v>1.01</v>
      </c>
      <c r="I15" s="2008">
        <f t="shared" si="4"/>
        <v>0.41</v>
      </c>
      <c r="J15" s="2905"/>
      <c r="K15" s="2043">
        <f t="shared" si="5"/>
        <v>9.1999999999999998E-3</v>
      </c>
      <c r="L15" s="2028">
        <f t="shared" si="5"/>
        <v>7.1999999999999998E-3</v>
      </c>
      <c r="M15" s="2028">
        <f t="shared" si="5"/>
        <v>4.0999999999999995E-3</v>
      </c>
      <c r="N15" s="2028">
        <f t="shared" si="5"/>
        <v>9.4999999999999998E-3</v>
      </c>
      <c r="O15" s="2028">
        <f t="shared" si="5"/>
        <v>1.01E-2</v>
      </c>
      <c r="P15" s="2028">
        <f t="shared" si="15"/>
        <v>4.0999999999999995E-3</v>
      </c>
      <c r="Q15" s="2905"/>
      <c r="R15" s="2027">
        <f>ROUND(IF([2]项目基本情况!B8="出让",SUMPRODUCT(PRODUCT(1+K15:K16)),SUMPRODUCT(PRODUCT(1+K15:K15))),4)</f>
        <v>1.0092000000000001</v>
      </c>
      <c r="S15" s="2027">
        <f>ROUND(IF([2]项目基本情况!B8="出让",SUMPRODUCT(PRODUCT(1+L15:L16)),SUMPRODUCT(PRODUCT(1+L15:L15))),4)</f>
        <v>1.0072000000000001</v>
      </c>
      <c r="T15" s="2027">
        <f>ROUND(IF([2]项目基本情况!B8="出让",SUMPRODUCT(PRODUCT(1+M15:M16)),SUMPRODUCT(PRODUCT(1+M15:M15))),4)</f>
        <v>1.0041</v>
      </c>
      <c r="U15" s="2027">
        <f>ROUND(IF([2]项目基本情况!B8="出让",SUMPRODUCT(PRODUCT(1+N15:N16)),SUMPRODUCT(PRODUCT(1+N15:N15))),4)</f>
        <v>1.0095000000000001</v>
      </c>
      <c r="V15" s="2027">
        <f>ROUND(IF([2]项目基本情况!B8="出让",SUMPRODUCT(PRODUCT(1+O15:O16)),SUMPRODUCT(PRODUCT(1+O15:O15))),4)</f>
        <v>1.0101</v>
      </c>
      <c r="W15" s="2027">
        <f t="shared" si="16"/>
        <v>1.0041</v>
      </c>
      <c r="X15" s="2905"/>
      <c r="Y15" s="2028">
        <f>IF(D15=0,0,ROUND(AVERAGE(D15:D16)/100,4))</f>
        <v>9.4999999999999998E-3</v>
      </c>
      <c r="Z15" s="2028">
        <f>IF(E15=0,0,ROUND(AVERAGE(E15:E16)/100,4))</f>
        <v>4.4000000000000003E-3</v>
      </c>
      <c r="AA15" s="2028">
        <f>IF(F15=0,0,ROUND(AVERAGE(F15:F16)/100,4))</f>
        <v>8.0000000000000004E-4</v>
      </c>
      <c r="AB15" s="2028">
        <f>IF(G15=0,0,ROUND(AVERAGE(G15:G16)/100,4))</f>
        <v>1.03E-2</v>
      </c>
      <c r="AC15" s="2028">
        <f>IF(H15=0,0,ROUND(AVERAGE(H15:H16)/100,4))</f>
        <v>6.8999999999999999E-3</v>
      </c>
      <c r="AD15" s="2028">
        <f t="shared" si="7"/>
        <v>8.0000000000000004E-4</v>
      </c>
    </row>
    <row r="16" spans="1:30" s="2927" customFormat="1" thickBot="1">
      <c r="A16" s="2917" t="s">
        <v>2822</v>
      </c>
      <c r="B16" s="2918">
        <v>2021</v>
      </c>
      <c r="C16" s="2919">
        <v>1</v>
      </c>
      <c r="D16" s="2920">
        <v>0.97</v>
      </c>
      <c r="E16" s="2920">
        <v>0.16</v>
      </c>
      <c r="F16" s="2920">
        <v>-0.25</v>
      </c>
      <c r="G16" s="2920">
        <v>1.1100000000000001</v>
      </c>
      <c r="H16" s="2921">
        <v>0.36</v>
      </c>
      <c r="I16" s="2922">
        <f t="shared" si="4"/>
        <v>-0.25</v>
      </c>
      <c r="J16" s="2923"/>
      <c r="K16" s="2924">
        <f t="shared" si="5"/>
        <v>9.7000000000000003E-3</v>
      </c>
      <c r="L16" s="2925">
        <f t="shared" si="5"/>
        <v>1.6000000000000001E-3</v>
      </c>
      <c r="M16" s="2925">
        <f>F16/100</f>
        <v>-2.5000000000000001E-3</v>
      </c>
      <c r="N16" s="2925">
        <f t="shared" si="5"/>
        <v>1.11E-2</v>
      </c>
      <c r="O16" s="2925">
        <f t="shared" si="5"/>
        <v>3.5999999999999999E-3</v>
      </c>
      <c r="P16" s="2925">
        <f t="shared" si="15"/>
        <v>-2.5000000000000001E-3</v>
      </c>
      <c r="Q16" s="2923"/>
      <c r="R16" s="2926">
        <v>1</v>
      </c>
      <c r="S16" s="2926">
        <v>1</v>
      </c>
      <c r="T16" s="2926">
        <v>1</v>
      </c>
      <c r="U16" s="2926">
        <v>1</v>
      </c>
      <c r="V16" s="2926">
        <v>1</v>
      </c>
      <c r="W16" s="2926">
        <f t="shared" si="16"/>
        <v>1</v>
      </c>
      <c r="X16" s="2923"/>
      <c r="Y16" s="2925">
        <f>IF(D16=0,0,ROUND(AVERAGE(D16:D16)/100,4))</f>
        <v>9.7000000000000003E-3</v>
      </c>
      <c r="Z16" s="2925">
        <f>IF(E16=0,0,ROUND(AVERAGE(E16:E16)/100,4))</f>
        <v>1.6000000000000001E-3</v>
      </c>
      <c r="AA16" s="2925">
        <f>IF(F16=0,0,ROUND(AVERAGE(F16:F16)/100,4))</f>
        <v>-2.5000000000000001E-3</v>
      </c>
      <c r="AB16" s="2925">
        <f>IF(G16=0,0,ROUND(AVERAGE(G16:G16)/100,4))</f>
        <v>1.11E-2</v>
      </c>
      <c r="AC16" s="2925">
        <f>IF(H16=0,0,ROUND(AVERAGE(H16:H16)/100,4))</f>
        <v>3.5999999999999999E-3</v>
      </c>
      <c r="AD16" s="2925">
        <f>AA16</f>
        <v>-2.5000000000000001E-3</v>
      </c>
    </row>
    <row r="17" spans="1:30" ht="14.25" thickTop="1"/>
    <row r="18" spans="1:30">
      <c r="A18" s="3142" t="s">
        <v>3365</v>
      </c>
    </row>
    <row r="19" spans="1:30">
      <c r="I19" s="1405" t="s">
        <v>2823</v>
      </c>
    </row>
    <row r="21" spans="1:30" s="2009" customFormat="1" ht="12.75">
      <c r="B21" s="2928" t="s">
        <v>2824</v>
      </c>
      <c r="C21" s="2929"/>
      <c r="D21" s="2929"/>
      <c r="E21" s="2929"/>
      <c r="F21" s="2929"/>
      <c r="G21" s="2929"/>
      <c r="H21" s="2929"/>
      <c r="I21" s="2929"/>
      <c r="J21" s="2895"/>
      <c r="K21" s="2929" t="s">
        <v>2825</v>
      </c>
      <c r="L21" s="2929"/>
      <c r="M21" s="2929"/>
      <c r="N21" s="2929"/>
      <c r="O21" s="2929"/>
      <c r="P21" s="2929"/>
      <c r="Q21" s="2895"/>
      <c r="R21" s="3528" t="s">
        <v>2826</v>
      </c>
      <c r="S21" s="3529"/>
      <c r="T21" s="3529"/>
      <c r="U21" s="3529"/>
      <c r="V21" s="3529"/>
      <c r="W21" s="3529"/>
      <c r="X21" s="2895"/>
      <c r="Y21" s="3528" t="s">
        <v>2827</v>
      </c>
      <c r="Z21" s="3529"/>
      <c r="AA21" s="3529"/>
      <c r="AB21" s="3529"/>
      <c r="AC21" s="3529"/>
      <c r="AD21" s="3529"/>
    </row>
    <row r="22" spans="1:30" s="2010" customFormat="1" ht="14.25" thickBot="1">
      <c r="B22" s="2880"/>
      <c r="C22" s="2881"/>
      <c r="D22" s="2011" t="s">
        <v>2828</v>
      </c>
      <c r="E22" s="2012" t="s">
        <v>2829</v>
      </c>
      <c r="F22" s="2012" t="s">
        <v>2830</v>
      </c>
      <c r="G22" s="2012" t="s">
        <v>2831</v>
      </c>
      <c r="H22" s="2012"/>
      <c r="I22" s="2012" t="s">
        <v>2832</v>
      </c>
      <c r="J22" s="2882"/>
      <c r="K22" s="2011" t="s">
        <v>2828</v>
      </c>
      <c r="L22" s="2012" t="s">
        <v>2829</v>
      </c>
      <c r="M22" s="2012" t="s">
        <v>2830</v>
      </c>
      <c r="N22" s="2012" t="s">
        <v>2831</v>
      </c>
      <c r="O22" s="2012"/>
      <c r="P22" s="2012" t="s">
        <v>2832</v>
      </c>
      <c r="Q22" s="2882"/>
      <c r="R22" s="2011" t="s">
        <v>2828</v>
      </c>
      <c r="S22" s="2012" t="s">
        <v>2829</v>
      </c>
      <c r="T22" s="2012" t="s">
        <v>2830</v>
      </c>
      <c r="U22" s="2012" t="s">
        <v>2831</v>
      </c>
      <c r="V22" s="2012"/>
      <c r="W22" s="2012" t="s">
        <v>2832</v>
      </c>
      <c r="X22" s="2882"/>
      <c r="Y22" s="2011" t="s">
        <v>2828</v>
      </c>
      <c r="Z22" s="2012" t="s">
        <v>2829</v>
      </c>
      <c r="AA22" s="2012" t="s">
        <v>2830</v>
      </c>
      <c r="AB22" s="2012" t="s">
        <v>2831</v>
      </c>
      <c r="AC22" s="2012"/>
      <c r="AD22" s="2012" t="s">
        <v>2832</v>
      </c>
    </row>
    <row r="23" spans="1:30" s="2885" customFormat="1" ht="12.75">
      <c r="A23" s="2883" t="s">
        <v>2833</v>
      </c>
      <c r="B23" s="2884"/>
      <c r="E23" s="2885">
        <f t="shared" ref="E23:G23" si="22">ROUND(AVERAGEIF(E24:E36,"&lt;&gt;0"),2)</f>
        <v>0.42</v>
      </c>
      <c r="F23" s="2885">
        <f t="shared" si="22"/>
        <v>0.3</v>
      </c>
      <c r="G23" s="2885">
        <f t="shared" si="22"/>
        <v>0.73</v>
      </c>
      <c r="I23" s="2885">
        <f>F23</f>
        <v>0.3</v>
      </c>
      <c r="J23" s="2886"/>
      <c r="K23" s="2887"/>
      <c r="L23" s="2888">
        <f t="shared" ref="L23:N23" si="23">ROUND(AVERAGEIF(L24:L36,"&lt;&gt;0"),4)</f>
        <v>4.1999999999999997E-3</v>
      </c>
      <c r="M23" s="2888">
        <f t="shared" si="23"/>
        <v>3.0000000000000001E-3</v>
      </c>
      <c r="N23" s="2888">
        <f t="shared" si="23"/>
        <v>7.3000000000000001E-3</v>
      </c>
      <c r="O23" s="2888"/>
      <c r="P23" s="2888">
        <f>M23</f>
        <v>3.0000000000000001E-3</v>
      </c>
      <c r="Q23" s="2886"/>
      <c r="R23" s="2889"/>
      <c r="S23" s="2890">
        <f>ROUND(SUMPRODUCT(PRODUCT(1+L24:L36)),4)</f>
        <v>1.038</v>
      </c>
      <c r="T23" s="2890">
        <f t="shared" ref="T23:U23" si="24">ROUND(SUMPRODUCT(PRODUCT(1+M24:M36)),4)</f>
        <v>1.0273000000000001</v>
      </c>
      <c r="U23" s="2890">
        <f t="shared" si="24"/>
        <v>1.0677000000000001</v>
      </c>
      <c r="V23" s="2890"/>
      <c r="W23" s="2889">
        <f>T23</f>
        <v>1.0273000000000001</v>
      </c>
      <c r="X23" s="2886"/>
      <c r="Y23" s="2891"/>
      <c r="Z23" s="2892">
        <f t="shared" ref="Z23:AB23" si="25">ROUND(AVERAGEIF(Z24:Z36,"&lt;&gt;0"),4)</f>
        <v>4.3E-3</v>
      </c>
      <c r="AA23" s="2893">
        <f t="shared" si="25"/>
        <v>3.5999999999999999E-3</v>
      </c>
      <c r="AB23" s="2891">
        <f t="shared" si="25"/>
        <v>8.8999999999999999E-3</v>
      </c>
      <c r="AC23" s="2894"/>
      <c r="AD23" s="2891">
        <f>AA23</f>
        <v>3.5999999999999999E-3</v>
      </c>
    </row>
    <row r="24" spans="1:30" s="2009" customFormat="1" ht="12.75">
      <c r="B24" s="2025"/>
      <c r="J24" s="2895"/>
      <c r="K24" s="2896"/>
      <c r="L24" s="2897"/>
      <c r="M24" s="2897"/>
      <c r="N24" s="2897"/>
      <c r="O24" s="2897"/>
      <c r="P24" s="2897"/>
      <c r="Q24" s="2895"/>
      <c r="R24" s="2027"/>
      <c r="S24" s="2898"/>
      <c r="T24" s="2899"/>
      <c r="U24" s="2027"/>
      <c r="V24" s="2900"/>
      <c r="W24" s="2027"/>
      <c r="X24" s="2895"/>
      <c r="Y24" s="2028"/>
      <c r="Z24" s="2901"/>
      <c r="AA24" s="2902"/>
      <c r="AB24" s="2028"/>
      <c r="AC24" s="2903"/>
      <c r="AD24" s="2028"/>
    </row>
    <row r="25" spans="1:30" s="2045" customFormat="1" ht="12.75">
      <c r="A25" s="2904" t="s">
        <v>3368</v>
      </c>
      <c r="B25" s="2031">
        <v>2023</v>
      </c>
      <c r="C25" s="2042">
        <v>4</v>
      </c>
      <c r="D25" s="2007"/>
      <c r="E25" s="2007">
        <v>0</v>
      </c>
      <c r="F25" s="2007">
        <v>0</v>
      </c>
      <c r="G25" s="2007">
        <v>0</v>
      </c>
      <c r="H25" s="2007"/>
      <c r="I25" s="2008">
        <f t="shared" ref="I25:I36" si="26">F25</f>
        <v>0</v>
      </c>
      <c r="J25" s="2905"/>
      <c r="K25" s="2043"/>
      <c r="L25" s="2028">
        <f t="shared" ref="L25:N36" si="27">E25/100</f>
        <v>0</v>
      </c>
      <c r="M25" s="2028">
        <f t="shared" si="27"/>
        <v>0</v>
      </c>
      <c r="N25" s="2028">
        <f t="shared" si="27"/>
        <v>0</v>
      </c>
      <c r="O25" s="2028"/>
      <c r="P25" s="2028">
        <f>M25</f>
        <v>0</v>
      </c>
      <c r="Q25" s="2905"/>
      <c r="R25" s="2027"/>
      <c r="S25" s="2027">
        <f>ROUND(IF([2]项目基本情况!$B$8="出让",SUMPRODUCT(PRODUCT(1+L25:L$36)),SUMPRODUCT(PRODUCT(1+L25:L$35))),4)</f>
        <v>1.0344</v>
      </c>
      <c r="T25" s="2027">
        <f>ROUND(IF([2]项目基本情况!$B$8="出让",SUMPRODUCT(PRODUCT(1+M25:M$36)),SUMPRODUCT(PRODUCT(1+M25:M$35))),4)</f>
        <v>1.0224</v>
      </c>
      <c r="U25" s="2027">
        <f>ROUND(IF([2]项目基本情况!$B$8="出让",SUMPRODUCT(PRODUCT(1+N25:N$36)),SUMPRODUCT(PRODUCT(1+N25:N$35))),4)</f>
        <v>1.0573999999999999</v>
      </c>
      <c r="V25" s="2027"/>
      <c r="W25" s="2027">
        <f>T25</f>
        <v>1.0224</v>
      </c>
      <c r="X25" s="2905"/>
      <c r="Y25" s="2028"/>
      <c r="Z25" s="2901">
        <f>IF(E25=0,0,ROUND(AVERAGE(E25:E36)/100,4))</f>
        <v>0</v>
      </c>
      <c r="AA25" s="2901">
        <f>IF(F25=0,0,ROUND(AVERAGE(F25:F36)/100,4))</f>
        <v>0</v>
      </c>
      <c r="AB25" s="2901">
        <f>IF(G25=0,0,ROUND(AVERAGE(G25:G36)/100,4))</f>
        <v>0</v>
      </c>
      <c r="AC25" s="2903"/>
      <c r="AD25" s="2028">
        <f>IF(I25=0,0,ROUND(AVERAGE(I25:I36)/100,4))</f>
        <v>0</v>
      </c>
    </row>
    <row r="26" spans="1:30" s="2045" customFormat="1" ht="12.75">
      <c r="A26" s="2904" t="s">
        <v>3369</v>
      </c>
      <c r="B26" s="2031">
        <v>2023</v>
      </c>
      <c r="C26" s="2042">
        <v>3</v>
      </c>
      <c r="D26" s="2007"/>
      <c r="E26" s="2007">
        <v>0</v>
      </c>
      <c r="F26" s="2007">
        <v>0</v>
      </c>
      <c r="G26" s="2007">
        <v>0</v>
      </c>
      <c r="H26" s="2916"/>
      <c r="I26" s="2008">
        <f t="shared" si="26"/>
        <v>0</v>
      </c>
      <c r="J26" s="2905"/>
      <c r="K26" s="2043"/>
      <c r="L26" s="2028">
        <f t="shared" ref="L26:L28" si="28">E26/100</f>
        <v>0</v>
      </c>
      <c r="M26" s="2028">
        <f t="shared" ref="M26:M28" si="29">F26/100</f>
        <v>0</v>
      </c>
      <c r="N26" s="2028">
        <f t="shared" ref="N26:N28" si="30">G26/100</f>
        <v>0</v>
      </c>
      <c r="O26" s="2028"/>
      <c r="P26" s="2028">
        <f t="shared" ref="P26:P28" si="31">M26</f>
        <v>0</v>
      </c>
      <c r="Q26" s="2905"/>
      <c r="R26" s="2027"/>
      <c r="S26" s="2027">
        <f>ROUND(IF([2]项目基本情况!$B$8="出让",SUMPRODUCT(PRODUCT(1+L26:L$36)),SUMPRODUCT(PRODUCT(1+L26:L$35))),4)</f>
        <v>1.0344</v>
      </c>
      <c r="T26" s="2027">
        <f>ROUND(IF([2]项目基本情况!$B$8="出让",SUMPRODUCT(PRODUCT(1+M26:M$36)),SUMPRODUCT(PRODUCT(1+M26:M$35))),4)</f>
        <v>1.0224</v>
      </c>
      <c r="U26" s="2027">
        <f>ROUND(IF([2]项目基本情况!$B$8="出让",SUMPRODUCT(PRODUCT(1+N26:N$36)),SUMPRODUCT(PRODUCT(1+N26:N$35))),4)</f>
        <v>1.0573999999999999</v>
      </c>
      <c r="V26" s="2027"/>
      <c r="W26" s="2027">
        <f t="shared" ref="W26:W28" si="32">T26</f>
        <v>1.0224</v>
      </c>
      <c r="X26" s="2905"/>
      <c r="Y26" s="2028"/>
      <c r="Z26" s="2901"/>
      <c r="AA26" s="2028"/>
      <c r="AB26" s="2028"/>
      <c r="AC26" s="2903"/>
      <c r="AD26" s="2028"/>
    </row>
    <row r="27" spans="1:30" s="2045" customFormat="1" ht="12.75">
      <c r="A27" s="2904" t="s">
        <v>3367</v>
      </c>
      <c r="B27" s="2031">
        <v>2023</v>
      </c>
      <c r="C27" s="2042">
        <v>2</v>
      </c>
      <c r="D27" s="2007"/>
      <c r="E27" s="2007">
        <v>0</v>
      </c>
      <c r="F27" s="2007">
        <v>0</v>
      </c>
      <c r="G27" s="2007">
        <v>0</v>
      </c>
      <c r="H27" s="2916"/>
      <c r="I27" s="2008">
        <f t="shared" si="26"/>
        <v>0</v>
      </c>
      <c r="J27" s="2905"/>
      <c r="K27" s="2043"/>
      <c r="L27" s="2028">
        <f t="shared" si="28"/>
        <v>0</v>
      </c>
      <c r="M27" s="2028">
        <f t="shared" si="29"/>
        <v>0</v>
      </c>
      <c r="N27" s="2028">
        <f t="shared" si="30"/>
        <v>0</v>
      </c>
      <c r="O27" s="2028"/>
      <c r="P27" s="2028">
        <f t="shared" si="31"/>
        <v>0</v>
      </c>
      <c r="Q27" s="2905"/>
      <c r="R27" s="2027"/>
      <c r="S27" s="2027">
        <f>ROUND(IF([2]项目基本情况!$B$8="出让",SUMPRODUCT(PRODUCT(1+L27:L$36)),SUMPRODUCT(PRODUCT(1+L27:L$35))),4)</f>
        <v>1.0344</v>
      </c>
      <c r="T27" s="2027">
        <f>ROUND(IF([2]项目基本情况!$B$8="出让",SUMPRODUCT(PRODUCT(1+M27:M$36)),SUMPRODUCT(PRODUCT(1+M27:M$35))),4)</f>
        <v>1.0224</v>
      </c>
      <c r="U27" s="2027">
        <f>ROUND(IF([2]项目基本情况!$B$8="出让",SUMPRODUCT(PRODUCT(1+N27:N$36)),SUMPRODUCT(PRODUCT(1+N27:N$35))),4)</f>
        <v>1.0573999999999999</v>
      </c>
      <c r="V27" s="2027"/>
      <c r="W27" s="2027">
        <f t="shared" si="32"/>
        <v>1.0224</v>
      </c>
      <c r="X27" s="2905"/>
      <c r="Y27" s="2028"/>
      <c r="Z27" s="2901"/>
      <c r="AA27" s="2028"/>
      <c r="AB27" s="2028"/>
      <c r="AC27" s="2903"/>
      <c r="AD27" s="2028"/>
    </row>
    <row r="28" spans="1:30" s="2915" customFormat="1" ht="12.75">
      <c r="A28" s="2906" t="s">
        <v>3370</v>
      </c>
      <c r="B28" s="2907">
        <v>2023</v>
      </c>
      <c r="C28" s="2908">
        <v>1</v>
      </c>
      <c r="D28" s="2909"/>
      <c r="E28" s="2909">
        <v>0.55000000000000004</v>
      </c>
      <c r="F28" s="2909">
        <v>0.59</v>
      </c>
      <c r="G28" s="2909">
        <v>0.64</v>
      </c>
      <c r="H28" s="2910"/>
      <c r="I28" s="2911">
        <f t="shared" si="26"/>
        <v>0.59</v>
      </c>
      <c r="J28" s="2912"/>
      <c r="K28" s="2913"/>
      <c r="L28" s="2914">
        <f t="shared" si="28"/>
        <v>5.5000000000000005E-3</v>
      </c>
      <c r="M28" s="2914">
        <f t="shared" si="29"/>
        <v>5.8999999999999999E-3</v>
      </c>
      <c r="N28" s="2914">
        <f t="shared" si="30"/>
        <v>6.4000000000000003E-3</v>
      </c>
      <c r="O28" s="2914"/>
      <c r="P28" s="2914">
        <f t="shared" si="31"/>
        <v>5.8999999999999999E-3</v>
      </c>
      <c r="Q28" s="2912"/>
      <c r="R28" s="2912"/>
      <c r="S28" s="2912">
        <f>ROUND(IF([2]项目基本情况!$B$8="出让",SUMPRODUCT(PRODUCT(1+L28:L$36)),SUMPRODUCT(PRODUCT(1+L28:L$35))),4)</f>
        <v>1.0344</v>
      </c>
      <c r="T28" s="2912">
        <f>ROUND(IF([2]项目基本情况!$B$8="出让",SUMPRODUCT(PRODUCT(1+M28:M$36)),SUMPRODUCT(PRODUCT(1+M28:M$35))),4)</f>
        <v>1.0224</v>
      </c>
      <c r="U28" s="2912">
        <f>ROUND(IF([2]项目基本情况!$B$8="出让",SUMPRODUCT(PRODUCT(1+N28:N$36)),SUMPRODUCT(PRODUCT(1+N28:N$35))),4)</f>
        <v>1.0573999999999999</v>
      </c>
      <c r="V28" s="2912"/>
      <c r="W28" s="2912">
        <f t="shared" si="32"/>
        <v>1.0224</v>
      </c>
      <c r="X28" s="2912"/>
      <c r="Y28" s="2914"/>
      <c r="Z28" s="2930"/>
      <c r="AA28" s="2931"/>
      <c r="AB28" s="2914"/>
      <c r="AC28" s="2932"/>
      <c r="AD28" s="2914"/>
    </row>
    <row r="29" spans="1:30" s="2045" customFormat="1" ht="12.75">
      <c r="A29" s="2904" t="s">
        <v>3371</v>
      </c>
      <c r="B29" s="2031">
        <v>2022</v>
      </c>
      <c r="C29" s="2042">
        <v>4</v>
      </c>
      <c r="D29" s="2007"/>
      <c r="E29" s="2007">
        <v>0.45</v>
      </c>
      <c r="F29" s="2007">
        <v>0.2</v>
      </c>
      <c r="G29" s="2007">
        <v>0.38</v>
      </c>
      <c r="H29" s="2916"/>
      <c r="I29" s="2008">
        <f t="shared" si="26"/>
        <v>0.2</v>
      </c>
      <c r="J29" s="2905"/>
      <c r="K29" s="2043"/>
      <c r="L29" s="2028">
        <f t="shared" si="27"/>
        <v>4.5000000000000005E-3</v>
      </c>
      <c r="M29" s="2028">
        <f t="shared" si="27"/>
        <v>2E-3</v>
      </c>
      <c r="N29" s="2028">
        <f t="shared" si="27"/>
        <v>3.8E-3</v>
      </c>
      <c r="O29" s="2028"/>
      <c r="P29" s="2028">
        <f t="shared" ref="P29:P36" si="33">M29</f>
        <v>2E-3</v>
      </c>
      <c r="Q29" s="2905"/>
      <c r="R29" s="2027"/>
      <c r="S29" s="2027">
        <f>ROUND(IF([2]项目基本情况!$B$8="出让",SUMPRODUCT(PRODUCT(1+L29:L$36)),SUMPRODUCT(PRODUCT(1+L29:L$35))),4)</f>
        <v>1.0286999999999999</v>
      </c>
      <c r="T29" s="2027">
        <f>ROUND(IF([2]项目基本情况!$B$8="出让",SUMPRODUCT(PRODUCT(1+M29:M$36)),SUMPRODUCT(PRODUCT(1+M29:M$35))),4)</f>
        <v>1.0164</v>
      </c>
      <c r="U29" s="2027">
        <f>ROUND(IF([2]项目基本情况!$B$8="出让",SUMPRODUCT(PRODUCT(1+N29:N$36)),SUMPRODUCT(PRODUCT(1+N29:N$35))),4)</f>
        <v>1.0506</v>
      </c>
      <c r="V29" s="2027"/>
      <c r="W29" s="2027">
        <f t="shared" ref="W29:W36" si="34">T29</f>
        <v>1.0164</v>
      </c>
      <c r="X29" s="2905"/>
      <c r="Y29" s="2028"/>
      <c r="Z29" s="2901">
        <f t="shared" ref="Z29:AD36" si="35">IF(E29=0,0,ROUND(AVERAGE(E29:E37)/100,4))</f>
        <v>4.0000000000000001E-3</v>
      </c>
      <c r="AA29" s="2902">
        <f t="shared" si="35"/>
        <v>2.5999999999999999E-3</v>
      </c>
      <c r="AB29" s="2028">
        <f t="shared" si="35"/>
        <v>7.4000000000000003E-3</v>
      </c>
      <c r="AC29" s="2903"/>
      <c r="AD29" s="2028">
        <f t="shared" si="35"/>
        <v>2.5999999999999999E-3</v>
      </c>
    </row>
    <row r="30" spans="1:30" s="2045" customFormat="1" ht="12.75">
      <c r="A30" s="2904" t="s">
        <v>3364</v>
      </c>
      <c r="B30" s="2031">
        <v>2022</v>
      </c>
      <c r="C30" s="2042">
        <v>3</v>
      </c>
      <c r="D30" s="2007"/>
      <c r="E30" s="2007">
        <v>0.3</v>
      </c>
      <c r="F30" s="2007">
        <v>0.28999999999999998</v>
      </c>
      <c r="G30" s="2007">
        <v>0.83</v>
      </c>
      <c r="H30" s="2916"/>
      <c r="I30" s="2008">
        <f t="shared" si="26"/>
        <v>0.28999999999999998</v>
      </c>
      <c r="J30" s="2905"/>
      <c r="K30" s="2043"/>
      <c r="L30" s="2028">
        <f t="shared" si="27"/>
        <v>3.0000000000000001E-3</v>
      </c>
      <c r="M30" s="2028">
        <f t="shared" si="27"/>
        <v>2.8999999999999998E-3</v>
      </c>
      <c r="N30" s="2028">
        <f t="shared" si="27"/>
        <v>8.3000000000000001E-3</v>
      </c>
      <c r="O30" s="2028"/>
      <c r="P30" s="2028">
        <f t="shared" si="33"/>
        <v>2.8999999999999998E-3</v>
      </c>
      <c r="Q30" s="2905"/>
      <c r="R30" s="2027"/>
      <c r="S30" s="2027">
        <f>ROUND(IF([2]项目基本情况!$B$8="出让",SUMPRODUCT(PRODUCT(1+L30:L$36)),SUMPRODUCT(PRODUCT(1+L30:L$35))),4)</f>
        <v>1.0241</v>
      </c>
      <c r="T30" s="2027">
        <f>ROUND(IF([2]项目基本情况!$B$8="出让",SUMPRODUCT(PRODUCT(1+M30:M$36)),SUMPRODUCT(PRODUCT(1+M30:M$35))),4)</f>
        <v>1.0144</v>
      </c>
      <c r="U30" s="2027">
        <f>ROUND(IF([2]项目基本情况!$B$8="出让",SUMPRODUCT(PRODUCT(1+N30:N$36)),SUMPRODUCT(PRODUCT(1+N30:N$35))),4)</f>
        <v>1.0467</v>
      </c>
      <c r="V30" s="2027"/>
      <c r="W30" s="2027">
        <f t="shared" si="34"/>
        <v>1.0144</v>
      </c>
      <c r="X30" s="2905"/>
      <c r="Y30" s="2028"/>
      <c r="Z30" s="2901">
        <f t="shared" si="35"/>
        <v>3.8999999999999998E-3</v>
      </c>
      <c r="AA30" s="2902">
        <f t="shared" si="35"/>
        <v>2.7000000000000001E-3</v>
      </c>
      <c r="AB30" s="2028">
        <f t="shared" si="35"/>
        <v>7.9000000000000008E-3</v>
      </c>
      <c r="AC30" s="2903"/>
      <c r="AD30" s="2028">
        <f t="shared" si="35"/>
        <v>2.7000000000000001E-3</v>
      </c>
    </row>
    <row r="31" spans="1:30" s="2045" customFormat="1" ht="12.75">
      <c r="A31" s="2904" t="s">
        <v>3354</v>
      </c>
      <c r="B31" s="2031">
        <v>2022</v>
      </c>
      <c r="C31" s="2042">
        <v>2</v>
      </c>
      <c r="D31" s="2007"/>
      <c r="E31" s="2007">
        <v>-0.11</v>
      </c>
      <c r="F31" s="2007">
        <v>-0.13</v>
      </c>
      <c r="G31" s="2007">
        <v>0.53</v>
      </c>
      <c r="H31" s="2916"/>
      <c r="I31" s="2008">
        <f t="shared" si="26"/>
        <v>-0.13</v>
      </c>
      <c r="J31" s="2905"/>
      <c r="K31" s="2043"/>
      <c r="L31" s="2028">
        <f t="shared" si="27"/>
        <v>-1.1000000000000001E-3</v>
      </c>
      <c r="M31" s="2028">
        <f t="shared" si="27"/>
        <v>-1.2999999999999999E-3</v>
      </c>
      <c r="N31" s="2028">
        <f t="shared" si="27"/>
        <v>5.3E-3</v>
      </c>
      <c r="O31" s="2028"/>
      <c r="P31" s="2028">
        <f t="shared" si="33"/>
        <v>-1.2999999999999999E-3</v>
      </c>
      <c r="Q31" s="2905"/>
      <c r="R31" s="2027"/>
      <c r="S31" s="2027">
        <f>ROUND(IF([2]项目基本情况!$B$8="出让",SUMPRODUCT(PRODUCT(1+L31:L$36)),SUMPRODUCT(PRODUCT(1+L31:L$35))),4)</f>
        <v>1.0210999999999999</v>
      </c>
      <c r="T31" s="2027">
        <f>ROUND(IF([2]项目基本情况!$B$8="出让",SUMPRODUCT(PRODUCT(1+M31:M$36)),SUMPRODUCT(PRODUCT(1+M31:M$35))),4)</f>
        <v>1.0114000000000001</v>
      </c>
      <c r="U31" s="2027">
        <f>ROUND(IF([2]项目基本情况!$B$8="出让",SUMPRODUCT(PRODUCT(1+N31:N$36)),SUMPRODUCT(PRODUCT(1+N31:N$35))),4)</f>
        <v>1.0381</v>
      </c>
      <c r="V31" s="2027"/>
      <c r="W31" s="2027">
        <f t="shared" si="34"/>
        <v>1.0114000000000001</v>
      </c>
      <c r="X31" s="2905"/>
      <c r="Y31" s="2028"/>
      <c r="Z31" s="2901">
        <f t="shared" si="35"/>
        <v>4.1000000000000003E-3</v>
      </c>
      <c r="AA31" s="2902">
        <f t="shared" si="35"/>
        <v>2.7000000000000001E-3</v>
      </c>
      <c r="AB31" s="2028">
        <f t="shared" si="35"/>
        <v>7.9000000000000008E-3</v>
      </c>
      <c r="AC31" s="2903"/>
      <c r="AD31" s="2028">
        <f t="shared" si="35"/>
        <v>2.7000000000000001E-3</v>
      </c>
    </row>
    <row r="32" spans="1:30" s="2045" customFormat="1" ht="12.75">
      <c r="A32" s="2904" t="s">
        <v>2834</v>
      </c>
      <c r="B32" s="2031">
        <v>2022</v>
      </c>
      <c r="C32" s="2042">
        <v>1</v>
      </c>
      <c r="D32" s="2007"/>
      <c r="E32" s="2007">
        <v>0.6</v>
      </c>
      <c r="F32" s="2007">
        <v>0.45</v>
      </c>
      <c r="G32" s="2007">
        <v>0.53</v>
      </c>
      <c r="H32" s="2916"/>
      <c r="I32" s="2008">
        <f t="shared" si="26"/>
        <v>0.45</v>
      </c>
      <c r="J32" s="2905"/>
      <c r="K32" s="2043"/>
      <c r="L32" s="2028">
        <f t="shared" si="27"/>
        <v>6.0000000000000001E-3</v>
      </c>
      <c r="M32" s="2028">
        <f t="shared" si="27"/>
        <v>4.5000000000000005E-3</v>
      </c>
      <c r="N32" s="2028">
        <f t="shared" si="27"/>
        <v>5.3E-3</v>
      </c>
      <c r="O32" s="2028"/>
      <c r="P32" s="2028">
        <f t="shared" si="33"/>
        <v>4.5000000000000005E-3</v>
      </c>
      <c r="Q32" s="2905"/>
      <c r="R32" s="2027"/>
      <c r="S32" s="2027">
        <f>ROUND(IF([2]项目基本情况!$B$8="出让",SUMPRODUCT(PRODUCT(1+L32:L$36)),SUMPRODUCT(PRODUCT(1+L32:L$35))),4)</f>
        <v>1.0222</v>
      </c>
      <c r="T32" s="2027">
        <f>ROUND(IF([2]项目基本情况!$B$8="出让",SUMPRODUCT(PRODUCT(1+M32:M$36)),SUMPRODUCT(PRODUCT(1+M32:M$35))),4)</f>
        <v>1.0127999999999999</v>
      </c>
      <c r="U32" s="2027">
        <f>ROUND(IF([2]项目基本情况!$B$8="出让",SUMPRODUCT(PRODUCT(1+N32:N$36)),SUMPRODUCT(PRODUCT(1+N32:N$35))),4)</f>
        <v>1.0326</v>
      </c>
      <c r="V32" s="2027"/>
      <c r="W32" s="2027">
        <f t="shared" si="34"/>
        <v>1.0127999999999999</v>
      </c>
      <c r="X32" s="2905"/>
      <c r="Y32" s="2028"/>
      <c r="Z32" s="2901">
        <f t="shared" si="35"/>
        <v>5.1000000000000004E-3</v>
      </c>
      <c r="AA32" s="2902">
        <f t="shared" si="35"/>
        <v>3.5000000000000001E-3</v>
      </c>
      <c r="AB32" s="2028">
        <f t="shared" si="35"/>
        <v>8.3999999999999995E-3</v>
      </c>
      <c r="AC32" s="2903"/>
      <c r="AD32" s="2028">
        <f t="shared" si="35"/>
        <v>3.5000000000000001E-3</v>
      </c>
    </row>
    <row r="33" spans="1:30" s="2045" customFormat="1" ht="12.75">
      <c r="A33" s="2904" t="s">
        <v>2835</v>
      </c>
      <c r="B33" s="2031">
        <v>2021</v>
      </c>
      <c r="C33" s="2042">
        <v>4</v>
      </c>
      <c r="D33" s="2007"/>
      <c r="E33" s="2007">
        <v>0.57999999999999996</v>
      </c>
      <c r="F33" s="2007">
        <v>0.08</v>
      </c>
      <c r="G33" s="2007">
        <v>0.68</v>
      </c>
      <c r="H33" s="2916"/>
      <c r="I33" s="2008">
        <f t="shared" si="26"/>
        <v>0.08</v>
      </c>
      <c r="J33" s="2905"/>
      <c r="K33" s="2043"/>
      <c r="L33" s="2028">
        <f t="shared" si="27"/>
        <v>5.7999999999999996E-3</v>
      </c>
      <c r="M33" s="2028">
        <f t="shared" si="27"/>
        <v>8.0000000000000004E-4</v>
      </c>
      <c r="N33" s="2028">
        <f t="shared" si="27"/>
        <v>6.8000000000000005E-3</v>
      </c>
      <c r="O33" s="2028"/>
      <c r="P33" s="2028">
        <f t="shared" si="33"/>
        <v>8.0000000000000004E-4</v>
      </c>
      <c r="Q33" s="2905"/>
      <c r="R33" s="2027"/>
      <c r="S33" s="2027">
        <f>ROUND(IF([2]项目基本情况!$B$8="出让",SUMPRODUCT(PRODUCT(1+L33:L$36)),SUMPRODUCT(PRODUCT(1+L33:L$35))),4)</f>
        <v>1.0161</v>
      </c>
      <c r="T33" s="2027">
        <f>ROUND(IF([2]项目基本情况!$B$8="出让",SUMPRODUCT(PRODUCT(1+M33:M$36)),SUMPRODUCT(PRODUCT(1+M33:M$35))),4)</f>
        <v>1.0082</v>
      </c>
      <c r="U33" s="2027">
        <f>ROUND(IF([2]项目基本情况!$B$8="出让",SUMPRODUCT(PRODUCT(1+N33:N$36)),SUMPRODUCT(PRODUCT(1+N33:N$35))),4)</f>
        <v>1.0270999999999999</v>
      </c>
      <c r="V33" s="2027"/>
      <c r="W33" s="2027">
        <f t="shared" si="34"/>
        <v>1.0082</v>
      </c>
      <c r="X33" s="2905"/>
      <c r="Y33" s="2028"/>
      <c r="Z33" s="2901">
        <f t="shared" si="35"/>
        <v>4.8999999999999998E-3</v>
      </c>
      <c r="AA33" s="2902">
        <f t="shared" si="35"/>
        <v>3.3E-3</v>
      </c>
      <c r="AB33" s="2028">
        <f t="shared" si="35"/>
        <v>9.1999999999999998E-3</v>
      </c>
      <c r="AC33" s="2903"/>
      <c r="AD33" s="2028">
        <f t="shared" si="35"/>
        <v>3.3E-3</v>
      </c>
    </row>
    <row r="34" spans="1:30" s="2045" customFormat="1" ht="12.75">
      <c r="A34" s="2904" t="s">
        <v>2836</v>
      </c>
      <c r="B34" s="2031">
        <v>2021</v>
      </c>
      <c r="C34" s="2042">
        <v>3</v>
      </c>
      <c r="D34" s="2007"/>
      <c r="E34" s="2007">
        <v>0.47</v>
      </c>
      <c r="F34" s="2007">
        <v>0.28000000000000003</v>
      </c>
      <c r="G34" s="2007">
        <v>0.91</v>
      </c>
      <c r="H34" s="2916"/>
      <c r="I34" s="2008">
        <f t="shared" si="26"/>
        <v>0.28000000000000003</v>
      </c>
      <c r="J34" s="2905"/>
      <c r="K34" s="2043"/>
      <c r="L34" s="2028">
        <f t="shared" si="27"/>
        <v>4.6999999999999993E-3</v>
      </c>
      <c r="M34" s="2028">
        <f t="shared" si="27"/>
        <v>2.8000000000000004E-3</v>
      </c>
      <c r="N34" s="2028">
        <f t="shared" si="27"/>
        <v>9.1000000000000004E-3</v>
      </c>
      <c r="O34" s="2028"/>
      <c r="P34" s="2028">
        <f t="shared" si="33"/>
        <v>2.8000000000000004E-3</v>
      </c>
      <c r="Q34" s="2905"/>
      <c r="R34" s="2027"/>
      <c r="S34" s="2027">
        <f>ROUND(IF([2]项目基本情况!$B$8="出让",SUMPRODUCT(PRODUCT(1+L34:L$36)),SUMPRODUCT(PRODUCT(1+L34:L$35))),4)</f>
        <v>1.0102</v>
      </c>
      <c r="T34" s="2027">
        <f>ROUND(IF([2]项目基本情况!$B$8="出让",SUMPRODUCT(PRODUCT(1+M34:M$36)),SUMPRODUCT(PRODUCT(1+M34:M$35))),4)</f>
        <v>1.0074000000000001</v>
      </c>
      <c r="U34" s="2027">
        <f>ROUND(IF([2]项目基本情况!$B$8="出让",SUMPRODUCT(PRODUCT(1+N34:N$36)),SUMPRODUCT(PRODUCT(1+N34:N$35))),4)</f>
        <v>1.0202</v>
      </c>
      <c r="V34" s="2027"/>
      <c r="W34" s="2027">
        <f t="shared" si="34"/>
        <v>1.0074000000000001</v>
      </c>
      <c r="X34" s="2905"/>
      <c r="Y34" s="2028"/>
      <c r="Z34" s="2901">
        <f t="shared" si="35"/>
        <v>4.5999999999999999E-3</v>
      </c>
      <c r="AA34" s="2902">
        <f t="shared" si="35"/>
        <v>4.1000000000000003E-3</v>
      </c>
      <c r="AB34" s="2028">
        <f t="shared" si="35"/>
        <v>0.01</v>
      </c>
      <c r="AC34" s="2903"/>
      <c r="AD34" s="2028">
        <f t="shared" si="35"/>
        <v>4.1000000000000003E-3</v>
      </c>
    </row>
    <row r="35" spans="1:30" s="2045" customFormat="1" ht="12.75">
      <c r="A35" s="2904" t="s">
        <v>2837</v>
      </c>
      <c r="B35" s="2031">
        <v>2021</v>
      </c>
      <c r="C35" s="2042">
        <v>2</v>
      </c>
      <c r="D35" s="2007"/>
      <c r="E35" s="2007">
        <v>0.55000000000000004</v>
      </c>
      <c r="F35" s="2007">
        <v>0.46</v>
      </c>
      <c r="G35" s="2007">
        <v>1.1000000000000001</v>
      </c>
      <c r="H35" s="2916"/>
      <c r="I35" s="2008">
        <f t="shared" si="26"/>
        <v>0.46</v>
      </c>
      <c r="J35" s="2905"/>
      <c r="K35" s="2043"/>
      <c r="L35" s="2028">
        <f t="shared" si="27"/>
        <v>5.5000000000000005E-3</v>
      </c>
      <c r="M35" s="2028">
        <f t="shared" si="27"/>
        <v>4.5999999999999999E-3</v>
      </c>
      <c r="N35" s="2028">
        <f t="shared" si="27"/>
        <v>1.1000000000000001E-2</v>
      </c>
      <c r="O35" s="2028"/>
      <c r="P35" s="2028">
        <f t="shared" si="33"/>
        <v>4.5999999999999999E-3</v>
      </c>
      <c r="Q35" s="2905"/>
      <c r="R35" s="2027"/>
      <c r="S35" s="2027">
        <f>ROUND(IF([2]项目基本情况!$B$8="出让",SUMPRODUCT(PRODUCT(1+L35:L$36)),SUMPRODUCT(PRODUCT(1+L35:L$35))),4)</f>
        <v>1.0055000000000001</v>
      </c>
      <c r="T35" s="2027">
        <f>ROUND(IF([2]项目基本情况!$B$8="出让",SUMPRODUCT(PRODUCT(1+M35:M$36)),SUMPRODUCT(PRODUCT(1+M35:M$35))),4)</f>
        <v>1.0045999999999999</v>
      </c>
      <c r="U35" s="2027">
        <f>ROUND(IF([2]项目基本情况!$B$8="出让",SUMPRODUCT(PRODUCT(1+N35:N$36)),SUMPRODUCT(PRODUCT(1+N35:N$35))),4)</f>
        <v>1.0109999999999999</v>
      </c>
      <c r="V35" s="2027"/>
      <c r="W35" s="2027">
        <f t="shared" si="34"/>
        <v>1.0045999999999999</v>
      </c>
      <c r="X35" s="2905"/>
      <c r="Y35" s="2028"/>
      <c r="Z35" s="2901">
        <f t="shared" si="35"/>
        <v>4.4999999999999997E-3</v>
      </c>
      <c r="AA35" s="2902">
        <f t="shared" si="35"/>
        <v>4.7000000000000002E-3</v>
      </c>
      <c r="AB35" s="2028">
        <f t="shared" si="35"/>
        <v>1.04E-2</v>
      </c>
      <c r="AC35" s="2903"/>
      <c r="AD35" s="2028">
        <f t="shared" si="35"/>
        <v>4.7000000000000002E-3</v>
      </c>
    </row>
    <row r="36" spans="1:30" s="2927" customFormat="1" thickBot="1">
      <c r="A36" s="2917" t="s">
        <v>2822</v>
      </c>
      <c r="B36" s="2918">
        <v>2021</v>
      </c>
      <c r="C36" s="2919">
        <v>1</v>
      </c>
      <c r="D36" s="2920"/>
      <c r="E36" s="2920">
        <v>0.35</v>
      </c>
      <c r="F36" s="2920">
        <v>0.48</v>
      </c>
      <c r="G36" s="2920">
        <v>0.98</v>
      </c>
      <c r="H36" s="2921"/>
      <c r="I36" s="2922">
        <f t="shared" si="26"/>
        <v>0.48</v>
      </c>
      <c r="J36" s="2923"/>
      <c r="K36" s="2924"/>
      <c r="L36" s="2925">
        <f t="shared" si="27"/>
        <v>3.4999999999999996E-3</v>
      </c>
      <c r="M36" s="2925">
        <f>F36/100</f>
        <v>4.7999999999999996E-3</v>
      </c>
      <c r="N36" s="2925">
        <f t="shared" si="27"/>
        <v>9.7999999999999997E-3</v>
      </c>
      <c r="O36" s="2925"/>
      <c r="P36" s="2925">
        <f t="shared" si="33"/>
        <v>4.7999999999999996E-3</v>
      </c>
      <c r="Q36" s="2923"/>
      <c r="R36" s="2926"/>
      <c r="S36" s="2926">
        <v>1</v>
      </c>
      <c r="T36" s="2926">
        <v>1</v>
      </c>
      <c r="U36" s="2926">
        <v>1</v>
      </c>
      <c r="V36" s="2926"/>
      <c r="W36" s="2926">
        <f t="shared" si="34"/>
        <v>1</v>
      </c>
      <c r="X36" s="2923"/>
      <c r="Y36" s="2925"/>
      <c r="Z36" s="2933">
        <f t="shared" si="35"/>
        <v>3.5000000000000001E-3</v>
      </c>
      <c r="AA36" s="2934">
        <f t="shared" si="35"/>
        <v>4.7999999999999996E-3</v>
      </c>
      <c r="AB36" s="2925">
        <f t="shared" si="35"/>
        <v>9.7999999999999997E-3</v>
      </c>
      <c r="AC36" s="2935"/>
      <c r="AD36" s="2925">
        <f t="shared" si="35"/>
        <v>4.7999999999999996E-3</v>
      </c>
    </row>
    <row r="37" spans="1:30" ht="14.25" thickTop="1"/>
    <row r="38" spans="1:30">
      <c r="A38" s="3142" t="s">
        <v>3366</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33" t="s">
        <v>452</v>
      </c>
      <c r="C1" s="3533"/>
      <c r="D1" s="3533"/>
      <c r="E1" s="3533"/>
      <c r="F1" s="3533"/>
      <c r="G1" s="3529" t="s">
        <v>453</v>
      </c>
      <c r="H1" s="3529"/>
      <c r="I1" s="3529"/>
      <c r="J1" s="3529"/>
      <c r="K1" s="3529"/>
      <c r="L1" s="3529"/>
      <c r="N1" s="3529" t="s">
        <v>454</v>
      </c>
      <c r="O1" s="3529"/>
      <c r="P1" s="3529"/>
      <c r="Q1" s="3529"/>
      <c r="S1" s="3529" t="s">
        <v>455</v>
      </c>
      <c r="T1" s="3529"/>
      <c r="U1" s="3529"/>
      <c r="V1" s="3529"/>
      <c r="X1" s="3528" t="s">
        <v>456</v>
      </c>
      <c r="Y1" s="3529"/>
      <c r="Z1" s="3529"/>
      <c r="AA1" s="3529"/>
      <c r="AB1" s="3529"/>
      <c r="AD1" s="3528" t="s">
        <v>457</v>
      </c>
      <c r="AE1" s="3529"/>
      <c r="AF1" s="3529"/>
      <c r="AG1" s="3529"/>
      <c r="AH1" s="3529"/>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2113</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3362</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3359</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2114</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3360</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3361</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2434</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2311</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2310</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2309</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2307</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2306</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2129</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2127</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2126</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2125</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2123</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2122</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2124</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31">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2120</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31"/>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2119</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31"/>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2112</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38"/>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2110</v>
      </c>
      <c r="B25" s="2049">
        <v>439</v>
      </c>
      <c r="C25" s="2049">
        <v>327</v>
      </c>
      <c r="D25" s="2049">
        <f>C25</f>
        <v>327</v>
      </c>
      <c r="E25" s="2049">
        <v>627</v>
      </c>
      <c r="F25" s="2050">
        <v>283</v>
      </c>
      <c r="G25" s="3534">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2111</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31"/>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31"/>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38"/>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34">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31"/>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31"/>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32"/>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30">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31"/>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31"/>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32"/>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30">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31"/>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31"/>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32"/>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35">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36"/>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36"/>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37"/>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30">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31"/>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31"/>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32"/>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30">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31">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31">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32">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30">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31">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31">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32">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30">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31">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31">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32">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30">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31">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31">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32">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30">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31">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31">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32">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30">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31">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31">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32">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30">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31">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31">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32">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30">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31">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31">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32">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30">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31">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31">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32">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30">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31">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31">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32">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45051</v>
      </c>
      <c r="D1" s="1217" t="s">
        <v>603</v>
      </c>
      <c r="E1" s="1212">
        <f>'数据-取费表'!B22</f>
        <v>3</v>
      </c>
      <c r="F1" s="1217" t="s">
        <v>604</v>
      </c>
      <c r="G1" s="1213">
        <f ca="1">INDIRECT("d"&amp;$K$1)/100</f>
        <v>3.6499999999999998E-2</v>
      </c>
      <c r="H1" s="1217" t="s">
        <v>634</v>
      </c>
      <c r="I1" s="1213">
        <f ca="1">F4/100</f>
        <v>1.4999999999999999E-2</v>
      </c>
      <c r="J1" s="1218">
        <f>IF(C1&gt;C13,0,MATCH(C1,C$13:C$109,-1))+IF(SUMIF(C13:C109,C1,D13:D109)=0,13,12)</f>
        <v>13</v>
      </c>
      <c r="K1" s="1218">
        <f ca="1">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3.65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3.65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3.65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3.65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4.3</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4">
        <v>44795</v>
      </c>
      <c r="D13" s="1201">
        <v>3.65</v>
      </c>
      <c r="E13" s="1201">
        <f>D13</f>
        <v>3.65</v>
      </c>
      <c r="F13" s="1201">
        <f>D13</f>
        <v>3.65</v>
      </c>
      <c r="G13" s="1201">
        <f>D13</f>
        <v>3.65</v>
      </c>
      <c r="H13" s="1201">
        <v>4.3</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44701</v>
      </c>
      <c r="D14" s="1205">
        <v>3.7</v>
      </c>
      <c r="E14" s="1205">
        <f>D14</f>
        <v>3.7</v>
      </c>
      <c r="F14" s="1205">
        <f>D14</f>
        <v>3.7</v>
      </c>
      <c r="G14" s="1205">
        <f>D14</f>
        <v>3.7</v>
      </c>
      <c r="H14" s="1205">
        <v>4.45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44581</v>
      </c>
      <c r="D15" s="1205">
        <v>3.7</v>
      </c>
      <c r="E15" s="1205">
        <f>D15</f>
        <v>3.7</v>
      </c>
      <c r="F15" s="1205">
        <f>D15</f>
        <v>3.7</v>
      </c>
      <c r="G15" s="1205">
        <f>D15</f>
        <v>3.7</v>
      </c>
      <c r="H15" s="1205">
        <v>4.5999999999999996</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5"/>
      <c r="C16" s="1206">
        <v>44550</v>
      </c>
      <c r="D16" s="1205">
        <v>3.8</v>
      </c>
      <c r="E16" s="1205">
        <f>D16</f>
        <v>3.8</v>
      </c>
      <c r="F16" s="1205">
        <f>D16</f>
        <v>3.8</v>
      </c>
      <c r="G16" s="1205">
        <f>D16</f>
        <v>3.8</v>
      </c>
      <c r="H16" s="1205">
        <v>4.6500000000000004</v>
      </c>
      <c r="I16" s="1205"/>
      <c r="J16" s="1201"/>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5"/>
      <c r="C17" s="1206">
        <v>43941</v>
      </c>
      <c r="D17" s="1205">
        <v>3.85</v>
      </c>
      <c r="E17" s="1205">
        <v>3.85</v>
      </c>
      <c r="F17" s="1205">
        <v>3.85</v>
      </c>
      <c r="G17" s="1205">
        <v>3.85</v>
      </c>
      <c r="H17" s="1205">
        <v>4.6500000000000004</v>
      </c>
      <c r="I17" s="1205"/>
      <c r="J17" s="1205"/>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5"/>
      <c r="C18" s="1206">
        <v>43881</v>
      </c>
      <c r="D18" s="1205">
        <v>4.05</v>
      </c>
      <c r="E18" s="1205">
        <v>4.05</v>
      </c>
      <c r="F18" s="1205">
        <v>4.05</v>
      </c>
      <c r="G18" s="1205">
        <v>4.05</v>
      </c>
      <c r="H18" s="1205">
        <v>4.75</v>
      </c>
      <c r="I18" s="1205"/>
      <c r="J18" s="1205"/>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9"/>
      <c r="B19" s="1205"/>
      <c r="C19" s="1206">
        <v>43789</v>
      </c>
      <c r="D19" s="1205">
        <v>4.1500000000000004</v>
      </c>
      <c r="E19" s="1205">
        <v>4.1500000000000004</v>
      </c>
      <c r="F19" s="1205">
        <v>4.1500000000000004</v>
      </c>
      <c r="G19" s="1205">
        <v>4.1500000000000004</v>
      </c>
      <c r="H19" s="1205">
        <v>4.8</v>
      </c>
      <c r="I19" s="1205"/>
      <c r="J19" s="1205"/>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43728</v>
      </c>
      <c r="D20" s="1205">
        <v>4.2</v>
      </c>
      <c r="E20" s="1205">
        <v>4.2</v>
      </c>
      <c r="F20" s="1205">
        <v>4.2</v>
      </c>
      <c r="G20" s="1205">
        <v>4.2</v>
      </c>
      <c r="H20" s="1205">
        <v>4.8499999999999996</v>
      </c>
      <c r="I20" s="1205"/>
      <c r="J20" s="1205"/>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t="s">
        <v>2308</v>
      </c>
      <c r="C21" s="1207">
        <v>43697</v>
      </c>
      <c r="D21" s="2573">
        <v>4.25</v>
      </c>
      <c r="E21" s="2573">
        <v>4.25</v>
      </c>
      <c r="F21" s="2573">
        <v>4.25</v>
      </c>
      <c r="G21" s="2573">
        <v>4.25</v>
      </c>
      <c r="H21" s="2573">
        <v>4.8499999999999996</v>
      </c>
      <c r="I21" s="2573"/>
      <c r="J21" s="2573"/>
      <c r="K21" s="1188"/>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2575"/>
      <c r="B22" s="2576"/>
      <c r="C22" s="2577">
        <v>42301</v>
      </c>
      <c r="D22" s="2578">
        <v>4.3499999999999996</v>
      </c>
      <c r="E22" s="2578">
        <v>4.3499999999999996</v>
      </c>
      <c r="F22" s="2578">
        <v>4.75</v>
      </c>
      <c r="G22" s="2578">
        <v>4.75</v>
      </c>
      <c r="H22" s="2578">
        <v>4.9000000000000004</v>
      </c>
      <c r="I22" s="2578"/>
      <c r="J22" s="257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c r="B23" s="1205"/>
      <c r="C23" s="1206">
        <v>42242</v>
      </c>
      <c r="D23" s="1205">
        <v>4.5999999999999996</v>
      </c>
      <c r="E23" s="1205">
        <v>4.5999999999999996</v>
      </c>
      <c r="F23" s="1205">
        <v>5</v>
      </c>
      <c r="G23" s="1205">
        <v>5</v>
      </c>
      <c r="H23" s="1205">
        <v>5.15</v>
      </c>
      <c r="I23" s="1205">
        <v>2.75</v>
      </c>
      <c r="J23" s="1205">
        <v>3.25</v>
      </c>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42183</v>
      </c>
      <c r="D24" s="1205">
        <v>4.8499999999999996</v>
      </c>
      <c r="E24" s="1205">
        <v>4.8499999999999996</v>
      </c>
      <c r="F24" s="1205">
        <v>5.25</v>
      </c>
      <c r="G24" s="1205">
        <v>5.25</v>
      </c>
      <c r="H24" s="1205">
        <v>5.4</v>
      </c>
      <c r="I24" s="1205">
        <v>3</v>
      </c>
      <c r="J24" s="1205">
        <v>3.5</v>
      </c>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42135</v>
      </c>
      <c r="D25" s="1205">
        <v>5.0999999999999996</v>
      </c>
      <c r="E25" s="1205">
        <v>5.0999999999999996</v>
      </c>
      <c r="F25" s="1205">
        <v>5.5</v>
      </c>
      <c r="G25" s="1205">
        <v>5.5</v>
      </c>
      <c r="H25" s="1205">
        <v>5.65</v>
      </c>
      <c r="I25" s="1205">
        <v>3.25</v>
      </c>
      <c r="J25" s="1205">
        <v>3.75</v>
      </c>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42064</v>
      </c>
      <c r="D26" s="1205">
        <v>5.35</v>
      </c>
      <c r="E26" s="1205">
        <v>5.35</v>
      </c>
      <c r="F26" s="1205">
        <v>5.75</v>
      </c>
      <c r="G26" s="1205">
        <v>5.75</v>
      </c>
      <c r="H26" s="1205">
        <v>5.9</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41965</v>
      </c>
      <c r="D27" s="1205">
        <v>5.6</v>
      </c>
      <c r="E27" s="1205">
        <v>5.6</v>
      </c>
      <c r="F27" s="1205">
        <v>6</v>
      </c>
      <c r="G27" s="1205">
        <v>6</v>
      </c>
      <c r="H27" s="1205">
        <v>6.15</v>
      </c>
      <c r="I27" s="1205"/>
      <c r="J27" s="120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41096</v>
      </c>
      <c r="D28" s="1205">
        <v>5.6</v>
      </c>
      <c r="E28" s="1205">
        <v>6</v>
      </c>
      <c r="F28" s="1205">
        <v>6.15</v>
      </c>
      <c r="G28" s="1205">
        <v>6.4</v>
      </c>
      <c r="H28" s="1205">
        <v>6.55</v>
      </c>
      <c r="I28" s="1205">
        <v>4</v>
      </c>
      <c r="J28" s="1205">
        <v>4.5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41068</v>
      </c>
      <c r="D29" s="1205">
        <v>5.85</v>
      </c>
      <c r="E29" s="1205">
        <v>6.31</v>
      </c>
      <c r="F29" s="1205">
        <v>6.4</v>
      </c>
      <c r="G29" s="1205">
        <v>6.65</v>
      </c>
      <c r="H29" s="1205">
        <v>6.8</v>
      </c>
      <c r="I29" s="1205">
        <v>4.2</v>
      </c>
      <c r="J29" s="1205">
        <v>4.7</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40731</v>
      </c>
      <c r="D30" s="1205">
        <v>6.1</v>
      </c>
      <c r="E30" s="1205">
        <v>6.56</v>
      </c>
      <c r="F30" s="1205">
        <v>6.65</v>
      </c>
      <c r="G30" s="1205">
        <v>6.9</v>
      </c>
      <c r="H30" s="1205">
        <v>7.05</v>
      </c>
      <c r="I30" s="1205">
        <v>4.45</v>
      </c>
      <c r="J30" s="1205">
        <v>4.9000000000000004</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40639</v>
      </c>
      <c r="D31" s="1205">
        <v>5.85</v>
      </c>
      <c r="E31" s="1205">
        <v>6.31</v>
      </c>
      <c r="F31" s="1205">
        <v>6.4</v>
      </c>
      <c r="G31" s="1205">
        <v>6.65</v>
      </c>
      <c r="H31" s="1205">
        <v>6.8</v>
      </c>
      <c r="I31" s="1205">
        <v>4.2</v>
      </c>
      <c r="J31" s="1205">
        <v>4.7</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40583</v>
      </c>
      <c r="D32" s="1205">
        <v>5.6</v>
      </c>
      <c r="E32" s="1205">
        <v>6.06</v>
      </c>
      <c r="F32" s="1205">
        <v>6.1</v>
      </c>
      <c r="G32" s="1205">
        <v>6.45</v>
      </c>
      <c r="H32" s="1205">
        <v>6.6</v>
      </c>
      <c r="I32" s="1205">
        <v>4</v>
      </c>
      <c r="J32" s="1205">
        <v>4.5</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40538</v>
      </c>
      <c r="D33" s="1205">
        <v>5.35</v>
      </c>
      <c r="E33" s="1205">
        <v>5.81</v>
      </c>
      <c r="F33" s="1205">
        <v>5.85</v>
      </c>
      <c r="G33" s="1205">
        <v>6.22</v>
      </c>
      <c r="H33" s="1205">
        <v>6.4</v>
      </c>
      <c r="I33" s="1205">
        <v>3.75</v>
      </c>
      <c r="J33" s="1205">
        <v>4.3</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40471</v>
      </c>
      <c r="D34" s="1205">
        <v>5.0999999999999996</v>
      </c>
      <c r="E34" s="1205">
        <v>5.56</v>
      </c>
      <c r="F34" s="1205">
        <v>5.6</v>
      </c>
      <c r="G34" s="1205">
        <v>5.96</v>
      </c>
      <c r="H34" s="1205">
        <v>6.14</v>
      </c>
      <c r="I34" s="1205">
        <v>3.5</v>
      </c>
      <c r="J34" s="1205">
        <v>4.05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39805</v>
      </c>
      <c r="D35" s="1205">
        <v>4.8600000000000003</v>
      </c>
      <c r="E35" s="1205">
        <v>5.31</v>
      </c>
      <c r="F35" s="1205">
        <v>5.4</v>
      </c>
      <c r="G35" s="1205">
        <v>5.76</v>
      </c>
      <c r="H35" s="1205">
        <v>5.94</v>
      </c>
      <c r="I35" s="1205">
        <v>3.33</v>
      </c>
      <c r="J35" s="1205">
        <v>3.87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39779</v>
      </c>
      <c r="D36" s="1205">
        <v>5.04</v>
      </c>
      <c r="E36" s="1205">
        <v>5.58</v>
      </c>
      <c r="F36" s="1205">
        <v>5.67</v>
      </c>
      <c r="G36" s="1205">
        <v>5.94</v>
      </c>
      <c r="H36" s="1205">
        <v>6.12</v>
      </c>
      <c r="I36" s="1205">
        <v>3.51</v>
      </c>
      <c r="J36" s="1205">
        <v>4.05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39751</v>
      </c>
      <c r="D37" s="1205">
        <v>6.03</v>
      </c>
      <c r="E37" s="1205">
        <v>6.66</v>
      </c>
      <c r="F37" s="1205">
        <v>6.75</v>
      </c>
      <c r="G37" s="1205">
        <v>7.02</v>
      </c>
      <c r="H37" s="1205">
        <v>7.2</v>
      </c>
      <c r="I37" s="1205">
        <v>4.05</v>
      </c>
      <c r="J37" s="1205">
        <v>4.59</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7">
        <v>39748</v>
      </c>
      <c r="D38" s="1205">
        <v>6.12</v>
      </c>
      <c r="E38" s="1205">
        <v>6.93</v>
      </c>
      <c r="F38" s="1205">
        <v>7.02</v>
      </c>
      <c r="G38" s="1205">
        <v>7.29</v>
      </c>
      <c r="H38" s="1205">
        <v>7.47</v>
      </c>
      <c r="I38" s="1205">
        <v>4.05</v>
      </c>
      <c r="J38" s="1205">
        <v>4.59</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39730</v>
      </c>
      <c r="D39" s="1205">
        <v>6.12</v>
      </c>
      <c r="E39" s="1205">
        <v>6.93</v>
      </c>
      <c r="F39" s="1205">
        <v>7.02</v>
      </c>
      <c r="G39" s="1205">
        <v>7.29</v>
      </c>
      <c r="H39" s="1205">
        <v>7.47</v>
      </c>
      <c r="I39" s="1205">
        <v>4.32</v>
      </c>
      <c r="J39" s="1205">
        <v>4.8600000000000003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39707</v>
      </c>
      <c r="D40" s="1205">
        <v>6.21</v>
      </c>
      <c r="E40" s="1205">
        <v>7.2</v>
      </c>
      <c r="F40" s="1205">
        <v>7.29</v>
      </c>
      <c r="G40" s="1205">
        <v>7.56</v>
      </c>
      <c r="H40" s="1205">
        <v>7.74</v>
      </c>
      <c r="I40" s="1205">
        <v>4.59</v>
      </c>
      <c r="J40" s="1205">
        <v>5.13</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39437</v>
      </c>
      <c r="D41" s="1205">
        <v>6.57</v>
      </c>
      <c r="E41" s="1205">
        <v>7.47</v>
      </c>
      <c r="F41" s="1205">
        <v>7.56</v>
      </c>
      <c r="G41" s="1205">
        <v>7.74</v>
      </c>
      <c r="H41" s="1205">
        <v>7.83</v>
      </c>
      <c r="I41" s="1205">
        <v>4.7699999999999996</v>
      </c>
      <c r="J41" s="1205">
        <v>5.22</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39340</v>
      </c>
      <c r="D42" s="1205">
        <v>6.48</v>
      </c>
      <c r="E42" s="1205">
        <v>7.29</v>
      </c>
      <c r="F42" s="1205">
        <v>7.47</v>
      </c>
      <c r="G42" s="1205">
        <v>7.65</v>
      </c>
      <c r="H42" s="1205">
        <v>7.83</v>
      </c>
      <c r="I42" s="1205">
        <v>4.7699999999999996</v>
      </c>
      <c r="J42" s="1205">
        <v>5.22</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39316</v>
      </c>
      <c r="D43" s="1205">
        <v>6.21</v>
      </c>
      <c r="E43" s="1205">
        <v>7.02</v>
      </c>
      <c r="F43" s="1205">
        <v>7.2</v>
      </c>
      <c r="G43" s="1205">
        <v>7.38</v>
      </c>
      <c r="H43" s="1205">
        <v>7.56</v>
      </c>
      <c r="I43" s="1205">
        <v>4.59</v>
      </c>
      <c r="J43" s="1205">
        <v>5.04</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39284</v>
      </c>
      <c r="D44" s="1205">
        <v>6.03</v>
      </c>
      <c r="E44" s="1205">
        <v>6.84</v>
      </c>
      <c r="F44" s="1205">
        <v>7.02</v>
      </c>
      <c r="G44" s="1205">
        <v>7.2</v>
      </c>
      <c r="H44" s="1205">
        <v>7.38</v>
      </c>
      <c r="I44" s="1205">
        <v>4.5</v>
      </c>
      <c r="J44" s="1205">
        <v>4.95</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39221</v>
      </c>
      <c r="D45" s="1205">
        <v>5.85</v>
      </c>
      <c r="E45" s="1205">
        <v>6.57</v>
      </c>
      <c r="F45" s="1205">
        <v>6.75</v>
      </c>
      <c r="G45" s="1205">
        <v>6.93</v>
      </c>
      <c r="H45" s="1205">
        <v>7.2</v>
      </c>
      <c r="I45" s="1205">
        <v>4.41</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39159</v>
      </c>
      <c r="D46" s="1205">
        <v>5.67</v>
      </c>
      <c r="E46" s="1205">
        <v>6.39</v>
      </c>
      <c r="F46" s="1205">
        <v>6.57</v>
      </c>
      <c r="G46" s="1205">
        <v>6.75</v>
      </c>
      <c r="H46" s="1205">
        <v>7.11</v>
      </c>
      <c r="I46" s="1205">
        <v>4.32</v>
      </c>
      <c r="J46" s="1205">
        <v>4.7699999999999996</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38948</v>
      </c>
      <c r="D47" s="1205">
        <v>5.58</v>
      </c>
      <c r="E47" s="1205">
        <v>6.12</v>
      </c>
      <c r="F47" s="1205">
        <v>6.3</v>
      </c>
      <c r="G47" s="1205">
        <v>6.48</v>
      </c>
      <c r="H47" s="1205">
        <v>6.84</v>
      </c>
      <c r="I47" s="1205">
        <v>4.1399999999999997</v>
      </c>
      <c r="J47" s="1205">
        <v>4.59</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38835</v>
      </c>
      <c r="D48" s="1205">
        <v>5.4</v>
      </c>
      <c r="E48" s="1205">
        <v>5.85</v>
      </c>
      <c r="F48" s="1205">
        <v>6.03</v>
      </c>
      <c r="G48" s="1205">
        <v>6.12</v>
      </c>
      <c r="H48" s="1205">
        <v>6.39</v>
      </c>
      <c r="I48" s="1205">
        <v>4.1399999999999997</v>
      </c>
      <c r="J48" s="1205">
        <v>4.59</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38428</v>
      </c>
      <c r="D49" s="1205">
        <v>5.22</v>
      </c>
      <c r="E49" s="1205">
        <v>5.58</v>
      </c>
      <c r="F49" s="1205">
        <v>5.76</v>
      </c>
      <c r="G49" s="1205">
        <v>5.85</v>
      </c>
      <c r="H49" s="1205">
        <v>6.12</v>
      </c>
      <c r="I49" s="1205">
        <v>3.96</v>
      </c>
      <c r="J49" s="1205">
        <v>4.41</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38289</v>
      </c>
      <c r="D50" s="1205">
        <v>5.22</v>
      </c>
      <c r="E50" s="1205">
        <v>5.58</v>
      </c>
      <c r="F50" s="1205">
        <v>5.76</v>
      </c>
      <c r="G50" s="1205">
        <v>5.85</v>
      </c>
      <c r="H50" s="1205">
        <v>6.12</v>
      </c>
      <c r="I50" s="1205">
        <v>3.78</v>
      </c>
      <c r="J50" s="1205">
        <v>4.2300000000000004</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37308</v>
      </c>
      <c r="D51" s="1205">
        <v>5.04</v>
      </c>
      <c r="E51" s="1205">
        <v>5.31</v>
      </c>
      <c r="F51" s="1205">
        <v>5.49</v>
      </c>
      <c r="G51" s="1205">
        <v>5.58</v>
      </c>
      <c r="H51" s="1205">
        <v>5.76</v>
      </c>
      <c r="I51" s="1205">
        <v>3.6</v>
      </c>
      <c r="J51" s="1205">
        <v>4.05</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36321</v>
      </c>
      <c r="D52" s="1205">
        <v>5.58</v>
      </c>
      <c r="E52" s="1205">
        <v>5.85</v>
      </c>
      <c r="F52" s="1205">
        <v>5.94</v>
      </c>
      <c r="G52" s="1205">
        <v>6.03</v>
      </c>
      <c r="H52" s="1205">
        <v>6.21</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36136</v>
      </c>
      <c r="D53" s="1205">
        <v>6.12</v>
      </c>
      <c r="E53" s="1205">
        <v>6.39</v>
      </c>
      <c r="F53" s="1205">
        <v>6.66</v>
      </c>
      <c r="G53" s="1205">
        <v>7.2</v>
      </c>
      <c r="H53" s="1205">
        <v>7.56</v>
      </c>
      <c r="I53" s="1205">
        <v>0</v>
      </c>
      <c r="J53" s="1205">
        <v>0</v>
      </c>
      <c r="L53" s="1205"/>
      <c r="M53" s="1206"/>
      <c r="N53" s="1205"/>
      <c r="O53" s="1205"/>
      <c r="P53" s="1205"/>
      <c r="Q53" s="1205"/>
      <c r="R53" s="1205"/>
      <c r="S53" s="1205"/>
      <c r="T53" s="1205"/>
      <c r="U53" s="1205"/>
      <c r="V53" s="1205"/>
      <c r="W53" s="1205"/>
      <c r="X53" s="1205"/>
      <c r="Y53" s="1205"/>
      <c r="Z53" s="1205"/>
    </row>
    <row r="54" spans="2:26">
      <c r="B54" s="1205"/>
      <c r="C54" s="1206">
        <v>35977</v>
      </c>
      <c r="D54" s="1205">
        <v>6.57</v>
      </c>
      <c r="E54" s="1205">
        <v>6.93</v>
      </c>
      <c r="F54" s="1205">
        <v>7.11</v>
      </c>
      <c r="G54" s="1205">
        <v>7.65</v>
      </c>
      <c r="H54" s="1205">
        <v>8.01</v>
      </c>
      <c r="I54" s="1205">
        <v>0</v>
      </c>
      <c r="J54" s="1205">
        <v>0</v>
      </c>
      <c r="L54" s="1205"/>
      <c r="M54" s="1206"/>
      <c r="N54" s="1205"/>
      <c r="O54" s="1205"/>
      <c r="P54" s="1205"/>
      <c r="Q54" s="1205"/>
      <c r="R54" s="1205"/>
      <c r="S54" s="1205"/>
      <c r="T54" s="1205"/>
      <c r="U54" s="1205"/>
      <c r="V54" s="1205"/>
      <c r="W54" s="1205"/>
      <c r="X54" s="1205"/>
      <c r="Y54" s="1205"/>
      <c r="Z54" s="1205"/>
    </row>
    <row r="55" spans="2:26">
      <c r="B55" s="1205"/>
      <c r="C55" s="1206">
        <v>35879</v>
      </c>
      <c r="D55" s="1205">
        <v>7.02</v>
      </c>
      <c r="E55" s="1205">
        <v>7.92</v>
      </c>
      <c r="F55" s="1205">
        <v>9</v>
      </c>
      <c r="G55" s="1205">
        <v>9.7200000000000006</v>
      </c>
      <c r="H55" s="1205">
        <v>10.35</v>
      </c>
      <c r="I55" s="1205">
        <v>0</v>
      </c>
      <c r="J55" s="1205">
        <v>0</v>
      </c>
      <c r="L55" s="1205"/>
      <c r="M55" s="1206"/>
      <c r="N55" s="1205"/>
      <c r="O55" s="1205"/>
      <c r="P55" s="1205"/>
      <c r="Q55" s="1205"/>
      <c r="R55" s="1205"/>
      <c r="S55" s="1205"/>
      <c r="T55" s="1205"/>
      <c r="U55" s="1205"/>
      <c r="V55" s="1205"/>
      <c r="W55" s="1205"/>
      <c r="X55" s="1205"/>
      <c r="Y55" s="1205"/>
      <c r="Z55" s="1205"/>
    </row>
    <row r="56" spans="2:26">
      <c r="B56" s="1205"/>
      <c r="C56" s="1206">
        <v>35726</v>
      </c>
      <c r="D56" s="1205">
        <v>7.65</v>
      </c>
      <c r="E56" s="1205">
        <v>8.64</v>
      </c>
      <c r="F56" s="1205">
        <v>9.36</v>
      </c>
      <c r="G56" s="1205">
        <v>9.9</v>
      </c>
      <c r="H56" s="1205">
        <v>10.53</v>
      </c>
      <c r="I56" s="1205">
        <v>0</v>
      </c>
      <c r="J56" s="1205">
        <v>0</v>
      </c>
      <c r="L56" s="1205"/>
      <c r="M56" s="1206"/>
      <c r="N56" s="1205"/>
      <c r="O56" s="1205"/>
      <c r="P56" s="1205"/>
      <c r="Q56" s="1205"/>
      <c r="R56" s="1205"/>
      <c r="S56" s="1205"/>
      <c r="T56" s="1205"/>
      <c r="U56" s="1205"/>
      <c r="V56" s="1205"/>
      <c r="W56" s="1205"/>
      <c r="X56" s="1205"/>
      <c r="Y56" s="1205"/>
      <c r="Z56" s="1205"/>
    </row>
    <row r="57" spans="2:26">
      <c r="B57" s="1205"/>
      <c r="C57" s="1206">
        <v>35300</v>
      </c>
      <c r="D57" s="1205">
        <v>9.18</v>
      </c>
      <c r="E57" s="1205">
        <v>10.08</v>
      </c>
      <c r="F57" s="1205">
        <v>10.98</v>
      </c>
      <c r="G57" s="1205">
        <v>11.7</v>
      </c>
      <c r="H57" s="1205">
        <v>12.42</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35186</v>
      </c>
      <c r="D58" s="1205">
        <v>9.7200000000000006</v>
      </c>
      <c r="E58" s="1205">
        <v>10.98</v>
      </c>
      <c r="F58" s="1205">
        <v>13.14</v>
      </c>
      <c r="G58" s="1205">
        <v>14.94</v>
      </c>
      <c r="H58" s="1205">
        <v>15.12</v>
      </c>
      <c r="I58" s="1205">
        <v>0</v>
      </c>
      <c r="J58" s="1205">
        <v>0</v>
      </c>
    </row>
    <row r="59" spans="2:26">
      <c r="B59" s="1205"/>
      <c r="C59" s="1206">
        <v>34881</v>
      </c>
      <c r="D59" s="1205">
        <v>10.08</v>
      </c>
      <c r="E59" s="1205">
        <v>12.06</v>
      </c>
      <c r="F59" s="1205">
        <v>13.5</v>
      </c>
      <c r="G59" s="1205">
        <v>15.12</v>
      </c>
      <c r="H59" s="1205">
        <v>15.3</v>
      </c>
      <c r="I59" s="1205">
        <v>0</v>
      </c>
      <c r="J59" s="1205">
        <v>0</v>
      </c>
    </row>
    <row r="60" spans="2:26">
      <c r="B60" s="1205"/>
      <c r="C60" s="1206">
        <v>34700</v>
      </c>
      <c r="D60" s="1205">
        <v>9</v>
      </c>
      <c r="E60" s="1205">
        <v>10.98</v>
      </c>
      <c r="F60" s="1205">
        <v>12.96</v>
      </c>
      <c r="G60" s="1205">
        <v>14.58</v>
      </c>
      <c r="H60" s="1205">
        <v>14.76</v>
      </c>
      <c r="I60" s="1205">
        <v>0</v>
      </c>
      <c r="J60" s="1205">
        <v>0</v>
      </c>
    </row>
    <row r="61" spans="2:26">
      <c r="B61" s="1205"/>
      <c r="C61" s="1206">
        <v>34161</v>
      </c>
      <c r="D61" s="1205">
        <v>9</v>
      </c>
      <c r="E61" s="1205">
        <v>10.98</v>
      </c>
      <c r="F61" s="1205">
        <v>12.24</v>
      </c>
      <c r="G61" s="1205">
        <v>13.86</v>
      </c>
      <c r="H61" s="1205">
        <v>14.04</v>
      </c>
      <c r="I61" s="1205">
        <v>0</v>
      </c>
      <c r="J61" s="1205">
        <v>0</v>
      </c>
    </row>
    <row r="62" spans="2:26">
      <c r="B62" s="1205"/>
      <c r="C62" s="1206">
        <v>34104</v>
      </c>
      <c r="D62" s="1205">
        <v>8.82</v>
      </c>
      <c r="E62" s="1205">
        <v>9.36</v>
      </c>
      <c r="F62" s="1205">
        <v>10.8</v>
      </c>
      <c r="G62" s="1205">
        <v>12.06</v>
      </c>
      <c r="H62" s="1205">
        <v>12.24</v>
      </c>
      <c r="I62" s="1205">
        <v>0</v>
      </c>
      <c r="J62" s="1205">
        <v>0</v>
      </c>
    </row>
    <row r="63" spans="2:26">
      <c r="B63" s="1205"/>
      <c r="C63" s="1206">
        <v>33349</v>
      </c>
      <c r="D63" s="1205">
        <v>8.1</v>
      </c>
      <c r="E63" s="1205">
        <v>8.64</v>
      </c>
      <c r="F63" s="1205">
        <v>9</v>
      </c>
      <c r="G63" s="1205">
        <v>9.5399999999999991</v>
      </c>
      <c r="H63" s="1205">
        <v>9.7200000000000006</v>
      </c>
      <c r="I63" s="1205">
        <v>0</v>
      </c>
      <c r="J63" s="1205">
        <v>0</v>
      </c>
    </row>
    <row r="64" spans="2:26">
      <c r="B64" s="1205"/>
      <c r="C64" s="1206">
        <v>33318</v>
      </c>
      <c r="D64" s="1205">
        <v>9</v>
      </c>
      <c r="E64" s="1205">
        <v>10.08</v>
      </c>
      <c r="F64" s="1205">
        <v>10.8</v>
      </c>
      <c r="G64" s="1205">
        <v>11.52</v>
      </c>
      <c r="H64" s="1205">
        <v>11.88</v>
      </c>
      <c r="I64" s="1205" t="s">
        <v>633</v>
      </c>
      <c r="J64" s="1205" t="s">
        <v>633</v>
      </c>
    </row>
    <row r="65" spans="2:10">
      <c r="B65" s="1205"/>
      <c r="C65" s="1206">
        <v>33106</v>
      </c>
      <c r="D65" s="1205">
        <v>8.64</v>
      </c>
      <c r="E65" s="1205">
        <v>9.36</v>
      </c>
      <c r="F65" s="1205">
        <v>10.08</v>
      </c>
      <c r="G65" s="1205">
        <v>10.8</v>
      </c>
      <c r="H65" s="1205">
        <v>11.16</v>
      </c>
      <c r="I65" s="1205">
        <v>0</v>
      </c>
      <c r="J65" s="1205">
        <v>0</v>
      </c>
    </row>
    <row r="66" spans="2:10">
      <c r="B66" s="1205"/>
      <c r="C66" s="1206">
        <v>32540</v>
      </c>
      <c r="D66" s="1205">
        <v>11.34</v>
      </c>
      <c r="E66" s="1205">
        <v>11.34</v>
      </c>
      <c r="F66" s="1205">
        <v>12.78</v>
      </c>
      <c r="G66" s="1205">
        <v>14.4</v>
      </c>
      <c r="H66" s="1205">
        <v>19.260000000000002</v>
      </c>
      <c r="I66" s="1205">
        <v>0</v>
      </c>
      <c r="J66" s="1205">
        <v>0</v>
      </c>
    </row>
    <row r="67" spans="2:10">
      <c r="B67" s="1205"/>
      <c r="C67" s="1206"/>
      <c r="D67" s="1205"/>
      <c r="E67" s="1205"/>
      <c r="F67" s="1205"/>
      <c r="G67" s="1205"/>
      <c r="H67" s="1205"/>
      <c r="I67" s="1205"/>
      <c r="J67" s="1205"/>
    </row>
    <row r="68" spans="2:10">
      <c r="B68" s="1208"/>
      <c r="C68" s="1209"/>
      <c r="D68" s="1208"/>
      <c r="E68" s="1208"/>
      <c r="F68" s="1208"/>
      <c r="G68" s="1208"/>
      <c r="H68" s="1208"/>
      <c r="I68" s="1208"/>
      <c r="J68" s="1208"/>
    </row>
    <row r="69" spans="2:10">
      <c r="B69" s="1208"/>
      <c r="C69" s="1209"/>
      <c r="D69" s="1208"/>
      <c r="E69" s="1208"/>
      <c r="F69" s="1208"/>
      <c r="G69" s="1208"/>
      <c r="H69" s="1208"/>
      <c r="I69" s="1208"/>
      <c r="J69" s="1208"/>
    </row>
    <row r="70" spans="2:10">
      <c r="B70" s="1208"/>
      <c r="C70" s="1209"/>
      <c r="D70" s="1208"/>
      <c r="E70" s="1208"/>
      <c r="F70" s="1208"/>
      <c r="G70" s="1208"/>
      <c r="H70" s="1208"/>
      <c r="I70" s="1208"/>
      <c r="J70" s="1208"/>
    </row>
    <row r="71" spans="2:10">
      <c r="B71" s="1159"/>
      <c r="C71" s="1159"/>
      <c r="D71" s="1159"/>
      <c r="E71" s="1159"/>
      <c r="F71" s="1159"/>
      <c r="G71" s="1159"/>
      <c r="H71" s="1159"/>
      <c r="I71" s="1159"/>
      <c r="J71" s="1159"/>
    </row>
    <row r="72" spans="2:10">
      <c r="B72" s="1159"/>
      <c r="C72" s="1159"/>
      <c r="D72" s="1159"/>
      <c r="E72" s="1159"/>
      <c r="F72" s="1159"/>
      <c r="G72" s="1159"/>
      <c r="H72" s="1159"/>
      <c r="I72" s="1159"/>
      <c r="J72" s="1159"/>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1" t="str">
        <f>IF(项目基本情况!B9="房地产市场价值","估价结果一览表","结果表-2")</f>
        <v>结果表-2</v>
      </c>
      <c r="B1" s="3181"/>
      <c r="C1" s="3181"/>
      <c r="D1" s="3181"/>
      <c r="E1" s="3181"/>
      <c r="F1" s="3181"/>
      <c r="G1" s="3181"/>
      <c r="H1" s="3181"/>
      <c r="I1" s="3181"/>
    </row>
    <row r="2" spans="1:9" ht="30" customHeight="1" thickTop="1">
      <c r="A2" s="3182" t="s">
        <v>928</v>
      </c>
      <c r="B2" s="3182" t="s">
        <v>929</v>
      </c>
      <c r="C2" s="3182" t="s">
        <v>930</v>
      </c>
      <c r="D2" s="3182" t="str">
        <f>结果表!D116</f>
        <v>出让国有建设用地使用权价值</v>
      </c>
      <c r="E2" s="3182"/>
      <c r="F2" s="3182" t="str">
        <f>结果表!F116</f>
        <v>在建建筑物价值</v>
      </c>
      <c r="G2" s="3182"/>
      <c r="H2" s="3182" t="str">
        <f>IF(项目基本情况!B9="房地产市场价值","房地产市场价值","房地产价值")</f>
        <v>房地产价值</v>
      </c>
      <c r="I2" s="3182"/>
    </row>
    <row r="3" spans="1:9" ht="15">
      <c r="A3" s="3183"/>
      <c r="B3" s="3183"/>
      <c r="C3" s="3183"/>
      <c r="D3" s="801" t="s">
        <v>925</v>
      </c>
      <c r="E3" s="801" t="s">
        <v>931</v>
      </c>
      <c r="F3" s="801" t="s">
        <v>925</v>
      </c>
      <c r="G3" s="801" t="s">
        <v>926</v>
      </c>
      <c r="H3" s="801" t="s">
        <v>925</v>
      </c>
      <c r="I3" s="801" t="s">
        <v>926</v>
      </c>
    </row>
    <row r="4" spans="1:9" ht="30">
      <c r="A4" s="1403" t="str">
        <f>项目基本情况!S2</f>
        <v>北京市朝阳区朝阳区门外大街18号房地产</v>
      </c>
      <c r="B4" s="801">
        <f>项目基本情况!C17</f>
        <v>6547.83</v>
      </c>
      <c r="C4" s="801">
        <f>项目基本情况!C18</f>
        <v>750.35</v>
      </c>
      <c r="D4" s="801">
        <f ca="1">结果表!D118</f>
        <v>14091</v>
      </c>
      <c r="E4" s="801">
        <f ca="1">结果表!E118</f>
        <v>21520</v>
      </c>
      <c r="F4" s="801">
        <f ca="1">结果表!F118</f>
        <v>3928</v>
      </c>
      <c r="G4" s="801">
        <f ca="1">结果表!G118</f>
        <v>5999</v>
      </c>
      <c r="H4" s="801">
        <f ca="1">结果表!H118</f>
        <v>18019</v>
      </c>
      <c r="I4" s="801">
        <f ca="1">结果表!I118</f>
        <v>27519</v>
      </c>
    </row>
    <row r="5" spans="1:9" ht="30" customHeight="1">
      <c r="A5" s="3183" t="s">
        <v>927</v>
      </c>
      <c r="B5" s="3183"/>
      <c r="C5" s="3183"/>
      <c r="D5" s="3183" t="str">
        <f ca="1">结果表!D119</f>
        <v>壹亿肆仟零玖拾壹万元整</v>
      </c>
      <c r="E5" s="3183"/>
      <c r="F5" s="3183" t="str">
        <f ca="1">结果表!F119</f>
        <v>叁仟玖佰贰拾捌万元整</v>
      </c>
      <c r="G5" s="3183"/>
      <c r="H5" s="3183" t="str">
        <f ca="1">结果表!H119</f>
        <v>壹亿捌仟零壹拾玖万元整</v>
      </c>
      <c r="I5" s="3183"/>
    </row>
    <row r="6" spans="1:9" ht="15.75">
      <c r="A6" s="3184" t="str">
        <f>结果表!A120</f>
        <v>估价师知悉的法定优先受偿款</v>
      </c>
      <c r="B6" s="3184"/>
      <c r="C6" s="3184"/>
      <c r="D6" s="3184">
        <f>结果表!D120</f>
        <v>0</v>
      </c>
      <c r="E6" s="3184"/>
      <c r="F6" s="3184"/>
      <c r="G6" s="3184"/>
      <c r="H6" s="3184"/>
      <c r="I6" s="3184"/>
    </row>
    <row r="7" spans="1:9" ht="15">
      <c r="A7" s="3183" t="s">
        <v>927</v>
      </c>
      <c r="B7" s="3183"/>
      <c r="C7" s="3183"/>
      <c r="D7" s="3185" t="str">
        <f>结果表!D121</f>
        <v>零元整</v>
      </c>
      <c r="E7" s="3186"/>
      <c r="F7" s="3186"/>
      <c r="G7" s="3186"/>
      <c r="H7" s="3186"/>
      <c r="I7" s="3187"/>
    </row>
    <row r="8" spans="1:9" ht="15.75">
      <c r="A8" s="3184" t="str">
        <f>结果表!A122</f>
        <v>房地产抵押价值</v>
      </c>
      <c r="B8" s="3184"/>
      <c r="C8" s="3184"/>
      <c r="D8" s="3184">
        <f ca="1">结果表!D122</f>
        <v>18019</v>
      </c>
      <c r="E8" s="3184"/>
      <c r="F8" s="3184"/>
      <c r="G8" s="3184"/>
      <c r="H8" s="3184"/>
      <c r="I8" s="3184"/>
    </row>
    <row r="9" spans="1:9" ht="15">
      <c r="A9" s="3183" t="s">
        <v>927</v>
      </c>
      <c r="B9" s="3183"/>
      <c r="C9" s="3183"/>
      <c r="D9" s="3183" t="str">
        <f ca="1">结果表!D123</f>
        <v>壹亿捌仟零壹拾玖万元整</v>
      </c>
      <c r="E9" s="3183"/>
      <c r="F9" s="3183"/>
      <c r="G9" s="3183"/>
      <c r="H9" s="3183"/>
      <c r="I9" s="3183"/>
    </row>
    <row r="10" spans="1:9" ht="15.75">
      <c r="A10" s="3184" t="str">
        <f>结果表!A124</f>
        <v/>
      </c>
      <c r="B10" s="3184"/>
      <c r="C10" s="3184"/>
      <c r="D10" s="3184" t="str">
        <f>结果表!D124</f>
        <v>——</v>
      </c>
      <c r="E10" s="3184"/>
      <c r="F10" s="3184"/>
      <c r="G10" s="3184"/>
      <c r="H10" s="3184"/>
      <c r="I10" s="3184"/>
    </row>
    <row r="11" spans="1:9" ht="15">
      <c r="A11" s="3183" t="s">
        <v>927</v>
      </c>
      <c r="B11" s="3183"/>
      <c r="C11" s="3183"/>
      <c r="D11" s="3183" t="e">
        <f>结果表!D125</f>
        <v>#VALUE!</v>
      </c>
      <c r="E11" s="3183"/>
      <c r="F11" s="3183"/>
      <c r="G11" s="3183"/>
      <c r="H11" s="3183"/>
      <c r="I11" s="3183"/>
    </row>
    <row r="12" spans="1:9" ht="15.75">
      <c r="A12" s="3184" t="str">
        <f>结果表!A126</f>
        <v/>
      </c>
      <c r="B12" s="3184"/>
      <c r="C12" s="3184"/>
      <c r="D12" s="3184" t="str">
        <f>结果表!D126</f>
        <v>——</v>
      </c>
      <c r="E12" s="3184"/>
      <c r="F12" s="3184"/>
      <c r="G12" s="3184"/>
      <c r="H12" s="3184"/>
      <c r="I12" s="3184"/>
    </row>
    <row r="13" spans="1:9" ht="15.75" thickBot="1">
      <c r="A13" s="3188" t="s">
        <v>927</v>
      </c>
      <c r="B13" s="3188"/>
      <c r="C13" s="3188"/>
      <c r="D13" s="3188" t="e">
        <f>结果表!D127</f>
        <v>#VALUE!</v>
      </c>
      <c r="E13" s="3188"/>
      <c r="F13" s="3188"/>
      <c r="G13" s="3188"/>
      <c r="H13" s="3188"/>
      <c r="I13" s="3188"/>
    </row>
    <row r="14" spans="1:9" ht="15" thickTop="1">
      <c r="A14" s="3189" t="s">
        <v>932</v>
      </c>
      <c r="B14" s="3189"/>
      <c r="C14" s="3189"/>
      <c r="D14" s="3189"/>
      <c r="E14" s="3189"/>
      <c r="F14" s="3189"/>
      <c r="G14" s="3189"/>
      <c r="H14" s="3189"/>
      <c r="I14" s="3189"/>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0" t="s">
        <v>949</v>
      </c>
      <c r="B1" s="3190"/>
      <c r="C1" s="3190"/>
      <c r="D1" s="3190"/>
    </row>
    <row r="2" spans="1:4" ht="18">
      <c r="A2" s="3191" t="s">
        <v>933</v>
      </c>
      <c r="B2" s="3191"/>
      <c r="C2" s="3191"/>
      <c r="D2" s="3191"/>
    </row>
    <row r="3" spans="1:4" ht="18.75">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t="str">
        <f>项目基本情况!D4</f>
        <v>崔锴</v>
      </c>
      <c r="B5" s="1409">
        <f ca="1">项目基本情况!E4</f>
        <v>1120100036</v>
      </c>
      <c r="C5" s="1412"/>
      <c r="D5" s="1411" t="s">
        <v>938</v>
      </c>
    </row>
    <row r="6" spans="1:4" ht="18">
      <c r="A6" s="3191" t="s">
        <v>939</v>
      </c>
      <c r="B6" s="3191"/>
      <c r="C6" s="3191"/>
      <c r="D6" s="3191"/>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92" t="s">
        <v>942</v>
      </c>
      <c r="B11" s="3193"/>
      <c r="C11" s="3193"/>
      <c r="D11" s="3193"/>
    </row>
    <row r="12" spans="1:4" ht="15.75">
      <c r="A12" s="31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4"/>
      <c r="C12" s="3194"/>
      <c r="D12" s="3194"/>
    </row>
    <row r="13" spans="1:4" ht="30" customHeight="1">
      <c r="A13" s="31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4"/>
      <c r="C13" s="3194"/>
      <c r="D13" s="3194"/>
    </row>
    <row r="14" spans="1:4" ht="15.75" customHeight="1">
      <c r="A14" s="3193" t="str">
        <f>IF(项目基本情况!B8="抵押","4.本次评估估价师所知悉的法定优先受偿款情况说明如下：","——")</f>
        <v>4.本次评估估价师所知悉的法定优先受偿款情况说明如下：</v>
      </c>
      <c r="B14" s="3194"/>
      <c r="C14" s="3194"/>
      <c r="D14" s="3194"/>
    </row>
    <row r="15" spans="1:4" ht="42" customHeight="1">
      <c r="A15" s="3193" t="str">
        <f>IF(项目基本情况!B8="抵押","（1）"&amp;CONCATENATE(项目基本情况!L20,项目基本情况!L21,项目基本情况!L22),"——")</f>
        <v>（1）根据估价对象《房屋所有权证》原件、《国有土地使用权》原件，截至价值时点，估价对象抵押权未见登记。</v>
      </c>
      <c r="B15" s="3193"/>
      <c r="C15" s="3193"/>
      <c r="D15" s="3193"/>
    </row>
    <row r="16" spans="1:4" ht="30" customHeight="1">
      <c r="A16" s="3196" t="s">
        <v>943</v>
      </c>
      <c r="B16" s="3196"/>
      <c r="C16" s="3196"/>
      <c r="D16" s="3196"/>
    </row>
    <row r="17" spans="1:4" ht="144" customHeight="1">
      <c r="A17" s="3196" t="s">
        <v>944</v>
      </c>
      <c r="B17" s="3196"/>
      <c r="C17" s="3196"/>
      <c r="D17" s="3196"/>
    </row>
    <row r="18" spans="1:4" ht="15.75" customHeight="1">
      <c r="A18" s="3193" t="str">
        <f>IF(项目基本情况!B8="抵押",结果表!K120,"——")</f>
        <v>故，本次评估不存在估价师知悉的法定优先受偿款</v>
      </c>
      <c r="B18" s="3193"/>
      <c r="C18" s="3193"/>
      <c r="D18" s="3193"/>
    </row>
    <row r="19" spans="1:4" ht="46.5" customHeight="1">
      <c r="A19" s="31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3"/>
      <c r="C19" s="3193"/>
      <c r="D19" s="3193"/>
    </row>
    <row r="20" spans="1:4" ht="57.75" customHeight="1">
      <c r="A20" s="31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3"/>
      <c r="C20" s="3193"/>
      <c r="D20" s="3193"/>
    </row>
    <row r="21" spans="1:4" ht="57.75" customHeight="1">
      <c r="A21" s="31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7"/>
      <c r="C21" s="3197"/>
      <c r="D21" s="3197"/>
    </row>
    <row r="22" spans="1:4" ht="18.75" customHeight="1">
      <c r="A22" s="3198" t="s">
        <v>945</v>
      </c>
      <c r="B22" s="3198"/>
      <c r="C22" s="3198"/>
      <c r="D22" s="3198"/>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95">
        <v>42551</v>
      </c>
      <c r="D31" s="319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04" t="s">
        <v>956</v>
      </c>
      <c r="B15" s="3199" t="s">
        <v>109</v>
      </c>
      <c r="C15" s="3200"/>
    </row>
    <row r="16" spans="1:7" ht="13.5">
      <c r="A16" s="3205"/>
      <c r="B16" s="3199" t="s">
        <v>42</v>
      </c>
      <c r="C16" s="3200"/>
    </row>
    <row r="17" spans="1:3" ht="13.5">
      <c r="A17" s="3205"/>
      <c r="B17" s="3202" t="s">
        <v>957</v>
      </c>
      <c r="C17" s="1429" t="s">
        <v>956</v>
      </c>
    </row>
    <row r="18" spans="1:3" ht="13.5">
      <c r="A18" s="3205"/>
      <c r="B18" s="3202"/>
      <c r="C18" s="1429" t="s">
        <v>958</v>
      </c>
    </row>
    <row r="19" spans="1:3" ht="13.5">
      <c r="A19" s="3205"/>
      <c r="B19" s="3202"/>
      <c r="C19" s="1429" t="s">
        <v>959</v>
      </c>
    </row>
    <row r="20" spans="1:3" ht="13.5">
      <c r="A20" s="3206"/>
      <c r="B20" s="3201" t="s">
        <v>960</v>
      </c>
      <c r="C20" s="3200"/>
    </row>
    <row r="21" spans="1:3" ht="13.5">
      <c r="A21" s="1430" t="s">
        <v>961</v>
      </c>
      <c r="B21" s="1431"/>
      <c r="C21" s="1432"/>
    </row>
    <row r="22" spans="1:3" ht="13.5">
      <c r="A22" s="3203" t="s">
        <v>962</v>
      </c>
      <c r="B22" s="3201" t="s">
        <v>963</v>
      </c>
      <c r="C22" s="3200"/>
    </row>
    <row r="23" spans="1:3" ht="13.5">
      <c r="A23" s="3203"/>
      <c r="B23" s="3201" t="s">
        <v>964</v>
      </c>
      <c r="C23" s="3200"/>
    </row>
    <row r="24" spans="1:3" ht="13.5">
      <c r="A24" s="3203"/>
      <c r="B24" s="3201" t="s">
        <v>965</v>
      </c>
      <c r="C24" s="3200"/>
    </row>
    <row r="25" spans="1:3" ht="13.5">
      <c r="A25" s="3203"/>
      <c r="B25" s="3202" t="s">
        <v>966</v>
      </c>
      <c r="C25" s="1429" t="s">
        <v>967</v>
      </c>
    </row>
    <row r="26" spans="1:3" ht="13.5">
      <c r="A26" s="3203"/>
      <c r="B26" s="3202"/>
      <c r="C26" s="1429" t="s">
        <v>968</v>
      </c>
    </row>
    <row r="27" spans="1:3" ht="13.5">
      <c r="A27" s="3203"/>
      <c r="B27" s="3202"/>
      <c r="C27" s="1429" t="s">
        <v>969</v>
      </c>
    </row>
    <row r="28" spans="1:3" ht="13.5">
      <c r="A28" s="3203"/>
      <c r="B28" s="3202"/>
      <c r="C28" s="1429" t="s">
        <v>970</v>
      </c>
    </row>
    <row r="29" spans="1:3" ht="13.5">
      <c r="A29" s="3203"/>
      <c r="B29" s="3202"/>
      <c r="C29" s="1429" t="s">
        <v>971</v>
      </c>
    </row>
    <row r="30" spans="1:3" ht="13.5">
      <c r="A30" s="3203"/>
      <c r="B30" s="3202"/>
      <c r="C30" s="1429" t="s">
        <v>972</v>
      </c>
    </row>
    <row r="31" spans="1:3" ht="13.5">
      <c r="A31" s="3203"/>
      <c r="B31" s="3202"/>
      <c r="C31" s="1429" t="s">
        <v>973</v>
      </c>
    </row>
    <row r="32" spans="1:3" ht="13.5">
      <c r="A32" s="3203"/>
      <c r="B32" s="3202"/>
      <c r="C32" s="1429" t="s">
        <v>974</v>
      </c>
    </row>
    <row r="33" spans="1:3" ht="13.5">
      <c r="A33" s="3203"/>
      <c r="B33" s="3202"/>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2138</v>
      </c>
      <c r="B2" s="2157">
        <f ca="1">TODAY()</f>
        <v>45103</v>
      </c>
      <c r="C2" s="2158" t="s">
        <v>2139</v>
      </c>
      <c r="D2" s="2158"/>
      <c r="E2" s="2158"/>
      <c r="F2" s="2154"/>
      <c r="G2" s="2154"/>
      <c r="H2" s="2154"/>
    </row>
    <row r="3" spans="1:8" ht="24" customHeight="1">
      <c r="A3" s="2159" t="s">
        <v>2140</v>
      </c>
      <c r="B3" s="1219" t="s">
        <v>2141</v>
      </c>
      <c r="C3" s="1219" t="s">
        <v>2142</v>
      </c>
      <c r="D3" s="2160" t="s">
        <v>2143</v>
      </c>
      <c r="E3" s="2161" t="s">
        <v>2144</v>
      </c>
      <c r="F3" s="1219" t="s">
        <v>2145</v>
      </c>
      <c r="G3" s="1219" t="s">
        <v>2142</v>
      </c>
      <c r="H3" s="2160" t="s">
        <v>2146</v>
      </c>
    </row>
    <row r="4" spans="1:8" ht="24" customHeight="1">
      <c r="A4" s="1219" t="s">
        <v>2147</v>
      </c>
      <c r="B4" s="1219">
        <f ca="1">IF(C4&lt;B2,"已过期",1119970066)</f>
        <v>1119970066</v>
      </c>
      <c r="C4" s="2162">
        <v>45937</v>
      </c>
      <c r="D4" s="2163" t="str">
        <f ca="1">A4&amp;"（注册号："&amp;B4&amp;"）"</f>
        <v>梁津（注册号：1119970066）</v>
      </c>
      <c r="E4" s="2164" t="s">
        <v>2147</v>
      </c>
      <c r="F4" s="1219">
        <f ca="1">IF(G4&lt;B2,"已过期",96010014)</f>
        <v>96010014</v>
      </c>
      <c r="G4" s="2165">
        <v>47118</v>
      </c>
      <c r="H4" s="2166" t="str">
        <f ca="1">E4&amp;"（注册号："&amp;F4&amp;"）"</f>
        <v>梁津（注册号：96010014）</v>
      </c>
    </row>
    <row r="5" spans="1:8" ht="24" customHeight="1">
      <c r="A5" s="1219" t="s">
        <v>2148</v>
      </c>
      <c r="B5" s="1219">
        <f ca="1">IF(C5&lt;B2,"已过期",1119970111)</f>
        <v>1119970111</v>
      </c>
      <c r="C5" s="2162">
        <v>45937</v>
      </c>
      <c r="D5" s="2163" t="str">
        <f t="shared" ref="D5:D15" ca="1" si="0">A5&amp;"（注册号："&amp;B5&amp;"）"</f>
        <v>叶凌（注册号：1119970111）</v>
      </c>
      <c r="E5" s="2164" t="s">
        <v>2148</v>
      </c>
      <c r="F5" s="1219">
        <f ca="1">IF(G5&lt;B2,"已过期",94010078)</f>
        <v>94010078</v>
      </c>
      <c r="G5" s="2165">
        <v>46387</v>
      </c>
      <c r="H5" s="2166" t="str">
        <f t="shared" ref="H5:H16" ca="1" si="1">E5&amp;"（注册号："&amp;F5&amp;"）"</f>
        <v>叶凌（注册号：94010078）</v>
      </c>
    </row>
    <row r="6" spans="1:8" ht="24" customHeight="1">
      <c r="A6" s="1219" t="s">
        <v>2149</v>
      </c>
      <c r="B6" s="1219">
        <f ca="1">IF(C6&lt;B2,"已过期",1120050019)</f>
        <v>1120050019</v>
      </c>
      <c r="C6" s="2162">
        <v>45410</v>
      </c>
      <c r="D6" s="2163" t="str">
        <f t="shared" ca="1" si="0"/>
        <v>王鹏（注册号：1120050019）</v>
      </c>
      <c r="E6" s="2164" t="s">
        <v>2149</v>
      </c>
      <c r="F6" s="1219">
        <f ca="1">IF(G6&lt;B2,"已过期",2002110030)</f>
        <v>2002110030</v>
      </c>
      <c r="G6" s="2165">
        <v>46387</v>
      </c>
      <c r="H6" s="2166" t="str">
        <f t="shared" ca="1" si="1"/>
        <v>王鹏（注册号：2002110030）</v>
      </c>
    </row>
    <row r="7" spans="1:8" ht="24" customHeight="1">
      <c r="A7" s="1219" t="s">
        <v>2150</v>
      </c>
      <c r="B7" s="1219">
        <f ca="1">IF(C7&lt;B2,"已过期",1120000080)</f>
        <v>1120000080</v>
      </c>
      <c r="C7" s="2162">
        <v>45937</v>
      </c>
      <c r="D7" s="2163" t="str">
        <f t="shared" ca="1" si="0"/>
        <v>欧红伟（注册号：1120000080）</v>
      </c>
      <c r="E7" s="2164" t="s">
        <v>2150</v>
      </c>
      <c r="F7" s="1219">
        <f ca="1">IF(G7&lt;B2,"已过期",2000110082)</f>
        <v>2000110082</v>
      </c>
      <c r="G7" s="2165">
        <v>46387</v>
      </c>
      <c r="H7" s="2166" t="str">
        <f t="shared" ca="1" si="1"/>
        <v>欧红伟（注册号：2000110082）</v>
      </c>
    </row>
    <row r="8" spans="1:8" ht="24" customHeight="1">
      <c r="A8" s="1219" t="s">
        <v>2151</v>
      </c>
      <c r="B8" s="1219">
        <f ca="1">IF(C8&lt;B2,"已过期",1419970001)</f>
        <v>1419970001</v>
      </c>
      <c r="C8" s="2162">
        <v>45937</v>
      </c>
      <c r="D8" s="2163" t="str">
        <f t="shared" ca="1" si="0"/>
        <v>吴薇（注册号：1419970001）</v>
      </c>
      <c r="E8" s="2164" t="s">
        <v>2151</v>
      </c>
      <c r="F8" s="1219">
        <f ca="1">IF(G8&lt;B2,"已过期",2002110125)</f>
        <v>2002110125</v>
      </c>
      <c r="G8" s="2165">
        <v>47118</v>
      </c>
      <c r="H8" s="2166" t="str">
        <f t="shared" ca="1" si="1"/>
        <v>吴薇（注册号：2002110125）</v>
      </c>
    </row>
    <row r="9" spans="1:8" ht="24" customHeight="1">
      <c r="A9" s="1219" t="s">
        <v>2152</v>
      </c>
      <c r="B9" s="1219">
        <f ca="1">IF(C9&lt;B2,"已过期",1120060040)</f>
        <v>1120060040</v>
      </c>
      <c r="C9" s="2167">
        <v>45592</v>
      </c>
      <c r="D9" s="2163" t="str">
        <f t="shared" ca="1" si="0"/>
        <v>陈颖（注册号：1120060040）</v>
      </c>
      <c r="E9" s="2164" t="s">
        <v>2152</v>
      </c>
      <c r="F9" s="1219">
        <f ca="1">IF(G9&lt;B2,"已过期",2004110096)</f>
        <v>2004110096</v>
      </c>
      <c r="G9" s="2165">
        <v>47118</v>
      </c>
      <c r="H9" s="2166" t="str">
        <f t="shared" ca="1" si="1"/>
        <v>陈颖（注册号：2004110096）</v>
      </c>
    </row>
    <row r="10" spans="1:8" ht="24" customHeight="1">
      <c r="A10" s="1219" t="s">
        <v>2153</v>
      </c>
      <c r="B10" s="1219">
        <f ca="1">IF(C10&lt;B2,"已过期",1120100036)</f>
        <v>1120100036</v>
      </c>
      <c r="C10" s="2167">
        <v>45752</v>
      </c>
      <c r="D10" s="2163" t="str">
        <f t="shared" ca="1" si="0"/>
        <v>崔锴（注册号：1120100036）</v>
      </c>
      <c r="E10" s="2164" t="s">
        <v>2153</v>
      </c>
      <c r="F10" s="1219">
        <f ca="1">IF(G10&lt;B2,"已过期",2010110070)</f>
        <v>2010110070</v>
      </c>
      <c r="G10" s="2165">
        <v>47907</v>
      </c>
      <c r="H10" s="2166" t="str">
        <f t="shared" ca="1" si="1"/>
        <v>崔锴（注册号：2010110070）</v>
      </c>
    </row>
    <row r="11" spans="1:8" ht="24" customHeight="1">
      <c r="A11" s="1219" t="s">
        <v>2154</v>
      </c>
      <c r="B11" s="1219">
        <f ca="1">IF(C11&lt;B2,"已过期",1120070131)</f>
        <v>1120070131</v>
      </c>
      <c r="C11" s="2162">
        <v>45937</v>
      </c>
      <c r="D11" s="2163" t="str">
        <f t="shared" ca="1" si="0"/>
        <v>郑燚（注册号：1120070131）</v>
      </c>
      <c r="E11" s="2164" t="s">
        <v>2154</v>
      </c>
      <c r="F11" s="1219">
        <f ca="1">IF(G11&lt;B2,"已过期",2014110011)</f>
        <v>2014110011</v>
      </c>
      <c r="G11" s="2165">
        <v>49302</v>
      </c>
      <c r="H11" s="2166" t="str">
        <f t="shared" ca="1" si="1"/>
        <v>郑燚（注册号：2014110011）</v>
      </c>
    </row>
    <row r="12" spans="1:8" ht="24" customHeight="1">
      <c r="A12" s="1219" t="s">
        <v>2155</v>
      </c>
      <c r="B12" s="1219">
        <f ca="1">IF(C12&lt;B2,"已过期",1120040230)</f>
        <v>1120040230</v>
      </c>
      <c r="C12" s="2167">
        <v>45937</v>
      </c>
      <c r="D12" s="2163" t="str">
        <f t="shared" ca="1" si="0"/>
        <v>苏海（注册号：1120040230）</v>
      </c>
      <c r="E12" s="2164" t="s">
        <v>2155</v>
      </c>
      <c r="F12" s="1219">
        <f ca="1">IF(G12&lt;B2,"已过期",98030020)</f>
        <v>98030020</v>
      </c>
      <c r="G12" s="2165">
        <v>47118</v>
      </c>
      <c r="H12" s="2166" t="str">
        <f t="shared" ca="1" si="1"/>
        <v>苏海（注册号：98030020）</v>
      </c>
    </row>
    <row r="13" spans="1:8" ht="24" customHeight="1">
      <c r="A13" s="1219" t="s">
        <v>2156</v>
      </c>
      <c r="B13" s="1219">
        <f ca="1">IF(C13&lt;B2,"已过期",1120020033)</f>
        <v>1120020033</v>
      </c>
      <c r="C13" s="2162">
        <v>45375</v>
      </c>
      <c r="D13" s="2163" t="str">
        <f t="shared" ca="1" si="0"/>
        <v>刘敬东（注册号：1120020033）</v>
      </c>
      <c r="E13" s="2164" t="s">
        <v>2156</v>
      </c>
      <c r="F13" s="1219">
        <f ca="1">IF(G13&lt;B2,"已过期",2000110137)</f>
        <v>2000110137</v>
      </c>
      <c r="G13" s="2165">
        <v>46387</v>
      </c>
      <c r="H13" s="2166" t="str">
        <f t="shared" ca="1" si="1"/>
        <v>刘敬东（注册号：2000110137）</v>
      </c>
    </row>
    <row r="14" spans="1:8" ht="24" customHeight="1">
      <c r="A14" s="1219" t="s">
        <v>2157</v>
      </c>
      <c r="B14" s="1219" t="str">
        <f ca="1">IF(C14&lt;B2,"已过期",1119980106)</f>
        <v>已过期</v>
      </c>
      <c r="C14" s="2167">
        <v>44969</v>
      </c>
      <c r="D14" s="2163" t="str">
        <f t="shared" ca="1" si="0"/>
        <v>刘俊财（注册号：已过期）</v>
      </c>
      <c r="E14" s="2164" t="s">
        <v>2157</v>
      </c>
      <c r="F14" s="1219">
        <f ca="1">IF(G14&lt;B2,"已过期",96010063)</f>
        <v>96010063</v>
      </c>
      <c r="G14" s="2165">
        <v>47483</v>
      </c>
      <c r="H14" s="2166" t="str">
        <f t="shared" ca="1" si="1"/>
        <v>刘俊财（注册号：96010063）</v>
      </c>
    </row>
    <row r="15" spans="1:8" ht="24" customHeight="1">
      <c r="A15" s="1219" t="s">
        <v>2435</v>
      </c>
      <c r="B15" s="1219">
        <v>1120210056</v>
      </c>
      <c r="C15" s="2167">
        <v>45410</v>
      </c>
      <c r="D15" s="2163" t="str">
        <f t="shared" si="0"/>
        <v>宁小鳗（注册号：1120210056）</v>
      </c>
      <c r="E15" s="2164" t="s">
        <v>2158</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7" t="s">
        <v>2159</v>
      </c>
      <c r="B17" s="3207"/>
      <c r="C17" s="3207"/>
      <c r="D17" s="3207"/>
      <c r="E17" s="3207"/>
      <c r="F17" s="3207"/>
      <c r="G17" s="3207"/>
      <c r="H17" s="3207"/>
    </row>
    <row r="18" spans="1:8" ht="24" customHeight="1">
      <c r="A18" s="3208" t="s">
        <v>2160</v>
      </c>
      <c r="B18" s="3208"/>
      <c r="C18" s="3208"/>
      <c r="D18" s="2160"/>
      <c r="E18" s="3209" t="s">
        <v>2161</v>
      </c>
      <c r="F18" s="3208"/>
      <c r="G18" s="3208"/>
    </row>
    <row r="19" spans="1:8" s="2170" customFormat="1" ht="24" customHeight="1">
      <c r="A19" s="2169" t="s">
        <v>2162</v>
      </c>
      <c r="B19" s="1219" t="s">
        <v>2163</v>
      </c>
      <c r="C19" s="1219" t="s">
        <v>2142</v>
      </c>
      <c r="D19" s="2160"/>
      <c r="E19" s="2164" t="s">
        <v>2162</v>
      </c>
      <c r="F19" s="1219" t="s">
        <v>2163</v>
      </c>
      <c r="G19" s="1219" t="s">
        <v>2142</v>
      </c>
    </row>
    <row r="20" spans="1:8" s="2170" customFormat="1" ht="24" customHeight="1">
      <c r="A20" s="2171" t="s">
        <v>2164</v>
      </c>
      <c r="B20" s="2171" t="s">
        <v>2165</v>
      </c>
      <c r="C20" s="2165">
        <v>45898</v>
      </c>
      <c r="D20" s="2172"/>
      <c r="E20" s="2173" t="s">
        <v>2166</v>
      </c>
      <c r="F20" s="2176" t="s">
        <v>2436</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D16 C4:D5 D7:D12 C13:D13 C12">
    <cfRule type="expression" dxfId="197" priority="53">
      <formula>AND($C4-TODAY()&lt;30,TODAY()&lt;$C4)</formula>
    </cfRule>
  </conditionalFormatting>
  <conditionalFormatting sqref="C20:D20">
    <cfRule type="expression" dxfId="196" priority="52">
      <formula>AND($C20-TODAY()&lt;30,TODAY()&lt;$C20)</formula>
    </cfRule>
  </conditionalFormatting>
  <conditionalFormatting sqref="C20:D20 G4 C4:D5 C13:D13">
    <cfRule type="cellIs" dxfId="195" priority="54" stopIfTrue="1" operator="lessThan">
      <formula>$B$2</formula>
    </cfRule>
  </conditionalFormatting>
  <conditionalFormatting sqref="G5 G7 G9">
    <cfRule type="cellIs" dxfId="194" priority="51" stopIfTrue="1" operator="lessThan">
      <formula>$B$2</formula>
    </cfRule>
  </conditionalFormatting>
  <conditionalFormatting sqref="C6:D6 D14 D16">
    <cfRule type="expression" dxfId="193" priority="49">
      <formula>AND($C6-TODAY()&lt;30,TODAY()&lt;$C6)</formula>
    </cfRule>
  </conditionalFormatting>
  <conditionalFormatting sqref="G6 G8 G10 C6:D6 D7:D12 D14 D16">
    <cfRule type="cellIs" dxfId="192" priority="50" stopIfTrue="1" operator="lessThan">
      <formula>$B$2</formula>
    </cfRule>
  </conditionalFormatting>
  <conditionalFormatting sqref="D12">
    <cfRule type="expression" dxfId="191" priority="47">
      <formula>AND($C12-TODAY()&lt;30,TODAY()&lt;$C12)</formula>
    </cfRule>
  </conditionalFormatting>
  <conditionalFormatting sqref="D12">
    <cfRule type="cellIs" dxfId="190" priority="48" stopIfTrue="1" operator="lessThan">
      <formula>$B$2</formula>
    </cfRule>
  </conditionalFormatting>
  <conditionalFormatting sqref="C13:D13">
    <cfRule type="expression" dxfId="189" priority="45">
      <formula>AND($C13-TODAY()&lt;30,TODAY()&lt;$C13)</formula>
    </cfRule>
  </conditionalFormatting>
  <conditionalFormatting sqref="C13:D13">
    <cfRule type="cellIs" dxfId="188" priority="46" stopIfTrue="1" operator="lessThan">
      <formula>$B$2</formula>
    </cfRule>
  </conditionalFormatting>
  <conditionalFormatting sqref="D14">
    <cfRule type="expression" dxfId="187" priority="43">
      <formula>AND($C14-TODAY()&lt;30,TODAY()&lt;$C14)</formula>
    </cfRule>
  </conditionalFormatting>
  <conditionalFormatting sqref="D14">
    <cfRule type="cellIs" dxfId="186" priority="44" stopIfTrue="1" operator="lessThan">
      <formula>$B$2</formula>
    </cfRule>
  </conditionalFormatting>
  <conditionalFormatting sqref="G13">
    <cfRule type="cellIs" dxfId="185" priority="42" stopIfTrue="1" operator="lessThan">
      <formula>$B$2</formula>
    </cfRule>
  </conditionalFormatting>
  <conditionalFormatting sqref="B4:B11 F4:F11 B13 F13:F14">
    <cfRule type="cellIs" dxfId="184" priority="41" stopIfTrue="1" operator="equal">
      <formula>"已过期"</formula>
    </cfRule>
  </conditionalFormatting>
  <conditionalFormatting sqref="C7">
    <cfRule type="cellIs" dxfId="183" priority="38" stopIfTrue="1" operator="lessThan">
      <formula>$B$2</formula>
    </cfRule>
  </conditionalFormatting>
  <conditionalFormatting sqref="C7">
    <cfRule type="expression" dxfId="182" priority="37">
      <formula>AND($C7-TODAY()&lt;30,TODAY()&lt;$C7)</formula>
    </cfRule>
  </conditionalFormatting>
  <conditionalFormatting sqref="C8">
    <cfRule type="expression" dxfId="181" priority="35">
      <formula>AND($C8-TODAY()&lt;30,TODAY()&lt;$C8)</formula>
    </cfRule>
  </conditionalFormatting>
  <conditionalFormatting sqref="C8">
    <cfRule type="cellIs" dxfId="180" priority="36" stopIfTrue="1" operator="lessThan">
      <formula>$B$2</formula>
    </cfRule>
  </conditionalFormatting>
  <conditionalFormatting sqref="C11">
    <cfRule type="expression" dxfId="179" priority="33">
      <formula>AND($C11-TODAY()&lt;30,TODAY()&lt;$C11)</formula>
    </cfRule>
  </conditionalFormatting>
  <conditionalFormatting sqref="C11">
    <cfRule type="cellIs" dxfId="178" priority="34" stopIfTrue="1" operator="lessThan">
      <formula>$B$2</formula>
    </cfRule>
  </conditionalFormatting>
  <conditionalFormatting sqref="A16:C16">
    <cfRule type="cellIs" dxfId="177" priority="32" stopIfTrue="1" operator="equal">
      <formula>"已过期"</formula>
    </cfRule>
  </conditionalFormatting>
  <conditionalFormatting sqref="E16:G16">
    <cfRule type="cellIs" dxfId="176" priority="31" stopIfTrue="1" operator="equal">
      <formula>"已过期"</formula>
    </cfRule>
  </conditionalFormatting>
  <conditionalFormatting sqref="G11">
    <cfRule type="cellIs" dxfId="175" priority="30" stopIfTrue="1" operator="lessThan">
      <formula>$B$2</formula>
    </cfRule>
  </conditionalFormatting>
  <conditionalFormatting sqref="F12">
    <cfRule type="cellIs" dxfId="174" priority="29" stopIfTrue="1" operator="equal">
      <formula>"已过期"</formula>
    </cfRule>
  </conditionalFormatting>
  <conditionalFormatting sqref="G12">
    <cfRule type="cellIs" dxfId="173" priority="28" stopIfTrue="1" operator="lessThan">
      <formula>$B$2</formula>
    </cfRule>
  </conditionalFormatting>
  <conditionalFormatting sqref="C12">
    <cfRule type="cellIs" dxfId="172" priority="27" stopIfTrue="1" operator="lessThan">
      <formula>$B$2</formula>
    </cfRule>
  </conditionalFormatting>
  <conditionalFormatting sqref="C12">
    <cfRule type="expression" dxfId="171" priority="25">
      <formula>AND($C12-TODAY()&lt;30,TODAY()&lt;$C12)</formula>
    </cfRule>
  </conditionalFormatting>
  <conditionalFormatting sqref="C12">
    <cfRule type="cellIs" dxfId="170" priority="26" stopIfTrue="1" operator="lessThan">
      <formula>$B$2</formula>
    </cfRule>
  </conditionalFormatting>
  <conditionalFormatting sqref="B12">
    <cfRule type="cellIs" dxfId="169" priority="24" stopIfTrue="1" operator="equal">
      <formula>"已过期"</formula>
    </cfRule>
  </conditionalFormatting>
  <conditionalFormatting sqref="C9:C10">
    <cfRule type="expression" dxfId="168" priority="22">
      <formula>AND($C9-TODAY()&lt;30,TODAY()&lt;$C9)</formula>
    </cfRule>
  </conditionalFormatting>
  <conditionalFormatting sqref="C9:C10">
    <cfRule type="cellIs" dxfId="167" priority="23" stopIfTrue="1" operator="lessThan">
      <formula>$B$2</formula>
    </cfRule>
  </conditionalFormatting>
  <conditionalFormatting sqref="G21">
    <cfRule type="expression" dxfId="166" priority="20" stopIfTrue="1">
      <formula>AND(#REF!-TODAY()&lt;30,TODAY()&lt;#REF!)</formula>
    </cfRule>
  </conditionalFormatting>
  <conditionalFormatting sqref="G21">
    <cfRule type="cellIs" dxfId="165" priority="21" stopIfTrue="1" operator="lessThan">
      <formula>$B$2</formula>
    </cfRule>
  </conditionalFormatting>
  <conditionalFormatting sqref="C14">
    <cfRule type="expression" dxfId="164" priority="18">
      <formula>AND($C14-TODAY()&lt;30,TODAY()&lt;$C14)</formula>
    </cfRule>
  </conditionalFormatting>
  <conditionalFormatting sqref="C14">
    <cfRule type="cellIs" dxfId="163" priority="19" stopIfTrue="1" operator="lessThan">
      <formula>$B$2</formula>
    </cfRule>
  </conditionalFormatting>
  <conditionalFormatting sqref="C14">
    <cfRule type="expression" dxfId="162" priority="16">
      <formula>AND($C14-TODAY()&lt;30,TODAY()&lt;$C14)</formula>
    </cfRule>
  </conditionalFormatting>
  <conditionalFormatting sqref="C14">
    <cfRule type="cellIs" dxfId="161" priority="17" stopIfTrue="1" operator="lessThan">
      <formula>$B$2</formula>
    </cfRule>
  </conditionalFormatting>
  <conditionalFormatting sqref="B14">
    <cfRule type="cellIs" dxfId="160" priority="15" stopIfTrue="1" operator="equal">
      <formula>"已过期"</formula>
    </cfRule>
  </conditionalFormatting>
  <conditionalFormatting sqref="G14">
    <cfRule type="cellIs" dxfId="159" priority="14" stopIfTrue="1" operator="lessThan">
      <formula>$B$2</formula>
    </cfRule>
  </conditionalFormatting>
  <conditionalFormatting sqref="D15">
    <cfRule type="expression" dxfId="158" priority="12">
      <formula>AND($C15-TODAY()&lt;30,TODAY()&lt;$C15)</formula>
    </cfRule>
  </conditionalFormatting>
  <conditionalFormatting sqref="D15">
    <cfRule type="cellIs" dxfId="157" priority="13" stopIfTrue="1" operator="lessThan">
      <formula>$B$2</formula>
    </cfRule>
  </conditionalFormatting>
  <conditionalFormatting sqref="D15">
    <cfRule type="expression" dxfId="156" priority="10">
      <formula>AND($C15-TODAY()&lt;30,TODAY()&lt;$C15)</formula>
    </cfRule>
  </conditionalFormatting>
  <conditionalFormatting sqref="D15">
    <cfRule type="cellIs" dxfId="155" priority="11" stopIfTrue="1" operator="lessThan">
      <formula>$B$2</formula>
    </cfRule>
  </conditionalFormatting>
  <conditionalFormatting sqref="F15">
    <cfRule type="cellIs" dxfId="154" priority="9" stopIfTrue="1" operator="equal">
      <formula>"已过期"</formula>
    </cfRule>
  </conditionalFormatting>
  <conditionalFormatting sqref="C15">
    <cfRule type="expression" dxfId="153" priority="7">
      <formula>AND($C15-TODAY()&lt;30,TODAY()&lt;$C15)</formula>
    </cfRule>
  </conditionalFormatting>
  <conditionalFormatting sqref="C15">
    <cfRule type="cellIs" dxfId="152" priority="8" stopIfTrue="1" operator="lessThan">
      <formula>$B$2</formula>
    </cfRule>
  </conditionalFormatting>
  <conditionalFormatting sqref="C15">
    <cfRule type="expression" dxfId="151" priority="5">
      <formula>AND($C15-TODAY()&lt;30,TODAY()&lt;$C15)</formula>
    </cfRule>
  </conditionalFormatting>
  <conditionalFormatting sqref="C15">
    <cfRule type="cellIs" dxfId="150" priority="6" stopIfTrue="1" operator="lessThan">
      <formula>$B$2</formula>
    </cfRule>
  </conditionalFormatting>
  <conditionalFormatting sqref="B15">
    <cfRule type="cellIs" dxfId="149" priority="4" stopIfTrue="1" operator="equal">
      <formula>"已过期"</formula>
    </cfRule>
  </conditionalFormatting>
  <conditionalFormatting sqref="G15">
    <cfRule type="cellIs" dxfId="148" priority="3" stopIfTrue="1" operator="lessThan">
      <formula>$B$2</formula>
    </cfRule>
  </conditionalFormatting>
  <conditionalFormatting sqref="G20">
    <cfRule type="expression" dxfId="147" priority="1" stopIfTrue="1">
      <formula>AND(#REF!-TODAY()&lt;30,TODAY()&lt;#REF!)</formula>
    </cfRule>
  </conditionalFormatting>
  <conditionalFormatting sqref="G20">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Sheet1</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收益法-未出租</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'收益法-未出租'!Print_Area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2023-06-26T04:42:25Z</dcterms:modified>
</cp:coreProperties>
</file>