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丰市\"/>
    </mc:Choice>
  </mc:AlternateContent>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土地信息" sheetId="68"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8" i="12" l="1"/>
  <c r="F27" i="39"/>
  <c r="AA27" i="39"/>
  <c r="D83" i="39"/>
  <c r="F13" i="39"/>
  <c r="AA13" i="39"/>
  <c r="D73" i="39"/>
  <c r="E73" i="39"/>
  <c r="F73" i="39"/>
  <c r="G73" i="39"/>
  <c r="H73" i="39"/>
  <c r="I73" i="39"/>
  <c r="F9" i="39"/>
  <c r="AA9" i="39"/>
  <c r="R49" i="39"/>
  <c r="H27" i="39"/>
  <c r="AB27" i="39"/>
  <c r="E83" i="39"/>
  <c r="H13" i="39"/>
  <c r="AB13" i="39"/>
  <c r="H9" i="39"/>
  <c r="AB9" i="39"/>
  <c r="T49" i="39"/>
  <c r="J27" i="39"/>
  <c r="AC27" i="39"/>
  <c r="J13" i="39"/>
  <c r="AC13" i="39"/>
  <c r="J9" i="39"/>
  <c r="AC9" i="39"/>
  <c r="V49" i="39"/>
  <c r="R50" i="39"/>
  <c r="C49" i="39"/>
  <c r="E51" i="39"/>
  <c r="F51" i="39"/>
  <c r="I48" i="39"/>
  <c r="G48" i="39"/>
  <c r="E48" i="39"/>
  <c r="I40" i="39"/>
  <c r="G40" i="39"/>
  <c r="E40" i="39"/>
  <c r="I13" i="39"/>
  <c r="G13" i="39"/>
  <c r="E13" i="39"/>
  <c r="I9" i="39"/>
  <c r="G9" i="39"/>
  <c r="E9" i="39"/>
  <c r="N6" i="69"/>
  <c r="N5" i="69"/>
  <c r="N4" i="69"/>
  <c r="F8" i="68"/>
  <c r="G8" i="68"/>
  <c r="R48" i="39"/>
  <c r="F40" i="39"/>
  <c r="AA40" i="39"/>
  <c r="D91" i="39"/>
  <c r="E91" i="39"/>
  <c r="F17" i="39"/>
  <c r="AA17" i="39"/>
  <c r="D101" i="39"/>
  <c r="D103" i="39"/>
  <c r="E103" i="39"/>
  <c r="F29" i="39"/>
  <c r="AA29" i="39"/>
  <c r="T48" i="39"/>
  <c r="H40" i="39"/>
  <c r="AB40" i="39"/>
  <c r="H17" i="39"/>
  <c r="AB17" i="39"/>
  <c r="H23" i="39"/>
  <c r="AB23" i="39"/>
  <c r="H29" i="39"/>
  <c r="AB29" i="39"/>
  <c r="V48" i="39"/>
  <c r="J40" i="39"/>
  <c r="AC40" i="39"/>
  <c r="J17" i="39"/>
  <c r="AC17" i="39"/>
  <c r="J23" i="39"/>
  <c r="AC23" i="39"/>
  <c r="J29" i="39"/>
  <c r="AC29" i="39"/>
  <c r="C50" i="39"/>
  <c r="B58" i="39"/>
  <c r="F58" i="39"/>
  <c r="B59" i="39"/>
  <c r="F59" i="39"/>
  <c r="B60" i="39"/>
  <c r="F60" i="39"/>
  <c r="B61" i="39"/>
  <c r="F61" i="39"/>
  <c r="B62" i="39"/>
  <c r="F62" i="39"/>
  <c r="B63" i="39"/>
  <c r="F63" i="39"/>
  <c r="B64" i="39"/>
  <c r="F64" i="39"/>
  <c r="B65" i="39"/>
  <c r="F65" i="39"/>
  <c r="B66" i="39"/>
  <c r="F66" i="39"/>
  <c r="B67" i="39"/>
  <c r="F67" i="39"/>
  <c r="F68" i="39"/>
  <c r="B2" i="39"/>
  <c r="C19" i="9"/>
  <c r="M6" i="1"/>
  <c r="O6" i="1"/>
  <c r="P6" i="1"/>
  <c r="P16" i="1"/>
  <c r="C13" i="12"/>
  <c r="C14" i="12"/>
  <c r="F15" i="12"/>
  <c r="C15" i="12"/>
  <c r="D16" i="12"/>
  <c r="E16" i="12"/>
  <c r="C16" i="12"/>
  <c r="C17" i="12"/>
  <c r="C18" i="12"/>
  <c r="D19" i="12"/>
  <c r="C19" i="12"/>
  <c r="D21" i="12"/>
  <c r="E21" i="12"/>
  <c r="C21" i="12"/>
  <c r="D22" i="12"/>
  <c r="C22" i="12"/>
  <c r="C20" i="12"/>
  <c r="C23" i="12"/>
  <c r="I5" i="65"/>
  <c r="I1" i="65"/>
  <c r="I4" i="65"/>
  <c r="E2" i="65"/>
  <c r="B40" i="1"/>
  <c r="F26" i="12"/>
  <c r="C10" i="12"/>
  <c r="C6" i="12"/>
  <c r="C24" i="12"/>
  <c r="C28" i="12"/>
  <c r="C26" i="12"/>
  <c r="C29" i="12"/>
  <c r="C31" i="12"/>
  <c r="C30" i="12"/>
  <c r="Q16" i="1"/>
  <c r="F33" i="12"/>
  <c r="C35" i="12"/>
  <c r="C33" i="12"/>
  <c r="C27" i="12"/>
  <c r="D26" i="12"/>
  <c r="C32" i="12"/>
  <c r="D30" i="12"/>
  <c r="C34" i="12"/>
  <c r="D33" i="12"/>
  <c r="C36" i="12"/>
  <c r="B2" i="12"/>
  <c r="D19" i="9"/>
  <c r="C17" i="9"/>
  <c r="D17" i="9"/>
  <c r="C18" i="9"/>
  <c r="D18" i="9"/>
  <c r="G19" i="9"/>
  <c r="F3" i="68"/>
  <c r="G3" i="68"/>
  <c r="B4" i="39"/>
  <c r="C21" i="9"/>
  <c r="B4" i="12"/>
  <c r="D21" i="9"/>
  <c r="G21" i="9"/>
  <c r="B4" i="68"/>
  <c r="C40" i="39"/>
  <c r="C13" i="39"/>
  <c r="J73" i="39"/>
  <c r="K73" i="39"/>
  <c r="L73" i="39"/>
  <c r="M73" i="39"/>
  <c r="N73" i="39"/>
  <c r="F19" i="6"/>
  <c r="I13" i="3"/>
  <c r="D3" i="4"/>
  <c r="M3" i="69"/>
  <c r="M4" i="69"/>
  <c r="M5" i="69"/>
  <c r="M6" i="69"/>
  <c r="M7" i="69"/>
  <c r="M8" i="69"/>
  <c r="M9" i="69"/>
  <c r="M10" i="69"/>
  <c r="M11" i="69"/>
  <c r="M12" i="69"/>
  <c r="M13" i="69"/>
  <c r="M14" i="69"/>
  <c r="M15" i="69"/>
  <c r="M16" i="69"/>
  <c r="M2" i="69"/>
  <c r="G3" i="69"/>
  <c r="G4" i="69"/>
  <c r="G5" i="69"/>
  <c r="G6" i="69"/>
  <c r="G7" i="69"/>
  <c r="G8" i="69"/>
  <c r="G9" i="69"/>
  <c r="G10" i="69"/>
  <c r="G11" i="69"/>
  <c r="G12" i="69"/>
  <c r="G13" i="69"/>
  <c r="G14" i="69"/>
  <c r="G15" i="69"/>
  <c r="G16" i="69"/>
  <c r="G2" i="69"/>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F14" i="12"/>
  <c r="F17" i="12"/>
  <c r="E19" i="12"/>
  <c r="E22"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AE6" i="1"/>
  <c r="W18" i="36"/>
  <c r="AC18" i="36"/>
  <c r="AG6" i="1"/>
  <c r="D12" i="11"/>
  <c r="C12" i="11"/>
  <c r="L20" i="6"/>
  <c r="AZ5" i="3"/>
  <c r="E3" i="6"/>
  <c r="D16" i="43"/>
  <c r="C16" i="43"/>
  <c r="L19" i="6"/>
  <c r="L27" i="6"/>
  <c r="B21" i="55"/>
  <c r="B72" i="63"/>
  <c r="B20" i="55"/>
  <c r="B70" i="63"/>
  <c r="S7" i="1"/>
  <c r="S6" i="1"/>
  <c r="S8" i="1"/>
  <c r="S9" i="1"/>
  <c r="E6" i="6"/>
  <c r="L38" i="9"/>
  <c r="B14" i="66"/>
  <c r="B1" i="66"/>
  <c r="C45" i="9"/>
  <c r="H14" i="66"/>
  <c r="B7" i="66"/>
  <c r="C7" i="66"/>
  <c r="R9" i="1"/>
  <c r="R7" i="1"/>
  <c r="R8" i="1"/>
  <c r="M19" i="6"/>
  <c r="I19" i="6"/>
  <c r="H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F43" i="44"/>
  <c r="B3" i="12"/>
  <c r="D20" i="9"/>
  <c r="F26" i="15"/>
  <c r="M30" i="44"/>
  <c r="F38" i="44"/>
  <c r="M21" i="15"/>
  <c r="E11" i="67"/>
  <c r="F10" i="44"/>
  <c r="N7" i="65"/>
  <c r="F42" i="15"/>
  <c r="F43" i="15"/>
  <c r="B10" i="67"/>
  <c r="E10" i="67"/>
  <c r="F7" i="15"/>
  <c r="F9" i="15"/>
  <c r="F11" i="44"/>
  <c r="E9" i="67"/>
  <c r="M22" i="15"/>
  <c r="N6" i="65"/>
  <c r="M28" i="15"/>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C32" i="9"/>
  <c r="N43" i="9"/>
  <c r="Q54" i="44"/>
  <c r="F1" i="44"/>
  <c r="F13" i="44"/>
  <c r="C12" i="44"/>
  <c r="C7" i="44"/>
  <c r="M11" i="15"/>
  <c r="J10" i="15"/>
  <c r="J5" i="15"/>
  <c r="F11" i="15"/>
  <c r="M13" i="44"/>
  <c r="J12" i="44"/>
  <c r="J7" i="44"/>
  <c r="F1" i="15"/>
  <c r="Q53" i="15"/>
  <c r="Q75" i="15"/>
  <c r="Q62" i="15"/>
  <c r="Q75" i="44"/>
  <c r="Q62" i="44"/>
  <c r="E3" i="65"/>
  <c r="G52" i="21"/>
  <c r="H52" i="21"/>
  <c r="G53" i="21"/>
  <c r="H53" i="21"/>
  <c r="F70" i="39"/>
  <c r="E72" i="39"/>
  <c r="AA7" i="21"/>
  <c r="R48"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M14" i="1"/>
  <c r="K27" i="6"/>
  <c r="E63" i="40"/>
  <c r="C22" i="4"/>
  <c r="D19" i="6"/>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10" i="15"/>
  <c r="C5" i="15"/>
  <c r="C42" i="9"/>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D14" i="66"/>
  <c r="N68" i="9"/>
  <c r="D63"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O79"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<sst xmlns="http://schemas.openxmlformats.org/spreadsheetml/2006/main" count="6973" uniqueCount="3085">
  <si>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</si>
  <si>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</si>
  <si>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</si>
  <si>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</si>
  <si>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</si>
  <si>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</si>
  <si>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</si>
  <si>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</si>
  <si>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</si>
  <si>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</si>
  <si>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</si>
  <si>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</si>
  <si>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</si>
  <si>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</si>
  <si>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</si>
  <si>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</si>
  <si>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</si>
  <si>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</si>
  <si>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</si>
  <si>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</si>
  <si>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</si>
  <si>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</si>
  <si>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</si>
  <si>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</si>
  <si>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</si>
  <si>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</si>
  <si>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</si>
  <si>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</si>
  <si>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</si>
  <si>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</si>
  <si>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</si>
  <si>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</si>
  <si>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</si>
  <si>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</si>
  <si>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</si>
  <si>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</si>
  <si>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</si>
  <si>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</si>
  <si>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</si>
  <si>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</si>
  <si>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</si>
  <si>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</si>
  <si>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</si>
  <si>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</si>
  <si>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</si>
  <si>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</si>
  <si>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</si>
  <si>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</si>
  <si>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</si>
  <si>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</si>
  <si>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</si>
  <si>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</si>
  <si>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</si>
  <si>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</si>
  <si>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</si>
  <si>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</si>
  <si>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</si>
  <si>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</si>
  <si>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</si>
  <si>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</si>
  <si>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</si>
  <si>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</si>
  <si>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</si>
  <si>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</si>
  <si>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</si>
  <si>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</si>
  <si>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</si>
  <si>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</si>
  <si>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</si>
  <si>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</si>
  <si>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</si>
  <si>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</si>
  <si>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</si>
  <si>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</si>
  <si>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</si>
  <si>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</si>
  <si>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</si>
  <si>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</si>
  <si>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</si>
  <si>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</si>
  <si>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</si>
  <si>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</si>
  <si>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</si>
  <si>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</si>
  <si>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</si>
  <si>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</si>
  <si>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</si>
  <si>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</si>
  <si>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</si>
  <si>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</si>
  <si>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</si>
  <si>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</si>
  <si>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</si>
  <si>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</si>
  <si>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</si>
  <si>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</si>
  <si>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</si>
  <si>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</si>
  <si>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</si>
  <si>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</si>
  <si>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</si>
  <si>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</si>
  <si>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</si>
  <si>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</si>
  <si>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</si>
  <si>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</si>
  <si>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</si>
  <si>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</si>
  <si>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</si>
  <si>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</si>
  <si>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</si>
  <si>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</si>
  <si>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</si>
  <si>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</si>
  <si>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</si>
  <si>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</si>
  <si>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</si>
  <si>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</si>
  <si>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</si>
  <si>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</si>
  <si>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</si>
  <si>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</si>
  <si>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</si>
  <si>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</si>
  <si>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</si>
  <si>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</si>
  <si>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</si>
  <si>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</si>
  <si>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</si>
  <si>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</si>
  <si>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</si>
  <si>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</si>
  <si>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</si>
  <si>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</si>
  <si>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</si>
  <si>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</si>
  <si>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</si>
  <si>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</si>
  <si>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</si>
  <si>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</si>
  <si>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</si>
  <si>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</si>
  <si>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</si>
  <si>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</si>
  <si>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</si>
  <si>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</si>
  <si>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</si>
  <si>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</si>
  <si>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</si>
  <si>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</si>
  <si>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</si>
  <si>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</si>
  <si>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</si>
  <si>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</si>
  <si>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</si>
  <si>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</si>
  <si>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</si>
  <si>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</si>
  <si>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</si>
  <si>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</si>
  <si>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</si>
  <si>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</si>
  <si>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</si>
  <si>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</si>
  <si>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</si>
  <si>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</si>
  <si>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</si>
  <si>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</si>
  <si>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</si>
  <si>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</si>
  <si>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</si>
  <si>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</si>
  <si>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</si>
  <si>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</si>
  <si>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</si>
  <si>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</si>
  <si>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</si>
  <si>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</si>
  <si>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</si>
  <si>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</si>
  <si>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</si>
  <si>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</si>
  <si>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</si>
  <si>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</si>
  <si>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</si>
  <si>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</si>
  <si>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</si>
  <si>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</si>
  <si>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</si>
  <si>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</si>
  <si>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</si>
  <si>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</si>
  <si>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</si>
  <si>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</si>
  <si>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</si>
  <si>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</si>
  <si>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</si>
  <si>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</si>
  <si>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</si>
  <si>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</si>
  <si>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</si>
  <si>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</si>
  <si>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</si>
  <si>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</si>
  <si>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</si>
  <si>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</si>
  <si>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</si>
  <si>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</si>
  <si>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</si>
  <si>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</si>
  <si>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</si>
  <si>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</si>
  <si>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</si>
  <si>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</si>
  <si>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</si>
  <si>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</si>
  <si>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</si>
  <si>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</si>
  <si>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</si>
  <si>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</si>
  <si>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</si>
  <si>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</si>
  <si>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</si>
  <si>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</si>
  <si>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</si>
  <si>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</si>
  <si>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</si>
  <si>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</si>
  <si>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</si>
  <si>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</si>
  <si>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</si>
  <si>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</si>
  <si>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</si>
  <si>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</si>
  <si>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</si>
  <si>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</si>
  <si>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</si>
  <si>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</si>
  <si>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</si>
  <si>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</si>
  <si>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</si>
  <si>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</si>
  <si>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</si>
  <si>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</si>
  <si>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</si>
  <si>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</si>
  <si>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</si>
  <si>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</si>
  <si>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</si>
  <si>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</si>
  <si>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</si>
  <si>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</si>
  <si>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</si>
  <si>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</si>
  <si>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</si>
  <si>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</si>
  <si>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</si>
  <si>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</si>
  <si>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</si>
  <si>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</si>
  <si>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</si>
  <si>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</si>
  <si>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</si>
  <si>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</si>
  <si>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</si>
  <si>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</si>
  <si>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</si>
  <si>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</si>
  <si>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</si>
  <si>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</si>
  <si>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</si>
  <si>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</si>
  <si>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</si>
  <si>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</si>
  <si>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</si>
  <si>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</si>
  <si>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</si>
  <si>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</si>
  <si>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</si>
  <si>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</si>
  <si>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</si>
  <si>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</si>
  <si>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</si>
  <si>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</si>
  <si>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</si>
  <si>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</si>
  <si>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</si>
  <si>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</si>
  <si>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</si>
  <si>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</si>
  <si>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</si>
  <si>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</si>
  <si>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</si>
  <si>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</si>
  <si>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</si>
  <si>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</si>
  <si>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</si>
  <si>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</si>
  <si>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</si>
  <si>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</si>
  <si>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</si>
  <si>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</si>
  <si>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</si>
  <si>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</si>
  <si>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</si>
  <si>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</si>
  <si>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</si>
  <si>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</si>
  <si>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</si>
  <si>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</si>
  <si>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</si>
  <si>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</si>
  <si>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</si>
  <si>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</si>
  <si>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</si>
  <si>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</si>
  <si>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</si>
  <si>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</si>
  <si>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</si>
  <si>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</si>
  <si>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</si>
  <si>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</si>
  <si>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</si>
  <si>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</si>
  <si>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</si>
  <si>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</si>
  <si>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</si>
  <si>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</si>
  <si>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</si>
  <si>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</si>
  <si>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</si>
  <si>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</si>
  <si>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</si>
  <si>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</si>
  <si>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</si>
  <si>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</si>
  <si>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</si>
  <si>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</si>
  <si>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</si>
  <si>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</si>
  <si>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</si>
  <si>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</si>
  <si>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</si>
  <si>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</si>
  <si>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</si>
  <si>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</si>
  <si>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</si>
  <si>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</si>
  <si>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</si>
  <si>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</si>
  <si>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</si>
  <si>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</si>
  <si>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</si>
  <si>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</si>
  <si>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</si>
  <si>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</si>
  <si>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</si>
  <si>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</si>
  <si>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</si>
  <si>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</si>
  <si>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</si>
  <si>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</si>
  <si>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</si>
  <si>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</si>
  <si>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</si>
  <si>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</si>
  <si>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</si>
  <si>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</si>
  <si>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</si>
  <si>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</si>
  <si>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</si>
  <si>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</si>
  <si>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</si>
  <si>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</si>
  <si>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</si>
  <si>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</si>
  <si>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</si>
  <si>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</si>
  <si>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</si>
  <si>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</si>
  <si>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</si>
  <si>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</si>
  <si>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</si>
  <si>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</si>
  <si>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</si>
  <si>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</si>
  <si>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</si>
  <si>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</si>
  <si>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</si>
  <si>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</si>
  <si>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</si>
  <si>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</si>
  <si>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</si>
  <si>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</si>
  <si>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</si>
  <si>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</si>
  <si>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</si>
  <si>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</si>
  <si>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</si>
  <si>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</si>
  <si>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</si>
  <si>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</si>
  <si>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</si>
  <si>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</si>
  <si>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</si>
  <si>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</si>
  <si>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</si>
  <si>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</si>
  <si>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</si>
  <si>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</si>
  <si>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</si>
  <si>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</si>
  <si>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</si>
  <si>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</si>
  <si>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</si>
  <si>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</si>
  <si>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</si>
  <si>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</si>
  <si>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</si>
  <si>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</si>
  <si>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</si>
  <si>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</si>
  <si>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</si>
  <si>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</si>
  <si>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</si>
  <si>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</si>
  <si>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</si>
  <si>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</si>
  <si>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</si>
  <si>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</si>
  <si>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</si>
  <si>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</si>
  <si>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</si>
  <si>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</si>
  <si>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</si>
  <si>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</si>
  <si>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</si>
  <si>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</si>
  <si>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</si>
  <si>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</si>
  <si>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</si>
  <si>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</si>
  <si>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</si>
  <si>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</si>
  <si>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</si>
  <si>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</si>
  <si>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</si>
  <si>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</si>
  <si>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</si>
  <si>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</si>
  <si>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</si>
  <si>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</si>
  <si>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</si>
  <si>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</si>
  <si>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</si>
  <si>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</si>
  <si>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</si>
  <si>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</si>
  <si>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</si>
  <si>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</si>
  <si>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</si>
  <si>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</si>
  <si>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</si>
  <si>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</si>
  <si>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</si>
  <si>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</si>
  <si>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</si>
  <si>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</si>
  <si>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</si>
  <si>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</si>
  <si>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</si>
  <si>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</si>
  <si>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</si>
  <si>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</si>
  <si>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</si>
  <si>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</si>
  <si>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</si>
  <si>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</si>
  <si>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</si>
  <si>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</si>
  <si>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</si>
  <si>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</si>
  <si>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</si>
  <si>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</si>
  <si>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</si>
  <si>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</si>
  <si>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</si>
  <si>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</si>
  <si>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</si>
  <si>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</si>
  <si>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</si>
  <si>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</si>
  <si>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</si>
  <si>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</si>
  <si>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</si>
  <si>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</si>
  <si>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</si>
  <si>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</si>
  <si>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</si>
  <si>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</si>
  <si>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</si>
  <si>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</si>
  <si>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</si>
  <si>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</si>
  <si>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</si>
  <si>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</si>
  <si>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</si>
  <si>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</si>
  <si>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</si>
  <si>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</si>
  <si>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</si>
  <si>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</si>
  <si>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</si>
  <si>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</si>
  <si>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</si>
  <si>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</si>
  <si>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</si>
  <si>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</si>
  <si>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</si>
  <si>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</si>
  <si>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</si>
  <si>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</si>
  <si>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</si>
  <si>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</si>
  <si>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</si>
  <si>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</si>
  <si>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</si>
  <si>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</si>
  <si>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</si>
  <si>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</si>
  <si>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</si>
  <si>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</si>
  <si>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</si>
  <si>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</si>
  <si>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</si>
  <si>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</si>
  <si>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</si>
  <si>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</si>
  <si>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</si>
  <si>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</si>
  <si>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</si>
  <si>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</si>
  <si>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</si>
  <si>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</si>
  <si>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</si>
  <si>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</si>
  <si>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</si>
  <si>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</si>
  <si>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</si>
  <si>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</si>
  <si>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</si>
  <si>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</si>
  <si>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</si>
  <si>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</si>
  <si>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</si>
  <si>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</si>
  <si>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</si>
  <si>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</si>
  <si>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</si>
  <si>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</si>
  <si>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</si>
  <si>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</si>
  <si>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</si>
  <si>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</si>
  <si>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</si>
  <si>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</si>
  <si>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</si>
  <si>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</si>
  <si>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</si>
  <si>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</si>
  <si>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</si>
  <si>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</si>
  <si>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</si>
  <si>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</si>
  <si>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</si>
  <si>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</si>
  <si>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</si>
  <si>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</si>
  <si>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</si>
  <si>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</si>
  <si>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</si>
  <si>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</si>
  <si>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</si>
  <si>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</si>
  <si>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</si>
  <si>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</si>
  <si>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</si>
  <si>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</si>
  <si>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</si>
  <si>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</si>
  <si>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</si>
  <si>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</si>
  <si>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</si>
  <si>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</si>
  <si>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</si>
  <si>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</si>
  <si>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</si>
  <si>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</si>
  <si>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</si>
  <si>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</si>
  <si>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</si>
  <si>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</si>
  <si>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</si>
  <si>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</si>
  <si>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</si>
  <si>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</si>
  <si>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</si>
  <si>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</si>
  <si>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</si>
  <si>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</si>
  <si>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</si>
  <si>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</si>
  <si>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</si>
  <si>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</si>
  <si>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</si>
  <si>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</si>
  <si>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</si>
  <si>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</si>
  <si>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</si>
  <si>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</si>
  <si>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</si>
  <si>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</si>
  <si>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</si>
  <si>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</si>
  <si>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</si>
  <si>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</si>
  <si>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</si>
  <si>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</si>
  <si>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</si>
  <si>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</si>
  <si>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</si>
  <si>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</si>
  <si>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</si>
  <si>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</si>
  <si>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</si>
  <si>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</si>
  <si>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</si>
  <si>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</si>
  <si>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</si>
  <si>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</si>
  <si>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</si>
  <si>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</si>
  <si>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</si>
  <si>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</si>
  <si>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</si>
  <si>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</si>
  <si>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</si>
  <si>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</si>
  <si>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</si>
  <si>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</si>
  <si>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</si>
  <si>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</si>
  <si>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</si>
  <si>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</si>
  <si>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</si>
  <si>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</si>
  <si>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</si>
  <si>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</si>
  <si>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</si>
  <si>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</si>
  <si>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</si>
  <si>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</si>
  <si>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</si>
  <si>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</si>
  <si>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</si>
  <si>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</si>
  <si>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</si>
  <si>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</si>
  <si>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</si>
  <si>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</si>
  <si>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</si>
  <si>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</si>
  <si>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</si>
  <si>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</si>
  <si>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</si>
  <si>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</si>
  <si>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</si>
  <si>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</si>
  <si>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</si>
  <si>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</si>
  <si>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</si>
  <si>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</si>
  <si>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</si>
  <si>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</si>
  <si>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</si>
  <si>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</si>
  <si>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</si>
  <si>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</si>
  <si>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</si>
  <si>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</si>
  <si>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</si>
  <si>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</si>
  <si>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</si>
  <si>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</si>
  <si>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</si>
  <si>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</si>
  <si>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</si>
  <si>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</si>
  <si>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</si>
  <si>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</si>
  <si>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</si>
  <si>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</si>
  <si>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</si>
  <si>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</si>
  <si>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</si>
  <si>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</si>
  <si>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</si>
  <si>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</si>
  <si>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</si>
  <si>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</si>
  <si>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</si>
  <si>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</si>
  <si>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</si>
  <si>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</si>
  <si>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</si>
  <si>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</si>
  <si>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</si>
  <si>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</si>
  <si>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</si>
  <si>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</si>
  <si>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</si>
  <si>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</si>
  <si>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</si>
  <si>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</si>
  <si>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</si>
  <si>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</si>
  <si>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</si>
  <si>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</si>
  <si>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</si>
  <si>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</si>
  <si>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</si>
  <si>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</si>
  <si>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</si>
  <si>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</si>
  <si>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</si>
  <si>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</si>
  <si>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</si>
  <si>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</si>
  <si>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</si>
  <si>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</si>
  <si>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</si>
  <si>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</si>
  <si>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</si>
  <si>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</si>
  <si>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</si>
  <si>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</si>
  <si>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</si>
  <si>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</si>
  <si>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</si>
  <si>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</si>
  <si>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</si>
  <si>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</si>
  <si>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</si>
  <si>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</si>
  <si>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</si>
  <si>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</si>
  <si>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</si>
  <si>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</si>
  <si>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</si>
  <si>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</si>
  <si>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</si>
  <si>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</si>
  <si>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</si>
  <si>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</si>
  <si>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</si>
  <si>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</si>
  <si>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</si>
  <si>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</si>
  <si>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</si>
  <si>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</si>
  <si>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</si>
  <si>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</si>
  <si>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</si>
  <si>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</si>
  <si>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</si>
  <si>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</si>
  <si>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</si>
  <si>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</si>
  <si>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</si>
  <si>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</si>
  <si>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</si>
  <si>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</si>
  <si>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</si>
  <si>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</si>
  <si>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</si>
  <si>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</si>
  <si>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</si>
  <si>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</si>
  <si>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</si>
  <si>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</si>
  <si>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</si>
  <si>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</si>
  <si>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</si>
  <si>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</si>
  <si>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</si>
  <si>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</si>
  <si>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</si>
  <si>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</si>
  <si>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</si>
  <si>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</si>
  <si>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</si>
  <si>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</si>
  <si>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</si>
  <si>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</si>
  <si>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</si>
  <si>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</si>
  <si>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</si>
  <si>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</si>
  <si>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</si>
  <si>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</si>
  <si>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</si>
  <si>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</si>
  <si>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</si>
  <si>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</si>
  <si>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</si>
  <si>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</si>
  <si>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</si>
  <si>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</si>
  <si>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</si>
  <si>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</si>
  <si>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</si>
  <si>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</si>
  <si>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</si>
  <si>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</si>
  <si>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</si>
  <si>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</si>
  <si>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</si>
  <si>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</si>
  <si>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</si>
  <si>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</si>
  <si>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</si>
  <si>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</si>
  <si>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</si>
  <si>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</si>
  <si>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</si>
  <si>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</si>
  <si>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</si>
  <si>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</si>
  <si>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</si>
  <si>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</si>
  <si>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</si>
  <si>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</si>
  <si>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</si>
  <si>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</si>
  <si>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</si>
  <si>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</si>
  <si>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</si>
  <si>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</si>
  <si>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</si>
  <si>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</si>
  <si>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</si>
  <si>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</si>
  <si>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</si>
  <si>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</si>
  <si>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</si>
  <si>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</si>
  <si>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</si>
  <si>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</si>
  <si>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</si>
  <si>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</si>
  <si>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</si>
  <si>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</si>
  <si>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</si>
  <si>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</si>
  <si>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</si>
  <si>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</si>
  <si>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</si>
  <si>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</si>
  <si>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</si>
  <si>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</si>
  <si>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</si>
  <si>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</si>
  <si>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</si>
  <si>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</si>
  <si>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</si>
  <si>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</si>
  <si>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</si>
  <si>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</si>
  <si>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</si>
  <si>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</si>
  <si>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</si>
  <si>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</si>
  <si>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</si>
  <si>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</si>
  <si>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</si>
  <si>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</si>
  <si>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</si>
  <si>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</si>
  <si>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</si>
  <si>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</si>
  <si>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</si>
  <si>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</si>
  <si>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</si>
  <si>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</si>
  <si>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</si>
  <si>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</si>
  <si>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</si>
  <si>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</si>
  <si>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</si>
  <si>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</si>
  <si>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</si>
  <si>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</si>
  <si>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</si>
  <si>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</si>
  <si>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</si>
  <si>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</si>
  <si>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</si>
  <si>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</si>
  <si>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</si>
  <si>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</si>
  <si>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</si>
  <si>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</si>
  <si>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</si>
  <si>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</si>
  <si>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</si>
  <si>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</si>
  <si>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</si>
  <si>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</si>
  <si>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</si>
  <si>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</si>
  <si>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</si>
  <si>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</si>
  <si>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</si>
  <si>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</si>
  <si>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</si>
  <si>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</si>
  <si>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</si>
  <si>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</si>
  <si>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</si>
  <si>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</si>
  <si>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</si>
  <si>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</si>
  <si>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</si>
  <si>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</si>
  <si>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</si>
  <si>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</si>
  <si>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</si>
  <si>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</si>
  <si>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</si>
  <si>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</si>
  <si>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</si>
  <si>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</si>
  <si>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</si>
  <si>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</si>
  <si>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</si>
  <si>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</si>
  <si>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</si>
  <si>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</si>
  <si>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</si>
  <si>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</si>
  <si>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</si>
  <si>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</si>
  <si>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</si>
  <si>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</si>
  <si>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</si>
  <si>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</si>
  <si>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</si>
  <si>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</si>
  <si>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</si>
  <si>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</si>
  <si>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</si>
  <si>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</si>
  <si>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</si>
  <si>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</si>
  <si>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</si>
  <si>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</si>
  <si>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</si>
  <si>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</si>
  <si>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</si>
  <si>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</si>
  <si>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</si>
  <si>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</si>
  <si>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</si>
  <si>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</si>
  <si>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</si>
  <si>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</si>
  <si>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</si>
  <si>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</si>
  <si>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</si>
  <si>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</si>
  <si>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</si>
  <si>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</si>
  <si>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</si>
  <si>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</si>
  <si>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</si>
  <si>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</si>
  <si>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</si>
  <si>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</si>
  <si>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</si>
  <si>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</si>
  <si>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</si>
  <si>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</si>
  <si>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</si>
  <si>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</si>
  <si>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</si>
  <si>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</si>
  <si>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</si>
  <si>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</si>
  <si>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</si>
  <si>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</si>
  <si>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</si>
  <si>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</si>
  <si>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</si>
  <si>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</si>
  <si>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</si>
  <si>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</si>
  <si>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</si>
  <si>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</si>
  <si>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</si>
  <si>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</si>
  <si>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</si>
  <si>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</si>
  <si>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</si>
  <si>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</si>
  <si>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</si>
  <si>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</si>
  <si>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</si>
  <si>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</si>
  <si>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</si>
  <si>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</si>
  <si>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</si>
  <si>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</si>
  <si>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</si>
  <si>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</si>
  <si>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</si>
  <si>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</si>
  <si>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</si>
  <si>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</si>
  <si>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</si>
  <si>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</si>
  <si>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</si>
  <si>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</si>
  <si>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</si>
  <si>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</si>
  <si>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</si>
  <si>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</si>
  <si>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</si>
  <si>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</si>
  <si>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</si>
  <si>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</si>
  <si>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</si>
  <si>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</si>
  <si>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</si>
  <si>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</si>
  <si>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</si>
  <si>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</si>
  <si>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</si>
  <si>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</si>
  <si>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</si>
  <si>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</si>
  <si>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</si>
  <si>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</si>
  <si>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</si>
  <si>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</si>
  <si>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</si>
  <si>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</si>
  <si>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</si>
  <si>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</si>
  <si>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</si>
  <si>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</si>
  <si>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</si>
  <si>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</si>
  <si>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</si>
  <si>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</si>
  <si>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</si>
  <si>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</si>
  <si>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</si>
  <si>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</si>
  <si>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</si>
  <si>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</si>
  <si>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</si>
  <si>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</si>
  <si>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</si>
  <si>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</si>
  <si>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</si>
  <si>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</si>
  <si>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</si>
  <si>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</si>
  <si>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</si>
  <si>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</si>
  <si>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</si>
  <si>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</si>
  <si>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</si>
  <si>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</si>
  <si>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</si>
  <si>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</si>
  <si>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</si>
  <si>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</si>
  <si>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</si>
  <si>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</si>
  <si>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</si>
  <si>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</si>
  <si>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</si>
  <si>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</si>
  <si>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</si>
  <si>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</si>
  <si>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</si>
  <si>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</si>
  <si>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</si>
  <si>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</si>
  <si>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</si>
  <si>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</si>
  <si>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</si>
  <si>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</si>
  <si>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</si>
  <si>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</si>
  <si>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</si>
  <si>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</si>
  <si>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</si>
  <si>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</si>
  <si>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</si>
  <si>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</si>
  <si>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</si>
  <si>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</si>
  <si>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</si>
  <si>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</si>
  <si>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</si>
  <si>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</si>
  <si>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</si>
  <si>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</si>
  <si>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</si>
  <si>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</si>
  <si>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</si>
  <si>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</si>
  <si>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</si>
  <si>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</si>
  <si>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</si>
  <si>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</si>
  <si>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</si>
  <si>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</si>
  <si>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</si>
  <si>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</si>
  <si>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</si>
  <si>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</si>
  <si>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</si>
  <si>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</si>
  <si>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</si>
  <si>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</si>
  <si>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</si>
  <si>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</si>
  <si>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</si>
  <si>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</si>
  <si>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</si>
  <si>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</si>
  <si>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</si>
  <si>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</si>
  <si>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</si>
  <si>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</si>
  <si>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</si>
  <si>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</si>
  <si>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</si>
  <si>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</si>
  <si>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</si>
  <si>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</si>
  <si>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</si>
  <si>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</si>
  <si>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</si>
  <si>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</si>
  <si>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</si>
  <si>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</si>
  <si>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</si>
  <si>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</si>
  <si>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</si>
  <si>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</si>
  <si>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</si>
  <si>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</si>
  <si>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</si>
  <si>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</si>
  <si>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</si>
  <si>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</si>
  <si>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</si>
  <si>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</si>
  <si>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</si>
  <si>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</si>
  <si>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</si>
  <si>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</si>
  <si>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</si>
  <si>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</si>
  <si>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</si>
  <si>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</si>
  <si>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</si>
  <si>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</si>
  <si>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</si>
  <si>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</si>
  <si>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</si>
  <si>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</si>
  <si>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</si>
  <si>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</si>
  <si>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</si>
  <si>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</si>
  <si>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</si>
  <si>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</si>
  <si>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</si>
  <si>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</si>
  <si>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</si>
  <si>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</si>
  <si>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</si>
  <si>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</si>
  <si>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</si>
  <si>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</si>
  <si>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</si>
  <si>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</si>
  <si>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</si>
  <si>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</si>
  <si>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</si>
  <si>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</si>
  <si>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</si>
  <si>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</si>
  <si>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</si>
  <si>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</si>
  <si>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</si>
  <si>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</si>
  <si>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</si>
  <si>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</si>
  <si>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</si>
  <si>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</si>
  <si>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</si>
  <si>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</si>
  <si>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</si>
  <si>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</si>
  <si>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</si>
  <si>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</si>
  <si>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</si>
  <si>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</si>
  <si>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</si>
  <si>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</si>
  <si>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</si>
  <si>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</si>
  <si>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</si>
  <si>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</si>
  <si>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</si>
  <si>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</si>
  <si>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</si>
  <si>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</si>
  <si>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</si>
  <si>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</si>
  <si>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</si>
  <si>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</si>
  <si>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</si>
  <si>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</si>
  <si>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</si>
  <si>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</si>
  <si>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</si>
  <si>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</si>
  <si>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</si>
  <si>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</si>
  <si>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</si>
  <si>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</si>
  <si>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</si>
  <si>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</si>
  <si>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</si>
  <si>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</si>
  <si>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</si>
  <si>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</si>
  <si>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</si>
  <si>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</si>
  <si>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</si>
  <si>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</si>
  <si>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</si>
  <si>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</si>
  <si>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</si>
  <si>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</si>
  <si>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</si>
  <si>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</si>
  <si>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</si>
  <si>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</si>
  <si>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</si>
  <si>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</si>
  <si>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</si>
  <si>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</si>
  <si>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</si>
  <si>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</si>
  <si>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</si>
  <si>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</si>
  <si>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</si>
  <si>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</si>
  <si>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</si>
  <si>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</si>
  <si>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</si>
  <si>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</si>
  <si>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</si>
  <si>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</si>
  <si>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</si>
  <si>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</si>
  <si>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</si>
  <si>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</si>
  <si>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</si>
  <si>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</si>
  <si>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</si>
  <si>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</si>
  <si>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</si>
  <si>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</si>
  <si>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</si>
  <si>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</si>
  <si>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</si>
  <si>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</si>
  <si>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</si>
  <si>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</si>
  <si>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</si>
  <si>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</si>
  <si>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</si>
  <si>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</si>
  <si>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</si>
  <si>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</si>
  <si>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</si>
  <si>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</si>
  <si>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</si>
  <si>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</si>
  <si>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</si>
  <si>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</si>
  <si>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</si>
  <si>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</si>
  <si>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</si>
  <si>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</si>
  <si>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</si>
  <si>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</si>
  <si>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</si>
  <si>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</si>
  <si>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</si>
  <si>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</si>
  <si>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</si>
  <si>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</si>
  <si>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</si>
  <si>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</si>
  <si>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</si>
  <si>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</si>
  <si>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</si>
  <si>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</si>
  <si>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</si>
  <si>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</si>
  <si>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</si>
  <si>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</si>
  <si>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</si>
  <si>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</si>
  <si>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</si>
  <si>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</si>
  <si>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</si>
  <si>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</si>
  <si>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</si>
  <si>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</si>
  <si>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</si>
  <si>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</si>
  <si>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</si>
  <si>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</si>
  <si>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</si>
  <si>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</si>
  <si>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</si>
  <si>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</si>
  <si>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</si>
  <si>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</si>
  <si>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</si>
  <si>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</si>
  <si>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</si>
  <si>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</si>
  <si>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</si>
  <si>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</si>
  <si>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</si>
  <si>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</si>
  <si>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</si>
  <si>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</si>
  <si>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</si>
  <si>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</si>
  <si>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</si>
  <si>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</si>
  <si>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</si>
  <si>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</si>
  <si>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</si>
  <si>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</si>
  <si>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</si>
  <si>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</si>
  <si>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</si>
  <si>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</si>
  <si>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</si>
  <si>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</si>
  <si>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</si>
  <si>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</si>
  <si>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</si>
  <si>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</si>
  <si>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</si>
  <si>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</si>
  <si>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</si>
  <si>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</si>
  <si>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</si>
  <si>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</si>
  <si>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</si>
  <si>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</si>
  <si>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</si>
  <si>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</si>
  <si>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</si>
  <si>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</si>
  <si>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</si>
  <si>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</si>
  <si>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</si>
  <si>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</si>
  <si>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</si>
  <si>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</si>
  <si>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</si>
  <si>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</si>
  <si>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</si>
  <si>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</si>
  <si>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</si>
  <si>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</si>
  <si>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</si>
  <si>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</si>
  <si>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</si>
  <si>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</si>
  <si>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</si>
  <si>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</si>
  <si>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</si>
  <si>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</si>
  <si>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</si>
  <si>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</si>
  <si>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</si>
  <si>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</si>
  <si>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</si>
  <si>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</si>
  <si>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</si>
  <si>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</si>
  <si>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</si>
  <si>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</si>
  <si>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</si>
  <si>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</si>
  <si>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</si>
  <si>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</si>
  <si>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</si>
  <si>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</si>
  <si>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</si>
  <si>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</si>
  <si>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</si>
  <si>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</si>
  <si>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</si>
  <si>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</si>
  <si>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</si>
  <si>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</si>
  <si>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</si>
  <si>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</si>
  <si>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</si>
  <si>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</si>
  <si>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</si>
  <si>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</si>
  <si>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</si>
  <si>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</si>
  <si>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</si>
  <si>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</si>
  <si>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</si>
  <si>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</si>
  <si>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</si>
  <si>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</si>
  <si>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</si>
  <si>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</si>
  <si>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</si>
  <si>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</si>
  <si>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</si>
  <si>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</si>
  <si>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</si>
  <si>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</si>
  <si>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</si>
  <si>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</si>
  <si>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</si>
  <si>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</si>
  <si>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</si>
  <si>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</si>
  <si>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</si>
  <si>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</si>
  <si>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</si>
  <si>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</si>
  <si>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</si>
  <si>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</si>
  <si>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</si>
  <si>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</si>
  <si>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</si>
  <si>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</si>
  <si>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</si>
  <si>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</si>
  <si>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</si>
  <si>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</si>
  <si>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</si>
  <si>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</si>
  <si>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</si>
  <si>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</si>
  <si>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</si>
  <si>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</si>
  <si>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</si>
  <si>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</si>
  <si>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</si>
  <si>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</si>
  <si>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</si>
  <si>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</si>
  <si>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</si>
  <si>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</si>
  <si>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</si>
  <si>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</si>
  <si>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</si>
  <si>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</si>
  <si>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</si>
  <si>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</si>
  <si>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</si>
  <si>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</si>
  <si>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</si>
  <si>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</si>
  <si>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</si>
  <si>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</si>
  <si>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</si>
  <si>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</si>
  <si>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</si>
  <si>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</si>
  <si>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</si>
  <si>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</si>
  <si>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</si>
  <si>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</si>
  <si>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</si>
  <si>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</si>
  <si>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</si>
  <si>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</si>
  <si>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</si>
  <si>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</si>
  <si>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</si>
  <si>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</si>
  <si>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</si>
  <si>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</si>
  <si>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</si>
  <si>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</si>
  <si>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</si>
  <si>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</si>
  <si>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</si>
  <si>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</si>
  <si>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</si>
  <si>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</si>
  <si>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</si>
  <si>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</si>
  <si>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</si>
  <si>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</si>
  <si>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</si>
  <si>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</si>
  <si>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</si>
  <si>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</si>
  <si>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</si>
  <si>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</si>
  <si>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</si>
  <si>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</si>
  <si>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</si>
  <si>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</si>
  <si>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</si>
  <si>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</si>
  <si>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</si>
  <si>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</si>
  <si>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</si>
  <si>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</si>
  <si>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</si>
  <si>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</si>
  <si>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</si>
  <si>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</si>
  <si>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</si>
  <si>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</si>
  <si>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</si>
  <si>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</si>
  <si>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</si>
  <si>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</si>
  <si>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</si>
  <si>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</si>
  <si>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</si>
  <si>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</si>
  <si>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</si>
  <si>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</si>
  <si>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</si>
  <si>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</si>
  <si>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</si>
  <si>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</si>
  <si>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</si>
  <si>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</si>
  <si>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</si>
  <si>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</si>
  <si>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</si>
  <si>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</si>
  <si>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</si>
  <si>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</si>
  <si>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</si>
  <si>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</si>
  <si>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</si>
  <si>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</si>
  <si>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</si>
  <si>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</si>
  <si>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</si>
  <si>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</si>
  <si>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</si>
  <si>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</si>
  <si>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</si>
  <si>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</si>
  <si>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</si>
  <si>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</si>
  <si>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</si>
  <si>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</si>
  <si>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</si>
  <si>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</si>
  <si>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</si>
  <si>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</si>
  <si>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</si>
  <si>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</si>
  <si>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</si>
  <si>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</si>
  <si>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</si>
  <si>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</si>
  <si>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</si>
  <si>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</si>
  <si>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</si>
  <si>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</si>
  <si>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</si>
  <si>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</si>
  <si>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</si>
  <si>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</si>
  <si>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</si>
  <si>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</si>
  <si>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</si>
  <si>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</si>
  <si>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</si>
  <si>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</si>
  <si>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</si>
  <si>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</si>
  <si>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</si>
  <si>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</si>
  <si>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</si>
  <si>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</si>
  <si>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</si>
  <si>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</si>
  <si>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</si>
  <si>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</si>
  <si>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</si>
  <si>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</si>
  <si>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</si>
  <si>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</si>
  <si>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</si>
  <si>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</si>
  <si>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</si>
  <si>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</si>
  <si>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</si>
  <si>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</si>
  <si>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</si>
  <si>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</si>
  <si>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</si>
  <si>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</si>
  <si>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</si>
  <si>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</si>
  <si>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</si>
  <si>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</si>
  <si>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</si>
  <si>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</si>
  <si>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</si>
  <si>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</si>
  <si>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</si>
  <si>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</si>
  <si>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</si>
  <si>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</si>
  <si>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</si>
  <si>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</si>
  <si>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</si>
  <si>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</si>
  <si>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</si>
  <si>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</si>
  <si>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</si>
  <si>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</si>
  <si>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</si>
  <si>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</si>
  <si>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</si>
  <si>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</si>
  <si>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</si>
  <si>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</si>
  <si>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</si>
  <si>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</si>
  <si>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</si>
  <si>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</si>
  <si>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</si>
  <si>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</si>
  <si>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</si>
  <si>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</si>
  <si>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</si>
  <si>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</si>
  <si>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</si>
  <si>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</si>
  <si>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</si>
  <si>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</si>
  <si>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</si>
  <si>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</si>
  <si>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</si>
  <si>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</si>
  <si>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</si>
  <si>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</si>
  <si>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</si>
  <si>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</si>
  <si>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</si>
  <si>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</si>
  <si>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</si>
  <si>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</si>
  <si>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</si>
  <si>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</si>
  <si>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</si>
  <si>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</si>
  <si>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</si>
  <si>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</si>
  <si>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</si>
  <si>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</si>
  <si>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</si>
  <si>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</si>
  <si>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</si>
  <si>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</si>
  <si>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</si>
  <si>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</si>
  <si>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</si>
  <si>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</si>
  <si>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</si>
  <si>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</si>
  <si>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</si>
  <si>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</si>
  <si>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</si>
  <si>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</si>
  <si>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</si>
  <si>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</si>
  <si>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</si>
  <si>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</si>
  <si>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</si>
  <si>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</si>
  <si>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</si>
  <si>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</si>
  <si>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</si>
  <si>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</si>
  <si>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</si>
  <si>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</si>
  <si>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</si>
  <si>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</si>
  <si>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</si>
  <si>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</si>
  <si>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</si>
  <si>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</si>
  <si>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</si>
  <si>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</si>
  <si>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</si>
  <si>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</si>
  <si>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</si>
  <si>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</si>
  <si>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</si>
  <si>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</si>
  <si>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</si>
  <si>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</si>
  <si>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</si>
  <si>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</si>
  <si>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</si>
  <si>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</si>
  <si>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</si>
  <si>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</si>
  <si>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</si>
  <si>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</si>
  <si>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</si>
  <si>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</si>
  <si>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</si>
  <si>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</si>
  <si>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</si>
  <si>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</si>
  <si>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</si>
  <si>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</si>
  <si>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</si>
  <si>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</si>
  <si>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</si>
  <si>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</si>
  <si>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</si>
  <si>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</si>
  <si>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</si>
  <si>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</si>
  <si>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</si>
  <si>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</si>
  <si>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</si>
  <si>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</si>
  <si>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</si>
  <si>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</si>
  <si>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</si>
  <si>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</si>
  <si>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</si>
  <si>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</si>
  <si>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</si>
  <si>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</si>
  <si>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</si>
  <si>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</si>
  <si>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</si>
  <si>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</si>
  <si>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</si>
  <si>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</si>
  <si>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</si>
  <si>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</si>
  <si>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</si>
  <si>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</si>
  <si>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</si>
  <si>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</si>
  <si>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</si>
  <si>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</si>
  <si>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</si>
  <si>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</si>
  <si>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</si>
  <si>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</si>
  <si>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</si>
  <si>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</si>
  <si>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</si>
  <si>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</si>
  <si>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</si>
  <si>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</si>
  <si>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</si>
  <si>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</si>
  <si>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</si>
  <si>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</si>
  <si>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</si>
  <si>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</si>
  <si>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</si>
  <si>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</si>
  <si>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</si>
  <si>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</si>
  <si>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</si>
  <si>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</si>
  <si>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</si>
  <si>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</si>
  <si>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</si>
  <si>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</si>
  <si>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</si>
  <si>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</si>
  <si>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</si>
  <si>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</si>
  <si>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</si>
  <si>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</si>
  <si>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</si>
  <si>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</si>
  <si>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</si>
  <si>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</si>
  <si>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</si>
  <si>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</si>
  <si>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</si>
  <si>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</si>
  <si>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</si>
  <si>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</si>
  <si>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</si>
  <si>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</si>
  <si>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</si>
  <si>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</si>
  <si>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</si>
  <si>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</si>
  <si>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</si>
  <si>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</si>
  <si>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</si>
  <si>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</si>
  <si>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</si>
  <si>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</si>
  <si>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</si>
  <si>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</si>
  <si>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</si>
  <si>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</si>
  <si>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</si>
  <si>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</si>
  <si>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</si>
  <si>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</si>
  <si>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</si>
  <si>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</si>
  <si>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</si>
  <si>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</si>
  <si>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</si>
  <si>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</si>
  <si>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</si>
  <si>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</si>
  <si>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</si>
  <si>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</si>
  <si>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</si>
  <si>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</si>
  <si>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</si>
  <si>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</si>
  <si>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</si>
  <si>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</si>
  <si>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</si>
  <si>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</si>
  <si>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</si>
  <si>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</si>
  <si>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</si>
  <si>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</si>
  <si>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</si>
  <si>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</si>
  <si>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</si>
  <si>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</si>
  <si>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</si>
  <si>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</si>
  <si>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</si>
  <si>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</si>
  <si>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</si>
  <si>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</si>
  <si>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</si>
  <si>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</si>
  <si>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</si>
  <si>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</si>
  <si>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</si>
  <si>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</si>
  <si>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</si>
  <si>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</si>
  <si>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</si>
  <si>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</si>
  <si>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</si>
  <si>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</si>
  <si>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</si>
  <si>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</si>
  <si>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</si>
  <si>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</si>
  <si>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</si>
  <si>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</si>
  <si>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</si>
  <si>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</si>
  <si>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</si>
  <si>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</si>
  <si>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</si>
  <si>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</si>
  <si>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</si>
  <si>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</si>
  <si>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</si>
  <si>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</si>
  <si>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</si>
  <si>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</si>
  <si>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</si>
  <si>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</si>
  <si>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</si>
  <si>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</si>
  <si>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</si>
  <si>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</si>
  <si>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</si>
  <si>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</si>
  <si>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</si>
  <si>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</si>
  <si>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</si>
  <si>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</si>
  <si>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</si>
  <si>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</si>
  <si>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</si>
  <si>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</si>
  <si>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</si>
  <si>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</si>
  <si>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</si>
  <si>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</si>
  <si>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</si>
  <si>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</si>
  <si>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</si>
  <si>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</si>
  <si>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</si>
  <si>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</si>
  <si>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</si>
  <si>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</si>
  <si>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</si>
  <si>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</si>
  <si>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</si>
  <si>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</si>
  <si>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</si>
  <si>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</si>
  <si>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</si>
  <si>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</si>
  <si>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</si>
  <si>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</si>
  <si>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</si>
  <si>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</si>
  <si>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</si>
  <si>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</si>
  <si>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</si>
  <si>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</si>
  <si>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</si>
  <si>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</si>
  <si>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</si>
  <si>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</si>
  <si>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</si>
  <si>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</si>
  <si>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</si>
  <si>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</si>
  <si>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</si>
  <si>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</si>
  <si>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</si>
  <si>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</si>
  <si>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</si>
  <si>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</si>
  <si>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</si>
  <si>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</si>
  <si>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</si>
  <si>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</si>
  <si>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</si>
  <si>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</si>
  <si>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</si>
  <si>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</si>
  <si>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</si>
  <si>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</si>
  <si>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</si>
  <si>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</si>
  <si>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</si>
  <si>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</si>
  <si>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</si>
  <si>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</si>
  <si>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</si>
  <si>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</si>
  <si>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</si>
  <si>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</si>
  <si>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</si>
  <si>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</si>
  <si>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</si>
  <si>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</si>
  <si>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</si>
  <si>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</si>
  <si>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</si>
  <si>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</si>
  <si>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</si>
  <si>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</si>
  <si>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</si>
  <si>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</si>
  <si>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</si>
  <si>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</si>
  <si>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</si>
  <si>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</si>
  <si>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</si>
  <si>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</si>
  <si>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</si>
  <si>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</si>
  <si>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</si>
  <si>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</si>
  <si>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</si>
  <si>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</si>
  <si>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</si>
  <si>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</si>
  <si>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</si>
  <si>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</si>
  <si>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</si>
  <si>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</si>
  <si>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</si>
  <si>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</si>
  <si>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</si>
  <si>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</si>
  <si>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</si>
  <si>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</si>
  <si>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</si>
  <si>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</si>
  <si>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</si>
  <si>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</si>
  <si>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</si>
  <si>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</si>
  <si>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</si>
  <si>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</si>
  <si>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</si>
  <si>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</si>
  <si>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</si>
  <si>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</si>
  <si>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</si>
  <si>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</si>
  <si>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</si>
  <si>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</si>
  <si>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</si>
  <si>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</si>
  <si>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</si>
  <si>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</si>
  <si>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</si>
  <si>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</si>
  <si>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</si>
  <si>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</si>
  <si>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</si>
  <si>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</si>
  <si>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</si>
  <si>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</si>
  <si>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</si>
  <si>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</si>
  <si>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</si>
  <si>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</si>
  <si>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</si>
  <si>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</si>
  <si>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</si>
  <si>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</si>
  <si>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</si>
  <si>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</si>
  <si>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</si>
  <si>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</si>
  <si>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</si>
  <si>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</si>
  <si>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</si>
  <si>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</si>
  <si>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</si>
  <si>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</si>
  <si>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</si>
  <si>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</si>
  <si>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</si>
  <si>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</si>
  <si>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</si>
  <si>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</si>
  <si>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</si>
  <si>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</si>
  <si>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</si>
  <si>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</si>
  <si>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</si>
  <si>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</si>
  <si>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</si>
  <si>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</si>
  <si>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</si>
  <si>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</si>
  <si>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</si>
  <si>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</si>
  <si>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</si>
  <si>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</si>
  <si>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</si>
  <si>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</si>
  <si>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</si>
  <si>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</si>
  <si>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</si>
  <si>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</si>
  <si>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</si>
  <si>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</si>
  <si>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</si>
  <si>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</si>
  <si>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</si>
  <si>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</si>
  <si>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</si>
  <si>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</si>
  <si>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</si>
  <si>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</si>
  <si>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</si>
  <si>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</si>
  <si>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</si>
  <si>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</si>
  <si>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</si>
  <si>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</si>
  <si>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</si>
  <si>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</si>
  <si>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</si>
  <si>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</si>
  <si>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</si>
  <si>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</si>
  <si>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</si>
  <si>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</si>
  <si>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</si>
  <si>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</si>
  <si>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</si>
  <si>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</si>
  <si>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</si>
  <si>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</si>
  <si>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</si>
  <si>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</si>
  <si>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</si>
  <si>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</si>
  <si>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</si>
  <si>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</si>
  <si>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</si>
  <si>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</si>
  <si>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</si>
  <si>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</si>
  <si>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</si>
  <si>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</si>
  <si>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</si>
  <si>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</si>
  <si>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</si>
  <si>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</si>
  <si>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</si>
  <si>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</si>
  <si>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</si>
  <si>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</si>
  <si>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</si>
  <si>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</si>
  <si>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</si>
  <si>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</si>
  <si>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</si>
  <si>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</si>
  <si>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</si>
  <si>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</si>
  <si>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</si>
  <si>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</si>
  <si>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</si>
  <si>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</si>
  <si>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</si>
  <si>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</si>
  <si>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</si>
  <si>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</si>
  <si>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</si>
  <si>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</si>
  <si>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</si>
  <si>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</si>
  <si>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</si>
  <si>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</si>
  <si>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</si>
  <si>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</si>
  <si>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</si>
  <si>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</si>
  <si>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</si>
  <si>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</si>
  <si>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</si>
  <si>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</si>
  <si>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</si>
  <si>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</si>
  <si>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</si>
  <si>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</si>
  <si>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</si>
  <si>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</si>
  <si>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</si>
  <si>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</si>
  <si>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</si>
  <si>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</si>
  <si>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</si>
  <si>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</si>
  <si>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</si>
  <si>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</si>
  <si>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</si>
  <si>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</si>
  <si>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</si>
  <si>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</si>
  <si>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</si>
  <si>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</si>
  <si>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</si>
  <si>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</si>
  <si>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</si>
  <si>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</si>
  <si>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</si>
  <si>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</si>
  <si>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</si>
  <si>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</si>
  <si>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</si>
  <si>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</si>
  <si>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</si>
  <si>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</si>
  <si>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</si>
  <si>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</si>
  <si>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</si>
  <si>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</si>
  <si>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</si>
  <si>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</si>
  <si>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</si>
  <si>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</si>
  <si>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</si>
  <si>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</si>
  <si>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</si>
  <si>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</si>
  <si>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</si>
  <si>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</si>
  <si>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</si>
  <si>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</si>
  <si>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</si>
  <si>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</si>
  <si>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</si>
  <si>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</si>
  <si>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</si>
  <si>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</si>
  <si>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</si>
  <si>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</si>
  <si>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</si>
  <si>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</si>
  <si>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</si>
  <si>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</si>
  <si>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</si>
  <si>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</si>
  <si>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</si>
  <si>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</si>
  <si>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</si>
  <si>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</si>
  <si>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</si>
  <si>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</si>
  <si>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</si>
  <si>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</si>
  <si>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</si>
  <si>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</si>
  <si>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</si>
  <si>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</si>
  <si>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</si>
  <si>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</si>
  <si>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</si>
  <si>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</si>
  <si>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</si>
  <si>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</si>
  <si>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</si>
  <si>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</si>
  <si>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</si>
  <si>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</si>
  <si>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</si>
  <si>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</si>
  <si>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</si>
  <si>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</si>
  <si>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</si>
  <si>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</si>
  <si>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</si>
  <si>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</si>
  <si>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</si>
  <si>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</si>
  <si>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</si>
  <si>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</si>
  <si>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</si>
  <si>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</si>
  <si>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</si>
  <si>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</si>
  <si>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</si>
  <si>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</si>
  <si>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</si>
  <si>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</si>
  <si>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</si>
  <si>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</si>
  <si>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</si>
  <si>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</si>
  <si>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</si>
  <si>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</si>
  <si>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</si>
  <si>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</si>
  <si>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</si>
  <si>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</si>
  <si>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</si>
  <si>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</si>
  <si>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</si>
  <si>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</si>
  <si>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</si>
  <si>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</si>
  <si>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</si>
  <si>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</si>
  <si>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</si>
  <si>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</si>
  <si>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</si>
  <si>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</si>
  <si>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</si>
  <si>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</si>
  <si>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</si>
  <si>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</si>
  <si>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</si>
  <si>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</si>
  <si>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</si>
  <si>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</si>
  <si>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</si>
  <si>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</si>
  <si>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</si>
  <si>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</si>
  <si>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</si>
  <si>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</si>
  <si>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</si>
  <si>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</si>
  <si>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</si>
  <si>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</si>
  <si>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</si>
  <si>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</si>
  <si>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</si>
  <si>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</si>
  <si>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</si>
  <si>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</si>
  <si>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</si>
  <si>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</si>
  <si>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</si>
  <si>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</si>
  <si>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</si>
  <si>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</si>
  <si>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</si>
  <si>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</si>
  <si>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</si>
  <si>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</si>
  <si>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</si>
  <si>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</si>
  <si>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</si>
  <si>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</si>
  <si>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</si>
  <si>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</si>
  <si>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</si>
  <si>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</si>
  <si>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</si>
  <si>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</si>
  <si>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</si>
  <si>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</si>
  <si>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</si>
  <si>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</si>
  <si>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</si>
  <si>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</si>
  <si>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</si>
  <si>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</si>
  <si>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</si>
  <si>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</si>
  <si>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</si>
  <si>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</si>
  <si>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</si>
  <si>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</si>
  <si>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</si>
  <si>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</si>
  <si>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</si>
  <si>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</si>
  <si>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</si>
  <si>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</si>
  <si>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</si>
  <si>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</si>
  <si>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</si>
  <si>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</si>
  <si>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</si>
  <si>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</si>
  <si>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</si>
  <si>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</si>
  <si>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</si>
  <si>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</si>
  <si>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</si>
  <si>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</si>
  <si>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</si>
  <si>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</si>
  <si>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</si>
  <si>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</si>
  <si>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</si>
  <si>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</si>
  <si>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</si>
  <si>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</si>
  <si>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</si>
  <si>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</si>
  <si>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</si>
  <si>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</si>
  <si>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</si>
  <si>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</si>
  <si>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</si>
  <si>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</si>
  <si>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</si>
  <si>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</si>
  <si>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</si>
  <si>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</si>
  <si>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</si>
  <si>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</si>
  <si>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</si>
  <si>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</si>
  <si>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</si>
  <si>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</si>
  <si>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</si>
  <si>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</si>
  <si>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</si>
  <si>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</si>
  <si>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</si>
  <si>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</si>
  <si>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</si>
  <si>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</si>
  <si>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</si>
  <si>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</si>
  <si>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</si>
  <si>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</si>
  <si>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</si>
  <si>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</si>
  <si>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</si>
  <si>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</si>
  <si>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</si>
  <si>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</si>
  <si>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</si>
  <si>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</si>
  <si>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</si>
  <si>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</si>
  <si>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</si>
  <si>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</si>
  <si>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</si>
  <si>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</si>
  <si>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</si>
  <si>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</si>
  <si>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</si>
  <si>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</si>
  <si>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</si>
  <si>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</si>
  <si>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</si>
  <si>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</si>
  <si>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</si>
  <si>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</si>
  <si>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</si>
  <si>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</si>
  <si>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</si>
  <si>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</si>
  <si>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</si>
  <si>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</si>
  <si>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</si>
  <si>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</si>
  <si>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</si>
  <si>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</si>
  <si>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</si>
  <si>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</si>
  <si>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</si>
  <si>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</si>
  <si>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</si>
  <si>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</si>
  <si>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</si>
  <si>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</si>
  <si>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</si>
  <si>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</si>
  <si>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</si>
  <si>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</si>
  <si>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</si>
  <si>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</si>
  <si>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</si>
  <si>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</si>
  <si>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</si>
  <si>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</si>
  <si>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</si>
  <si>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</si>
  <si>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</si>
  <si>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</si>
  <si>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</si>
  <si>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</si>
  <si>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</si>
  <si>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</si>
  <si>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</si>
  <si>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</si>
  <si>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</si>
  <si>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</si>
  <si>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</si>
  <si>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</si>
  <si>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</si>
  <si>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</si>
  <si>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</si>
  <si>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</si>
  <si>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</si>
  <si>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</si>
  <si>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</si>
  <si>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</si>
  <si>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</si>
  <si>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</si>
  <si>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</si>
  <si>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</si>
  <si>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</si>
  <si>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</si>
  <si>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</si>
  <si>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</si>
  <si>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</si>
  <si>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</si>
  <si>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</si>
  <si>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</si>
  <si>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</si>
  <si>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</si>
  <si>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</si>
  <si>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</si>
  <si>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</si>
  <si>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</si>
  <si>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</si>
  <si>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</si>
  <si>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</si>
  <si>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</si>
  <si>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</si>
  <si>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</si>
  <si>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</si>
  <si>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</si>
  <si>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</si>
  <si>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</si>
  <si>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</si>
  <si>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</si>
  <si>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</si>
  <si>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</si>
  <si>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</si>
  <si>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</si>
  <si>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</si>
  <si>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</si>
  <si>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</si>
  <si>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</si>
  <si>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</si>
  <si>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</si>
  <si>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</si>
  <si>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</si>
  <si>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</si>
  <si>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</si>
  <si>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</si>
  <si>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</si>
  <si>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</si>
  <si>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</si>
  <si>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</si>
  <si>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</si>
  <si>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</si>
  <si>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</si>
  <si>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</si>
  <si>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</si>
  <si>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</si>
  <si>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</si>
  <si>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</si>
  <si>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</si>
  <si>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</si>
  <si>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</si>
  <si>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</si>
  <si>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</si>
  <si>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</si>
  <si>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</si>
  <si>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</si>
  <si>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</si>
  <si>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</si>
  <si>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</si>
  <si>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</si>
  <si>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</si>
  <si>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</si>
  <si>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</si>
  <si>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</si>
  <si>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</si>
  <si>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</si>
  <si>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</si>
  <si>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</si>
  <si>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</si>
  <si>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</si>
  <si>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</si>
  <si>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</si>
  <si>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</si>
  <si>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</si>
  <si>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</si>
  <si>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</si>
  <si>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</si>
  <si>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</si>
  <si>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</si>
  <si>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</si>
  <si>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</si>
  <si>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</si>
  <si>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</si>
  <si>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</si>
  <si>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</si>
  <si>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</si>
  <si>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</si>
  <si>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</si>
  <si>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</si>
  <si>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</si>
  <si>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</si>
  <si>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</si>
  <si>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</si>
  <si>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</si>
  <si>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</si>
  <si>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</si>
  <si>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</si>
  <si>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</si>
  <si>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</si>
  <si>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</si>
  <si>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</si>
  <si>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</si>
  <si>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</si>
  <si>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</si>
  <si>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</si>
  <si>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</si>
  <si>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</si>
  <si>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</si>
  <si>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</si>
  <si>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</si>
  <si>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</si>
  <si>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</si>
  <si>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</si>
  <si>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</si>
  <si>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</si>
  <si>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</si>
  <si>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</si>
  <si>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</si>
  <si>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</si>
  <si>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</si>
  <si>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</si>
  <si>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</si>
  <si>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</si>
  <si>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</si>
  <si>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</si>
  <si>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</si>
  <si>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</si>
  <si>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</si>
  <si>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</si>
  <si>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</si>
  <si>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</si>
  <si>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</si>
  <si>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</si>
  <si>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</si>
  <si>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</si>
  <si>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</si>
  <si>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</si>
  <si>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</si>
  <si>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</si>
  <si>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</si>
  <si>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</si>
  <si>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</si>
  <si>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</si>
  <si>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</si>
  <si>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</si>
  <si>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</si>
  <si>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</si>
  <si>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</si>
  <si>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</si>
  <si>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</si>
  <si>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</si>
  <si>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</si>
  <si>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</si>
  <si>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</si>
  <si>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</si>
  <si>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</si>
  <si>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</si>
  <si>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</si>
  <si>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</si>
  <si>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</si>
  <si>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</si>
  <si>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</si>
  <si>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</si>
  <si>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</si>
  <si>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</si>
  <si>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</si>
  <si>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</si>
  <si>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</si>
  <si>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</si>
  <si>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</si>
  <si>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</si>
  <si>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</si>
  <si>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</si>
  <si>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</si>
  <si>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</si>
  <si>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</si>
  <si>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</si>
  <si>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</si>
  <si>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</si>
  <si>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</si>
  <si>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</si>
  <si>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</si>
  <si>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</si>
  <si>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</si>
  <si>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</si>
  <si>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</si>
  <si>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</si>
  <si>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</si>
  <si>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</si>
  <si>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</si>
  <si>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</si>
  <si>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</si>
  <si>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</si>
  <si>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</si>
  <si>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</si>
  <si>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</si>
  <si>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</si>
  <si>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</si>
  <si>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</si>
  <si>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</si>
  <si>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</si>
  <si>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</si>
  <si>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</si>
  <si>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</si>
  <si>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</si>
  <si>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</si>
  <si>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</si>
  <si>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</si>
  <si>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</si>
  <si>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</si>
  <si>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</si>
  <si>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</si>
  <si>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</si>
  <si>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</si>
  <si>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</si>
  <si>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</si>
  <si>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</si>
  <si>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</si>
  <si>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</si>
  <si>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</si>
  <si>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</si>
  <si>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</si>
  <si>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</si>
  <si>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</si>
  <si>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</si>
  <si>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</si>
  <si>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</si>
  <si>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</si>
  <si>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</si>
  <si>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</si>
  <si>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</si>
  <si>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</si>
  <si>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</si>
  <si>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</si>
  <si>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</si>
  <si>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</si>
  <si>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</si>
  <si>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</si>
  <si>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</si>
  <si>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</si>
  <si>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</si>
  <si>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</si>
  <si>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</si>
  <si>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</si>
  <si>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</si>
  <si>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</si>
  <si>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</si>
  <si>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</si>
  <si>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</si>
  <si>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</si>
  <si>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</si>
  <si>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</si>
  <si>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</si>
  <si>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</si>
  <si>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</si>
  <si>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</si>
  <si>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</si>
  <si>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</si>
  <si>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</si>
  <si>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</si>
  <si>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</si>
  <si>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</si>
  <si>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</si>
  <si>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</si>
  <si>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</si>
  <si>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</si>
  <si>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</si>
  <si>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</si>
  <si>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</si>
  <si>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</si>
  <si>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</si>
  <si>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</si>
  <si>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</si>
  <si>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</si>
  <si>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</si>
  <si>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</si>
  <si>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</si>
  <si>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</si>
  <si>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</si>
  <si>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</si>
  <si>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</si>
  <si>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</si>
  <si>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</si>
  <si>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</si>
  <si>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</si>
  <si>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</si>
  <si>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</si>
  <si>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</si>
  <si>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</si>
  <si>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</si>
  <si>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</si>
  <si>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</si>
  <si>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</si>
  <si>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</si>
  <si>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</si>
  <si>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</si>
  <si>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</si>
  <si>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</si>
  <si>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</si>
  <si>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</si>
  <si>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</si>
  <si>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</si>
  <si>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</si>
  <si>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</si>
  <si>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</si>
  <si>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</si>
  <si>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</si>
  <si>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</si>
  <si>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</si>
  <si>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</si>
  <si>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</si>
  <si>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</si>
  <si>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</si>
  <si>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</si>
  <si>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</si>
  <si>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</si>
  <si>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</si>
  <si>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</si>
  <si>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</si>
  <si>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</si>
  <si>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</si>
  <si>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</si>
  <si>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</si>
  <si>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</si>
  <si>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</si>
  <si>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</si>
  <si>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</si>
  <si>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</si>
  <si>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</si>
  <si>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</si>
  <si>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</si>
  <si>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</si>
  <si>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</si>
  <si>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</si>
  <si>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</si>
  <si>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</si>
  <si>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</si>
  <si>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</si>
  <si>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</si>
  <si>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</si>
  <si>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</si>
  <si>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</si>
  <si>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</si>
  <si>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</si>
  <si>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</si>
  <si>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</si>
  <si>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</si>
  <si>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</si>
  <si>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</si>
  <si>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</si>
  <si>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</si>
  <si>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</si>
  <si>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</si>
  <si>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</si>
  <si>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</si>
  <si>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</si>
  <si>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</si>
  <si>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</si>
  <si>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</si>
  <si>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</si>
  <si>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</si>
  <si>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</si>
  <si>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</si>
  <si>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</si>
  <si>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</si>
  <si>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</si>
  <si>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</si>
  <si>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</si>
  <si>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</si>
  <si>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</si>
  <si>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</si>
  <si>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</si>
  <si>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</si>
  <si>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</si>
  <si>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</si>
  <si>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</si>
  <si>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</si>
  <si>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</si>
  <si>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</si>
  <si>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</si>
  <si>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</si>
  <si>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</si>
  <si>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</si>
  <si>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</si>
  <si>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</si>
  <si>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</si>
  <si>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</si>
  <si>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</si>
  <si>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</si>
  <si>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</si>
  <si>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</si>
  <si>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</si>
  <si>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</si>
  <si>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</si>
  <si>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</si>
  <si>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</si>
  <si>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</si>
  <si>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</si>
  <si>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</si>
  <si>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</si>
  <si>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</si>
  <si>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</si>
  <si>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</si>
  <si>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</si>
  <si>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</si>
  <si>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</si>
  <si>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</si>
  <si>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</si>
  <si>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</si>
  <si>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</si>
  <si>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</si>
  <si>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</si>
  <si>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</si>
  <si>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</si>
  <si>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</si>
  <si>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</si>
  <si>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</si>
  <si>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</si>
  <si>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</si>
  <si>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</si>
  <si>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</si>
  <si>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</si>
  <si>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</si>
  <si>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</si>
  <si>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</si>
  <si>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</si>
  <si>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</si>
  <si>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</si>
  <si>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</si>
  <si>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</si>
  <si>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</si>
  <si>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</si>
  <si>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</si>
  <si>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</si>
  <si>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</si>
  <si>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</si>
  <si>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</si>
  <si>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</si>
  <si>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</si>
  <si>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</si>
  <si>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</si>
  <si>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</si>
  <si>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</si>
  <si>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</si>
  <si>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</si>
  <si>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</si>
  <si>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</si>
  <si>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</si>
  <si>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</si>
  <si>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</si>
  <si>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</si>
  <si>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</si>
  <si>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</si>
  <si>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</si>
  <si>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</si>
  <si>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</si>
  <si>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</si>
  <si>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</si>
  <si>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</si>
  <si>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</si>
  <si>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</si>
  <si>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</si>
  <si>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</si>
  <si>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</si>
  <si>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</si>
  <si>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</si>
  <si>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</si>
  <si>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</si>
  <si>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</si>
  <si>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</si>
  <si>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</si>
  <si>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</si>
  <si>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</si>
  <si>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</si>
  <si>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</si>
  <si>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</si>
  <si>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</si>
  <si>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</si>
  <si>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</si>
  <si>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</si>
  <si>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</si>
  <si>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</si>
  <si>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</si>
  <si>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</si>
  <si>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</si>
  <si>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</si>
  <si>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</si>
  <si>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</si>
  <si>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</si>
  <si>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</si>
  <si>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</si>
  <si>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</si>
  <si>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</si>
  <si>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</si>
  <si>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总价</t>
    <phoneticPr fontId="228" type="noConversion"/>
  </si>
  <si>
    <t>单价</t>
    <phoneticPr fontId="228" type="noConversion"/>
  </si>
  <si>
    <t>容积率</t>
    <phoneticPr fontId="228" type="noConversion"/>
  </si>
  <si>
    <t>建筑密度</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</si>
  <si>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</si>
  <si>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</si>
  <si>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</si>
  <si>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</si>
  <si>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</si>
  <si>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</si>
  <si>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</si>
  <si>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</si>
  <si>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</si>
  <si>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</si>
  <si>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</si>
  <si>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</si>
  <si>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</si>
  <si>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双拥路西,飞达路南侧</t>
  </si>
  <si>
    <t>盐城市</t>
  </si>
  <si>
    <t>住宅用地</t>
  </si>
  <si>
    <t>大于1并且小于或等于2</t>
  </si>
  <si>
    <t>挂牌</t>
  </si>
  <si>
    <t>2019-08-09</t>
  </si>
  <si>
    <t>盐城市大丰区振城建设有限公司</t>
  </si>
  <si>
    <t>3星</t>
  </si>
  <si>
    <t>开发区锦丰路东侧、反修河南侧地块</t>
  </si>
  <si>
    <t>≥1.2,≤1.5</t>
  </si>
  <si>
    <t>2018-03-07</t>
  </si>
  <si>
    <t>江苏权健置业有限公司</t>
  </si>
  <si>
    <t>2星</t>
  </si>
  <si>
    <t>东郊公园东侧B地块</t>
  </si>
  <si>
    <t>＞1,≤1.8</t>
  </si>
  <si>
    <t>2018-01-07</t>
  </si>
  <si>
    <t>苏州升益房地产信息咨询有限公司</t>
  </si>
  <si>
    <t>南翔大道南侧B地块</t>
  </si>
  <si>
    <t>＞1,≤2.2</t>
  </si>
  <si>
    <t>宁波宁发投资有限公司</t>
  </si>
  <si>
    <t>1星</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</si>
  <si>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</si>
  <si>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</si>
  <si>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</si>
  <si>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</si>
  <si>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</si>
  <si>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</si>
  <si>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</si>
  <si>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</si>
  <si>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</si>
  <si>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</si>
  <si>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</si>
  <si>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≤2</t>
  </si>
  <si>
    <t>2017-07-06</t>
  </si>
  <si>
    <t>盐城大丰宏嘉旅游开发有限公司</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</si>
  <si>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</si>
  <si>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</si>
  <si>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</si>
  <si>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</si>
  <si>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</si>
  <si>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</si>
  <si>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</si>
  <si>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</si>
  <si>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</si>
  <si>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</si>
  <si>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</si>
  <si>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</si>
  <si>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</si>
  <si>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新丰镇226省道东侧、南环大道北侧地块</t>
  </si>
  <si>
    <t>＞1且≤2</t>
  </si>
  <si>
    <t>2017-01-16</t>
  </si>
  <si>
    <t>江苏郁金香旅游开发有限公司</t>
  </si>
  <si>
    <t>南环大道南侧、常新北路西侧地块</t>
  </si>
  <si>
    <t>＞1且≤1.8</t>
  </si>
  <si>
    <t>2016-11-23</t>
  </si>
  <si>
    <t>盐城市大丰区裕丰城镇建设发展有限公司</t>
  </si>
  <si>
    <t>0星</t>
  </si>
  <si>
    <t>计算容积率</t>
    <phoneticPr fontId="228" type="noConversion"/>
  </si>
  <si>
    <t>起始价</t>
    <phoneticPr fontId="228" type="noConversion"/>
  </si>
  <si>
    <t>地上</t>
  </si>
  <si>
    <t>平层住宅</t>
  </si>
  <si>
    <t>住宅</t>
    <phoneticPr fontId="7" type="noConversion"/>
  </si>
  <si>
    <t>正常</t>
  </si>
  <si>
    <t>楼面地价</t>
  </si>
  <si>
    <t>一般</t>
  </si>
  <si>
    <t>好</t>
  </si>
  <si>
    <t>比较法-住宅、综合</t>
  </si>
  <si>
    <t>剩余法-待开发</t>
  </si>
  <si>
    <t>评估值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</si>
</sst>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9" fontId="0" fillId="0" borderId="0" xfId="0" applyNumberFormat="1">
      <alignment vertical="center"/>
    </xf>
    <xf numFmtId="0" fontId="0" fillId="0" borderId="0" xfId="0" applyAlignment="1">
      <alignment wrapText="1"/>
    </xf>
    <xf numFmtId="0" fontId="0" fillId="0" borderId="0" xfId="0" applyAlignment="1">
      <alignment horizontal="center" vertical="center" wrapText="1"/>
    </xf>
    <xf numFmtId="0" fontId="145" fillId="0" borderId="0" xfId="0" applyFont="1" applyAlignment="1">
      <alignment horizontal="center" vertical="center" wrapText="1"/>
    </xf>
    <xf numFmtId="0" fontId="0" fillId="9" borderId="0" xfId="0" applyFill="1" applyAlignment="1">
      <alignment horizontal="center" vertical="center" wrapText="1"/>
    </xf>
    <xf numFmtId="0" fontId="0" fillId="9" borderId="0" xfId="0" applyFill="1" applyAlignment="1">
      <alignment wrapText="1"/>
    </xf>
    <xf numFmtId="0" fontId="0" fillId="0" borderId="0" xfId="0" applyFill="1" applyAlignment="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0" fillId="0" borderId="0" xfId="0" applyFill="1" applyAlignment="1">
      <alignment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122757</xdr:colOff>
      <xdr:row>46</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657850"/>
          <a:ext cx="8552382" cy="5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3"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20000平方米。根据《建设工程规划许可证》[]、《出让合同》[]，估价对象规划建筑面积为28000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2019年8月22日（评估专业人员勘察现场之日）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根据《国有土地使用证》[]，估价对象（分摊）出让国有建设用地使用权面积为20000平方米。根据《建设工程规划许可证》[]、《出让合同》[]，估价对象规划建筑面积为28000平方米。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3月23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估价期日：2019年8月22日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20000</v>
      </c>
    </row>
    <row r="44" spans="1:2">
      <c r="A44" s="2833" t="s">
        <v>2740</v>
      </c>
      <c r="B44" s="2834" t="str">
        <f>'预评函-2'!O3</f>
        <v>规划建筑面积/㎡</v>
      </c>
    </row>
    <row r="45" spans="1:2">
      <c r="A45" s="2833" t="s">
        <v>2722</v>
      </c>
      <c r="B45" s="2834">
        <f>'预评函-2'!O5</f>
        <v>28000</v>
      </c>
    </row>
    <row r="46" spans="1:2">
      <c r="A46" s="2833" t="s">
        <v>2723</v>
      </c>
      <c r="B46" s="2834">
        <f ca="1">'预评函-2'!P5</f>
        <v>3505</v>
      </c>
    </row>
    <row r="47" spans="1:2">
      <c r="A47" s="2833" t="s">
        <v>2724</v>
      </c>
      <c r="B47" s="2834">
        <f ca="1">'预评函-2'!Q5</f>
        <v>2504</v>
      </c>
    </row>
    <row r="48" spans="1:2">
      <c r="A48" s="2833" t="s">
        <v>2725</v>
      </c>
      <c r="B48" s="2834">
        <f ca="1">'预评函-2'!R5</f>
        <v>7010</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0" sqref="G3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5" t="str">
        <f>IF(B10="北京市","北京市",C10)&amp;F10&amp;B16&amp;"国有建设用地使用权"&amp;B9&amp;"预评估"</f>
        <v>出让国有建设用地使用权预评估</v>
      </c>
      <c r="C1" s="3226"/>
      <c r="D1" s="3226"/>
      <c r="E1" s="3226"/>
      <c r="F1" s="3226"/>
      <c r="G1" s="3226"/>
      <c r="H1" s="3226"/>
      <c r="I1" s="322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43699</v>
      </c>
      <c r="C3" s="1647" t="s">
        <v>1995</v>
      </c>
      <c r="D3" s="1646">
        <f>B3</f>
        <v>43699</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3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3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8"/>
      <c r="C12" s="3229"/>
      <c r="D12" s="3230"/>
      <c r="E12" s="1683" t="s">
        <v>2061</v>
      </c>
      <c r="F12" s="3246" t="s">
        <v>2890</v>
      </c>
      <c r="G12" s="3247"/>
      <c r="H12" s="3247"/>
      <c r="I12" s="3248"/>
      <c r="J12" s="1678"/>
      <c r="K12" s="1758"/>
      <c r="L12" s="1707"/>
      <c r="M12" s="1707"/>
      <c r="N12" s="1678"/>
      <c r="O12" s="1679"/>
      <c r="P12" s="1678"/>
      <c r="Q12" s="1678"/>
      <c r="R12" s="1678"/>
      <c r="S12" s="1678"/>
      <c r="T12" s="1678"/>
      <c r="U12" s="1678"/>
    </row>
    <row r="13" spans="1:21">
      <c r="A13" s="1671" t="s">
        <v>2059</v>
      </c>
      <c r="B13" s="3228"/>
      <c r="C13" s="3229"/>
      <c r="D13" s="3230"/>
      <c r="E13" s="1683" t="s">
        <v>2061</v>
      </c>
      <c r="F13" s="3246" t="s">
        <v>2891</v>
      </c>
      <c r="G13" s="3247"/>
      <c r="H13" s="3247"/>
      <c r="I13" s="324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住宅2079年3月23日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65462</v>
      </c>
      <c r="E17" s="1684"/>
      <c r="F17" s="1684"/>
      <c r="G17" s="1684"/>
      <c r="H17" s="1684"/>
      <c r="I17" s="1684"/>
      <c r="J17" s="1678"/>
      <c r="K17" s="2419" t="str">
        <f>CONCATENATE(K16,L16,M16,N16,O16,P16,Q16,R16,S16,T16,,U16)</f>
        <v>住宅2079年3月23日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59.62</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3"/>
      <c r="E20" s="3244"/>
      <c r="F20" s="3244"/>
      <c r="G20" s="3244"/>
      <c r="H20" s="3244"/>
      <c r="I20" s="3245"/>
      <c r="J20" s="1678"/>
      <c r="K20" s="1758"/>
      <c r="L20" s="1707"/>
      <c r="M20" s="1707"/>
      <c r="N20" s="1678"/>
      <c r="O20" s="1679"/>
      <c r="P20" s="1678"/>
      <c r="Q20" s="1678"/>
      <c r="R20" s="1678"/>
      <c r="S20" s="1678"/>
      <c r="T20" s="1678"/>
      <c r="U20" s="1678"/>
    </row>
    <row r="21" spans="1:21">
      <c r="A21" s="1747" t="s">
        <v>1958</v>
      </c>
      <c r="B21" s="1748" t="s">
        <v>1959</v>
      </c>
      <c r="C21" s="1743">
        <f>'数据-汇总表'!E3</f>
        <v>28000</v>
      </c>
      <c r="D21" s="1744" t="s">
        <v>1960</v>
      </c>
      <c r="E21" s="3233" t="s">
        <v>1998</v>
      </c>
      <c r="F21" s="3234"/>
      <c r="G21" s="3234"/>
      <c r="H21" s="3234"/>
      <c r="I21" s="3235"/>
      <c r="J21" s="1678"/>
      <c r="K21" s="1758"/>
      <c r="L21" s="1707"/>
      <c r="M21" s="1707"/>
      <c r="N21" s="1678"/>
      <c r="O21" s="1679"/>
      <c r="P21" s="1678"/>
      <c r="Q21" s="1678"/>
      <c r="R21" s="1678"/>
      <c r="S21" s="1678"/>
      <c r="T21" s="1678"/>
      <c r="U21" s="1678"/>
    </row>
    <row r="22" spans="1:21">
      <c r="A22" s="3097" t="s">
        <v>952</v>
      </c>
      <c r="B22" s="1645" t="s">
        <v>1961</v>
      </c>
      <c r="C22" s="1670">
        <f>'数据-汇总表'!D3</f>
        <v>20000</v>
      </c>
      <c r="D22" s="1671" t="s">
        <v>1960</v>
      </c>
      <c r="E22" s="3233" t="s">
        <v>2892</v>
      </c>
      <c r="F22" s="3234"/>
      <c r="G22" s="3234"/>
      <c r="H22" s="3234"/>
      <c r="I22" s="3235"/>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6" t="s">
        <v>1966</v>
      </c>
      <c r="C24" s="3237"/>
      <c r="D24" s="3238" t="s">
        <v>1967</v>
      </c>
      <c r="E24" s="3239"/>
      <c r="F24" s="1692" t="s">
        <v>1968</v>
      </c>
      <c r="G24" s="1678"/>
      <c r="H24" s="1678"/>
      <c r="I24" s="1691"/>
      <c r="J24" s="1678"/>
      <c r="K24" s="322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1" t="s">
        <v>2001</v>
      </c>
      <c r="B31" s="1748" t="s">
        <v>2002</v>
      </c>
      <c r="C31" s="3249"/>
      <c r="D31" s="3250"/>
      <c r="E31" s="1678"/>
      <c r="F31" s="1678"/>
      <c r="G31" s="1678"/>
      <c r="H31" s="1678"/>
      <c r="I31" s="1691"/>
      <c r="J31" s="1678"/>
      <c r="K31" s="2422"/>
      <c r="L31" s="1678"/>
      <c r="M31" s="1678"/>
      <c r="N31" s="1678"/>
      <c r="O31" s="1678"/>
      <c r="P31" s="1678"/>
      <c r="Q31" s="1678"/>
      <c r="R31" s="1678"/>
      <c r="S31" s="1678"/>
      <c r="T31" s="1678"/>
      <c r="U31" s="1678"/>
    </row>
    <row r="32" spans="1:21">
      <c r="A32" s="325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2"/>
      <c r="B34" s="1645" t="s">
        <v>2005</v>
      </c>
      <c r="C34" s="3253"/>
      <c r="D34" s="3254"/>
      <c r="E34" s="1678"/>
      <c r="F34" s="1678"/>
      <c r="G34" s="1678"/>
      <c r="H34" s="1678"/>
      <c r="I34" s="1691"/>
      <c r="J34" s="1678"/>
      <c r="K34" s="2422"/>
      <c r="L34" s="1678"/>
      <c r="M34" s="1678"/>
      <c r="N34" s="1678"/>
      <c r="O34" s="1678"/>
      <c r="P34" s="1678"/>
      <c r="Q34" s="1678"/>
      <c r="R34" s="1678"/>
      <c r="S34" s="1678"/>
      <c r="T34" s="1678"/>
      <c r="U34" s="1678"/>
    </row>
    <row r="35" spans="1:21">
      <c r="A35" s="3255" t="s">
        <v>847</v>
      </c>
      <c r="B35" s="1706"/>
      <c r="C35" s="1760" t="str">
        <f>IF(B35="场地平整","——","具体情况：")</f>
        <v>具体情况：</v>
      </c>
      <c r="D35" s="3257"/>
      <c r="E35" s="3258"/>
      <c r="F35" s="3258"/>
      <c r="G35" s="3258"/>
      <c r="H35" s="3258"/>
      <c r="I35" s="3259"/>
      <c r="J35" s="1678"/>
      <c r="K35" s="1759"/>
      <c r="L35" s="1707"/>
      <c r="M35" s="1707"/>
      <c r="N35" s="1678"/>
      <c r="O35" s="1679"/>
      <c r="P35" s="1678"/>
      <c r="Q35" s="1678"/>
      <c r="R35" s="1678"/>
      <c r="S35" s="1678"/>
      <c r="T35" s="1678"/>
      <c r="U35" s="1678"/>
    </row>
    <row r="36" spans="1:21">
      <c r="A36" s="3251"/>
      <c r="B36" s="3260" t="s">
        <v>2054</v>
      </c>
      <c r="C36" s="3261"/>
      <c r="D36" s="1776"/>
      <c r="E36" s="3262"/>
      <c r="F36" s="3262"/>
      <c r="G36" s="1671" t="str">
        <f>IF(B35="场地未平整","估价结果处理","")</f>
        <v/>
      </c>
      <c r="H36" s="3263"/>
      <c r="I36" s="3263"/>
      <c r="J36" s="1678"/>
      <c r="K36" s="1759"/>
      <c r="L36" s="1707"/>
      <c r="M36" s="1707"/>
      <c r="N36" s="1678"/>
      <c r="O36" s="1679"/>
      <c r="P36" s="1678"/>
      <c r="Q36" s="1678"/>
      <c r="R36" s="1678"/>
      <c r="S36" s="1678"/>
      <c r="T36" s="1678"/>
      <c r="U36" s="1678"/>
    </row>
    <row r="37" spans="1:21" ht="28.5">
      <c r="A37" s="3251"/>
      <c r="B37" s="324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1"/>
      <c r="B38" s="3241"/>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2"/>
      <c r="B39" s="324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3" t="s">
        <v>1985</v>
      </c>
      <c r="T40" s="1715" t="str">
        <f>NUMBERSTRING(7-K40,1)&amp;"通"</f>
        <v>七通</v>
      </c>
      <c r="U40" s="1678"/>
    </row>
    <row r="41" spans="1:21">
      <c r="A41" s="1647"/>
      <c r="B41" s="3256" t="s">
        <v>1721</v>
      </c>
      <c r="C41" s="3256"/>
      <c r="D41" s="3256"/>
      <c r="E41" s="325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6" sqref="F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20000</v>
      </c>
      <c r="B3" s="22">
        <f>IF(C3="否",G5-AT5,G5)</f>
        <v>28000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28000</v>
      </c>
      <c r="H5" s="27">
        <f t="shared" ref="H5:AT5" si="0">SUM(H13:H641)</f>
        <v>28000</v>
      </c>
      <c r="I5" s="27">
        <f t="shared" si="0"/>
        <v>28000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28000</v>
      </c>
      <c r="BA5" s="29">
        <f t="shared" si="1"/>
        <v>28000</v>
      </c>
      <c r="BB5" s="29">
        <f t="shared" si="1"/>
        <v>28000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20000</v>
      </c>
      <c r="F6" s="27" t="s">
        <v>1</v>
      </c>
      <c r="G6" s="27" t="s">
        <v>2</v>
      </c>
      <c r="H6" s="33">
        <f>SUMIF(I$12:AB$12,"总值",I6:AB6)</f>
        <v>20000</v>
      </c>
      <c r="I6" s="27">
        <f t="shared" ref="I6:AB6" si="2">ROUND($A$3*I5/$B$3,2)</f>
        <v>20000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20000</v>
      </c>
      <c r="AZ6" s="27" t="s">
        <v>3</v>
      </c>
      <c r="BA6" s="27">
        <f>ROUND($AY$6*BA5/$AZ$5,2)</f>
        <v>20000</v>
      </c>
      <c r="BB6" s="27">
        <f>ROUND($AY$6*BB5/$AZ$5,2)</f>
        <v>20000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3075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3076</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20000</v>
      </c>
      <c r="F13" s="81"/>
      <c r="G13" s="82">
        <f t="shared" ref="G13:G20" si="7">H13+AC13+AT13</f>
        <v>28000</v>
      </c>
      <c r="H13" s="33">
        <f t="shared" ref="H13:H20" si="8">SUMIF(I$12:AB$12,"总值",I13:AB13)</f>
        <v>28000</v>
      </c>
      <c r="I13" s="2970">
        <f>A3*1.4</f>
        <v>28000</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20000</v>
      </c>
      <c r="AZ13" s="27">
        <f t="shared" ref="AZ13:AZ20" si="12">BA13+BL13</f>
        <v>28000</v>
      </c>
      <c r="BA13" s="27">
        <f t="shared" ref="BA13:BA20" si="13">SUM(BB13:BK13)</f>
        <v>28000</v>
      </c>
      <c r="BB13" s="27">
        <f t="shared" ref="BB13:BB20" si="14">IF($D13="是",I13-J13,0)</f>
        <v>28000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1" sqref="K3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5" t="s">
        <v>203</v>
      </c>
      <c r="B2" s="3275"/>
      <c r="C2" s="3275"/>
      <c r="D2" s="1960" t="s">
        <v>204</v>
      </c>
      <c r="E2" s="106" t="s">
        <v>205</v>
      </c>
      <c r="F2" s="1969"/>
      <c r="G2" s="1194"/>
      <c r="H2" s="1195"/>
      <c r="I2" s="1196" t="s">
        <v>857</v>
      </c>
      <c r="J2" s="1969"/>
      <c r="K2" s="1969"/>
      <c r="L2" s="1969"/>
    </row>
    <row r="3" spans="1:16" ht="15.75" thickBot="1">
      <c r="A3" s="3276" t="s">
        <v>206</v>
      </c>
      <c r="B3" s="3276"/>
      <c r="C3" s="3276"/>
      <c r="D3" s="107">
        <f>'数据-基础表'!AY6</f>
        <v>20000</v>
      </c>
      <c r="E3" s="107">
        <f>'数据-基础表'!AZ5</f>
        <v>28000</v>
      </c>
      <c r="F3" s="1969"/>
      <c r="G3" s="280" t="s">
        <v>858</v>
      </c>
      <c r="H3" s="275" t="s">
        <v>859</v>
      </c>
      <c r="I3" s="1961">
        <f>ROUND('数据-基础表'!B3/'数据-基础表'!A3,2)</f>
        <v>1.4</v>
      </c>
      <c r="J3" s="1969"/>
      <c r="K3" s="1969"/>
      <c r="L3" s="1969"/>
    </row>
    <row r="4" spans="1:16" ht="15">
      <c r="A4" s="3277"/>
      <c r="B4" s="3278"/>
      <c r="C4" s="3279"/>
      <c r="D4" s="108" t="s">
        <v>204</v>
      </c>
      <c r="E4" s="109" t="s">
        <v>205</v>
      </c>
      <c r="F4" s="1969"/>
      <c r="G4" s="1197"/>
      <c r="H4" s="275" t="s">
        <v>860</v>
      </c>
      <c r="I4" s="1961">
        <f>ROUND(SUMIF('数据-基础表'!I9:AS9,"地上",'数据-基础表'!I5:AS5)/'数据-基础表'!A3,2)</f>
        <v>1.4</v>
      </c>
      <c r="J4" s="1969"/>
      <c r="K4" s="1969"/>
      <c r="L4" s="1969"/>
    </row>
    <row r="5" spans="1:16">
      <c r="A5" s="110" t="s">
        <v>207</v>
      </c>
      <c r="B5" s="3280" t="s">
        <v>230</v>
      </c>
      <c r="C5" s="3280"/>
      <c r="D5" s="111">
        <f>ROUND($D$3*E5/$E$3,2)</f>
        <v>20000</v>
      </c>
      <c r="E5" s="112">
        <f>SUMIF('数据-基础表'!$11:$11,"住宅",'数据-基础表'!$5:$5)</f>
        <v>28000</v>
      </c>
      <c r="F5" s="1969"/>
      <c r="G5" s="280" t="s">
        <v>861</v>
      </c>
      <c r="H5" s="275" t="s">
        <v>859</v>
      </c>
      <c r="I5" s="1961">
        <f>ROUND(E31/D31,2)</f>
        <v>1.4</v>
      </c>
      <c r="J5" s="1969"/>
      <c r="K5" s="1969"/>
      <c r="L5" s="1969"/>
    </row>
    <row r="6" spans="1:16" ht="15" thickBot="1">
      <c r="A6" s="113"/>
      <c r="B6" s="3280" t="s">
        <v>208</v>
      </c>
      <c r="C6" s="3280"/>
      <c r="D6" s="111">
        <f>ROUND($D$3*E6/$E$3,2)</f>
        <v>0</v>
      </c>
      <c r="E6" s="112">
        <f>E3-E5</f>
        <v>0</v>
      </c>
      <c r="F6" s="1969"/>
      <c r="G6" s="1197"/>
      <c r="H6" s="275" t="s">
        <v>860</v>
      </c>
      <c r="I6" s="1961">
        <f>ROUND(F31/D31,2)</f>
        <v>1.4</v>
      </c>
      <c r="J6" s="1969"/>
      <c r="K6" s="1969"/>
      <c r="L6" s="1969"/>
    </row>
    <row r="7" spans="1:16" ht="15">
      <c r="A7" s="3272"/>
      <c r="B7" s="3273"/>
      <c r="C7" s="3274"/>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20000</v>
      </c>
      <c r="E8" s="116">
        <f>SUMIF('数据-基础表'!BB10:BK10,"地上",'数据-基础表'!BB5:BK5)</f>
        <v>28000</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20000</v>
      </c>
      <c r="E16" s="120">
        <f>SUM(E8:E15)</f>
        <v>28000</v>
      </c>
      <c r="F16" s="1969"/>
      <c r="G16" s="1971"/>
      <c r="H16" s="968" t="s">
        <v>219</v>
      </c>
      <c r="I16" s="969"/>
      <c r="J16" s="1969"/>
      <c r="K16" s="3266" t="s">
        <v>2566</v>
      </c>
      <c r="L16" s="3267"/>
      <c r="M16" s="3267"/>
      <c r="N16" s="3267"/>
      <c r="O16" s="3267"/>
      <c r="P16" s="3268"/>
    </row>
    <row r="17" spans="1:19" ht="15">
      <c r="A17" s="121" t="s">
        <v>216</v>
      </c>
      <c r="B17" s="122" t="s">
        <v>217</v>
      </c>
      <c r="C17" s="2283" t="s">
        <v>2313</v>
      </c>
      <c r="D17" s="108" t="s">
        <v>204</v>
      </c>
      <c r="E17" s="124" t="s">
        <v>205</v>
      </c>
      <c r="F17" s="125"/>
      <c r="G17" s="1362"/>
      <c r="H17" s="970" t="s">
        <v>218</v>
      </c>
      <c r="I17" s="971" t="s">
        <v>2312</v>
      </c>
      <c r="J17" s="1969"/>
      <c r="K17" s="3269" t="s">
        <v>2567</v>
      </c>
      <c r="L17" s="3270"/>
      <c r="M17" s="3271"/>
      <c r="N17" s="3269" t="s">
        <v>2568</v>
      </c>
      <c r="O17" s="3270"/>
      <c r="P17" s="3271"/>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3077</v>
      </c>
      <c r="D19" s="111">
        <f t="shared" ref="D19:D26" si="1">ROUND($D$3*E19/$E$3,2)</f>
        <v>20000</v>
      </c>
      <c r="E19" s="134">
        <f t="shared" ref="E19:E26" si="2">SUM(F19:G19)</f>
        <v>28000</v>
      </c>
      <c r="F19" s="135">
        <f>'数据-基础表'!I13</f>
        <v>28000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20000</v>
      </c>
      <c r="S19" s="2286">
        <f t="shared" si="5"/>
        <v>28000</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20000</v>
      </c>
      <c r="E27" s="143">
        <f>IF(SUM(E19:E26)='数据-基础表'!BA5,SUM(E19:E26),IF(F27="地上面积有误","面积有误","地下面积有误"))</f>
        <v>28000</v>
      </c>
      <c r="F27" s="134">
        <f>IF(SUM(F19:F26)=E8,SUM(F19:F26),"地上面积有误")</f>
        <v>28000</v>
      </c>
      <c r="G27" s="112">
        <f>SUM(G19:G26)</f>
        <v>0</v>
      </c>
      <c r="H27" s="975">
        <f>SUM(H19:H26)</f>
        <v>0</v>
      </c>
      <c r="I27" s="976">
        <f>SUM(I19:I26)</f>
        <v>0</v>
      </c>
      <c r="J27" s="1969"/>
      <c r="K27" s="2581">
        <f t="shared" ref="K27:P27" si="10">SUM(K19:K26)</f>
        <v>0</v>
      </c>
      <c r="L27" s="2582">
        <f t="shared" si="10"/>
        <v>0</v>
      </c>
      <c r="M27" s="2583">
        <f t="shared" si="10"/>
        <v>0</v>
      </c>
      <c r="N27" s="2581">
        <f t="shared" si="10"/>
        <v>0</v>
      </c>
      <c r="O27" s="2582">
        <f t="shared" si="10"/>
        <v>0</v>
      </c>
      <c r="P27" s="2584">
        <f t="shared" si="10"/>
        <v>0</v>
      </c>
      <c r="R27" s="2290">
        <f>IF(SUM(R19:R26)=$D$3,SUM(R19:R26),SUM(R19:R26)&amp;"误差"&amp;ROUND(SUM(R19:R26)-$D$3,2))</f>
        <v>20000</v>
      </c>
      <c r="S27" s="275">
        <f>IF(SUM(S19:S26)=$E$3,SUM(S19:S26),SUM(S19:S26)&amp;"误差"&amp;ROUND(SUM(S19:S26)-E3,2))</f>
        <v>28000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20000</v>
      </c>
      <c r="E31" s="1368">
        <f>E27+E30</f>
        <v>28000</v>
      </c>
      <c r="F31" s="1369">
        <f>F27+F30</f>
        <v>28000</v>
      </c>
      <c r="G31" s="1370">
        <f>G27+G30</f>
        <v>0</v>
      </c>
      <c r="H31" s="1969"/>
      <c r="I31" s="1969"/>
      <c r="J31" s="1969"/>
      <c r="K31" s="1969"/>
      <c r="L31" s="1969"/>
    </row>
    <row r="32" spans="1:19">
      <c r="A32" s="1969"/>
      <c r="B32" s="2327" t="s">
        <v>2321</v>
      </c>
      <c r="C32" s="2611"/>
      <c r="D32" s="1197"/>
      <c r="E32" s="1197">
        <f>SUMIF(C19:C26,"*住宅*",E19:E26)</f>
        <v>28000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65462</v>
      </c>
      <c r="F6" s="174">
        <f>SUMIF(项目基本情况!D$15:I$15,C6,项目基本情况!D$19:I$19)</f>
        <v>59.62</v>
      </c>
      <c r="G6" s="175">
        <f t="shared" ref="G6:G13" si="0">IF(ISERROR(ROUND(POWER(1+H6,D6-F6)*(POWER(1+H6,F6)-1)/(POWER(1+H6,D6)-1),3)),0,ROUND(POWER(1+H6,D6-F6)*(POWER(1+H6,F6)-1)/(POWER(1+H6,D6)-1),3))</f>
        <v>0.97199999999999998</v>
      </c>
      <c r="H6" s="2978">
        <v>4.4999999999999998E-2</v>
      </c>
      <c r="I6" s="2978">
        <v>0.05</v>
      </c>
      <c r="J6" s="176">
        <v>8.5000000000000006E-2</v>
      </c>
      <c r="K6" s="179">
        <f>SUMIF('数据-汇总表'!C$19:C$33,'数据-取费表'!A6,'数据-汇总表'!E$19:E$33)</f>
        <v>28000</v>
      </c>
      <c r="L6" s="2979">
        <v>1800</v>
      </c>
      <c r="M6" s="177">
        <f t="shared" ref="M6:M14" si="1">ROUND(K6*L6/10000,0)</f>
        <v>5040</v>
      </c>
      <c r="N6" s="2980">
        <v>0</v>
      </c>
      <c r="O6" s="177">
        <f>IF($N$5="成新度","——",ROUND(M6*N6,0))</f>
        <v>0</v>
      </c>
      <c r="P6" s="178">
        <f>IF($N$5="成新度","——",M6-O6)</f>
        <v>5040</v>
      </c>
      <c r="Q6" s="2981">
        <v>0.15</v>
      </c>
      <c r="R6" s="179">
        <f>SUMIF('数据-汇总表'!C$19:C$33,A6,'数据-汇总表'!R$19:R$33)</f>
        <v>20000</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0.92800000000000005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2">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si="0"/>
        <v>0</v>
      </c>
      <c r="H7" s="2978"/>
      <c r="I7" s="2978"/>
      <c r="J7" s="176"/>
      <c r="K7" s="179">
        <f>SUMIF('数据-汇总表'!C$19:C$33,'数据-取费表'!A7,'数据-汇总表'!E$19:E$33)</f>
        <v>0</v>
      </c>
      <c r="L7" s="2979"/>
      <c r="M7" s="177">
        <f t="shared" si="1"/>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2"/>
        <v/>
      </c>
      <c r="C8" s="173"/>
      <c r="D8" s="2293">
        <f>SUMIF(项目基本情况!D$15:I$15,C8,项目基本情况!D$18:I$18)</f>
        <v>0</v>
      </c>
      <c r="E8" s="2294" t="str">
        <f>IF(B8="","",SUMIF(项目基本情况!D$15:I$15,C8,项目基本情况!D$17:I$17))</f>
        <v/>
      </c>
      <c r="F8" s="174">
        <f>SUMIF(项目基本情况!D$15:I$15,C8,项目基本情况!D$19:I$19)</f>
        <v>0</v>
      </c>
      <c r="G8" s="175">
        <f t="shared" si="0"/>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2"/>
        <v/>
      </c>
      <c r="C9" s="173"/>
      <c r="D9" s="2293">
        <f>SUMIF(项目基本情况!D$15:I$15,C9,项目基本情况!D$18:I$18)</f>
        <v>0</v>
      </c>
      <c r="E9" s="2294"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2"/>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2"/>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2"/>
        <v/>
      </c>
      <c r="C12" s="173"/>
      <c r="D12" s="2293">
        <f>SUMIF(项目基本情况!D$15:I$15,C12,项目基本情况!D$18:I$18)</f>
        <v>0</v>
      </c>
      <c r="E12" s="2294"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2"/>
        <v/>
      </c>
      <c r="C13" s="173"/>
      <c r="D13" s="2293">
        <f>SUMIF(项目基本情况!D$15:I$15,C13,项目基本情况!D$18:I$18)</f>
        <v>0</v>
      </c>
      <c r="E13" s="2294"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1"/>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0.97199999999999998</v>
      </c>
      <c r="H16" s="203">
        <f>ROUND(SUMPRODUCT(H6:H13,K6:K13)/SUMPRODUCT((H6:H13&gt;0)*(K6:K13)),3)</f>
        <v>4.4999999999999998E-2</v>
      </c>
      <c r="I16" s="204"/>
      <c r="J16" s="204"/>
      <c r="K16" s="205">
        <f>SUM(K6:K15)</f>
        <v>28000</v>
      </c>
      <c r="L16" s="206">
        <f>ROUND(M16*10000/SUM(K6:K14),0)</f>
        <v>1800</v>
      </c>
      <c r="M16" s="206">
        <f>SUM(M6:M14)</f>
        <v>5040</v>
      </c>
      <c r="N16" s="207">
        <f>ROUND(SUMPRODUCT(M6:M14,N6:N14)/M16,3)</f>
        <v>0</v>
      </c>
      <c r="O16" s="206">
        <f>SUM(O6:O14)</f>
        <v>0</v>
      </c>
      <c r="P16" s="206">
        <f>SUM(P6:P14)</f>
        <v>5040</v>
      </c>
      <c r="Q16" s="208">
        <f>ROUND(SUMPRODUCT(Q6:Q13,K6:K13)/SUMPRODUCT((Q6:Q13&gt;0)*(K6:K13)),2)</f>
        <v>0.15</v>
      </c>
      <c r="R16" s="2296">
        <f>SUM(R6:R13)</f>
        <v>20000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0.92800000000000005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75</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70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4.3499999999999997E-2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1" t="s">
        <v>1663</v>
      </c>
      <c r="B1" s="3282"/>
      <c r="C1" s="3282"/>
      <c r="D1" s="3282"/>
      <c r="E1" s="3282"/>
      <c r="F1" s="3282"/>
      <c r="G1" s="3282"/>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28000</v>
      </c>
      <c r="C1" s="2998"/>
      <c r="D1" s="2998"/>
      <c r="E1" s="2998"/>
      <c r="F1" s="2998"/>
    </row>
    <row r="2" spans="1:9" ht="16.5">
      <c r="A2" s="2997" t="s">
        <v>2845</v>
      </c>
      <c r="B2" s="2997">
        <f>SUM(C14:C23)</f>
        <v>20000</v>
      </c>
      <c r="C2" s="2998"/>
      <c r="D2" s="2998"/>
      <c r="E2" s="2998"/>
      <c r="F2" s="2998"/>
    </row>
    <row r="3" spans="1:9" ht="16.5">
      <c r="A3" s="2997" t="s">
        <v>2846</v>
      </c>
      <c r="B3" s="2999">
        <f>项目基本情况!D3</f>
        <v>43699</v>
      </c>
      <c r="C3" s="2998"/>
      <c r="D3" s="2998"/>
      <c r="E3" s="2998"/>
      <c r="F3" s="2998"/>
    </row>
    <row r="4" spans="1:9" ht="33">
      <c r="A4" s="2997" t="s">
        <v>2847</v>
      </c>
      <c r="B4" s="2997" t="s">
        <v>2848</v>
      </c>
      <c r="C4" s="2997" t="s">
        <v>2849</v>
      </c>
      <c r="D4" s="2997" t="s">
        <v>2850</v>
      </c>
      <c r="E4" s="2998"/>
      <c r="F4" s="2998"/>
    </row>
    <row r="5" spans="1:9" ht="16.5">
      <c r="A5" s="2997" t="s">
        <v>2851</v>
      </c>
      <c r="B5" s="2997">
        <f ca="1">SUM(D14:D23)</f>
        <v>7010</v>
      </c>
      <c r="C5" s="2997">
        <f ca="1">ROUND(B5*10000/$B$1,0)</f>
        <v>2504</v>
      </c>
      <c r="D5" s="2997">
        <f ca="1">ROUND(B5*10000/$B$2,0)</f>
        <v>3505</v>
      </c>
      <c r="E5" s="2998"/>
      <c r="F5" s="2998"/>
    </row>
    <row r="6" spans="1:9" ht="16.5">
      <c r="A6" s="2997" t="s">
        <v>2852</v>
      </c>
      <c r="B6" s="2997">
        <f>SUM(G14:G23)</f>
        <v>0</v>
      </c>
      <c r="C6" s="2997">
        <f>ROUND(B6*10000/$B$1,0)</f>
        <v>0</v>
      </c>
      <c r="D6" s="2997">
        <f>ROUND(B6*10000/$B$2,0)</f>
        <v>0</v>
      </c>
      <c r="E6" s="2998"/>
      <c r="F6" s="2998"/>
    </row>
    <row r="7" spans="1:9" ht="16.5">
      <c r="A7" s="2997" t="s">
        <v>2853</v>
      </c>
      <c r="B7" s="2997">
        <f>SUM(H14:H23)</f>
        <v>0</v>
      </c>
      <c r="C7" s="2997">
        <f>ROUND(B7*10000/$B$1,0)</f>
        <v>0</v>
      </c>
      <c r="D7" s="2997">
        <f>ROUND(B7*10000/$B$2,0)</f>
        <v>0</v>
      </c>
      <c r="E7" s="2998"/>
      <c r="F7" s="2998"/>
    </row>
    <row r="8" spans="1:9" ht="16.5">
      <c r="A8" s="2997" t="s">
        <v>2854</v>
      </c>
      <c r="B8" s="2997">
        <f>SUM(I14:I23)</f>
        <v>0</v>
      </c>
      <c r="C8" s="2997">
        <f>ROUND(B8*10000/$B$1,0)</f>
        <v>0</v>
      </c>
      <c r="D8" s="2997">
        <f>ROUND(B8*10000/$B$2,0)</f>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28000</v>
      </c>
      <c r="C14" s="3001">
        <f>结果表!K38</f>
        <v>20000</v>
      </c>
      <c r="D14" s="3001">
        <f ca="1">结果表!C42</f>
        <v>7010</v>
      </c>
      <c r="E14" s="3001">
        <f ca="1">ROUND(D14*10000/B14,0)</f>
        <v>2504</v>
      </c>
      <c r="F14" s="3001">
        <f ca="1">ROUND(D14*10000/C14,0)</f>
        <v>3505</v>
      </c>
      <c r="G14" s="3001" t="str">
        <f>结果表!C44</f>
        <v>——</v>
      </c>
      <c r="H14" s="3001" t="str">
        <f>结果表!C45</f>
        <v>——</v>
      </c>
      <c r="I14" s="3001" t="str">
        <f>结果表!C46</f>
        <v>——</v>
      </c>
    </row>
    <row r="15" spans="1:9" ht="16.5">
      <c r="A15" s="3004" t="s">
        <v>2861</v>
      </c>
      <c r="B15" s="3005"/>
      <c r="C15" s="3005"/>
      <c r="D15" s="3005"/>
      <c r="E15" s="3001" t="e">
        <f t="shared" ref="E15:E23" si="0">ROUND(D15*10000/B15,0)</f>
        <v>#DIV/0!</v>
      </c>
      <c r="F15" s="3001" t="e">
        <f t="shared" ref="F15:F23" si="1">ROUND(D15*10000/C15,0)</f>
        <v>#DIV/0!</v>
      </c>
      <c r="G15" s="3002"/>
      <c r="H15" s="3002"/>
      <c r="I15" s="3005"/>
    </row>
    <row r="16" spans="1:9" ht="16.5">
      <c r="A16" s="3004" t="s">
        <v>2862</v>
      </c>
      <c r="B16" s="3005"/>
      <c r="C16" s="3005"/>
      <c r="D16" s="3005"/>
      <c r="E16" s="3001" t="e">
        <f t="shared" si="0"/>
        <v>#DIV/0!</v>
      </c>
      <c r="F16" s="3001" t="e">
        <f t="shared" si="1"/>
        <v>#DIV/0!</v>
      </c>
      <c r="G16" s="3002"/>
      <c r="H16" s="3002"/>
      <c r="I16" s="3005"/>
    </row>
    <row r="17" spans="1:9" ht="16.5">
      <c r="A17" s="3004" t="s">
        <v>2863</v>
      </c>
      <c r="B17" s="3005"/>
      <c r="C17" s="3005"/>
      <c r="D17" s="3005"/>
      <c r="E17" s="3001" t="e">
        <f t="shared" si="0"/>
        <v>#DIV/0!</v>
      </c>
      <c r="F17" s="3001" t="e">
        <f t="shared" si="1"/>
        <v>#DIV/0!</v>
      </c>
      <c r="G17" s="3002"/>
      <c r="H17" s="3002"/>
      <c r="I17" s="3005"/>
    </row>
    <row r="18" spans="1:9" ht="16.5">
      <c r="A18" s="3004" t="s">
        <v>2864</v>
      </c>
      <c r="B18" s="3005"/>
      <c r="C18" s="3005"/>
      <c r="D18" s="3005"/>
      <c r="E18" s="3001" t="e">
        <f t="shared" si="0"/>
        <v>#DIV/0!</v>
      </c>
      <c r="F18" s="3001" t="e">
        <f t="shared" si="1"/>
        <v>#DIV/0!</v>
      </c>
      <c r="G18" s="3005"/>
      <c r="H18" s="3005"/>
      <c r="I18" s="3005"/>
    </row>
    <row r="19" spans="1:9" ht="16.5">
      <c r="A19" s="3004" t="s">
        <v>2865</v>
      </c>
      <c r="B19" s="3005"/>
      <c r="C19" s="3005"/>
      <c r="D19" s="3005"/>
      <c r="E19" s="3001" t="e">
        <f t="shared" si="0"/>
        <v>#DIV/0!</v>
      </c>
      <c r="F19" s="3001" t="e">
        <f t="shared" si="1"/>
        <v>#DIV/0!</v>
      </c>
      <c r="G19" s="3005"/>
      <c r="H19" s="3005"/>
      <c r="I19" s="3005"/>
    </row>
    <row r="20" spans="1:9" ht="16.5">
      <c r="A20" s="3004" t="s">
        <v>2866</v>
      </c>
      <c r="B20" s="3005"/>
      <c r="C20" s="3005"/>
      <c r="D20" s="3005"/>
      <c r="E20" s="3001" t="e">
        <f t="shared" si="0"/>
        <v>#DIV/0!</v>
      </c>
      <c r="F20" s="3001" t="e">
        <f t="shared" si="1"/>
        <v>#DIV/0!</v>
      </c>
      <c r="G20" s="3005"/>
      <c r="H20" s="3005"/>
      <c r="I20" s="3005"/>
    </row>
    <row r="21" spans="1:9" ht="16.5">
      <c r="A21" s="3004" t="s">
        <v>2867</v>
      </c>
      <c r="B21" s="3005"/>
      <c r="C21" s="3005"/>
      <c r="D21" s="3005"/>
      <c r="E21" s="3001" t="e">
        <f t="shared" si="0"/>
        <v>#DIV/0!</v>
      </c>
      <c r="F21" s="3001" t="e">
        <f t="shared" si="1"/>
        <v>#DIV/0!</v>
      </c>
      <c r="G21" s="3005"/>
      <c r="H21" s="3005"/>
      <c r="I21" s="3005"/>
    </row>
    <row r="22" spans="1:9" ht="16.5">
      <c r="A22" s="3004" t="s">
        <v>2868</v>
      </c>
      <c r="B22" s="3005"/>
      <c r="C22" s="3005"/>
      <c r="D22" s="3005"/>
      <c r="E22" s="3001" t="e">
        <f t="shared" si="0"/>
        <v>#DIV/0!</v>
      </c>
      <c r="F22" s="3001" t="e">
        <f t="shared" si="1"/>
        <v>#DIV/0!</v>
      </c>
      <c r="G22" s="3005"/>
      <c r="H22" s="3005"/>
      <c r="I22" s="3005"/>
    </row>
    <row r="23" spans="1:9" ht="16.5">
      <c r="A23" s="3004" t="s">
        <v>2869</v>
      </c>
      <c r="B23" s="3005"/>
      <c r="C23" s="3005"/>
      <c r="D23" s="3005"/>
      <c r="E23" s="2997" t="e">
        <f t="shared" si="0"/>
        <v>#DIV/0!</v>
      </c>
      <c r="F23" s="2997" t="e">
        <f t="shared" si="1"/>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E29" sqref="E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39" t="s">
        <v>298</v>
      </c>
      <c r="B3" s="3340"/>
      <c r="C3" s="3340"/>
      <c r="D3" s="3340"/>
      <c r="E3" s="3340"/>
      <c r="F3" s="3340"/>
      <c r="G3" s="3340"/>
      <c r="H3" s="3340"/>
      <c r="I3" s="3340"/>
      <c r="J3" s="2015"/>
      <c r="K3" s="2014"/>
      <c r="L3" s="2014"/>
      <c r="M3" s="2014"/>
      <c r="N3" s="2014"/>
      <c r="O3" s="2014"/>
      <c r="P3" s="2014"/>
      <c r="Q3" s="2014"/>
      <c r="R3" s="2014"/>
      <c r="S3" s="2014"/>
      <c r="T3" s="2014"/>
      <c r="U3" s="2014"/>
      <c r="V3" s="2014"/>
    </row>
    <row r="4" spans="1:22" ht="14.25">
      <c r="A4" s="258" t="s">
        <v>299</v>
      </c>
      <c r="B4" s="259" t="s">
        <v>300</v>
      </c>
      <c r="C4" s="260" t="s">
        <v>3082</v>
      </c>
      <c r="D4" s="260" t="s">
        <v>3083</v>
      </c>
      <c r="E4" s="3303" t="s">
        <v>301</v>
      </c>
      <c r="F4" s="3345"/>
      <c r="G4" s="3345"/>
      <c r="H4" s="3345"/>
      <c r="I4" s="330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2" t="s">
        <v>302</v>
      </c>
      <c r="B5" s="3333">
        <v>25</v>
      </c>
      <c r="C5" s="3341"/>
      <c r="D5" s="3344"/>
      <c r="E5" s="261" t="s">
        <v>303</v>
      </c>
      <c r="F5" s="262"/>
      <c r="G5" s="262"/>
      <c r="H5" s="262"/>
      <c r="I5" s="263"/>
      <c r="J5" s="2015"/>
      <c r="K5" s="2014"/>
      <c r="L5" s="2014"/>
      <c r="M5" s="2014"/>
      <c r="N5" s="2014"/>
      <c r="O5" s="2014"/>
      <c r="P5" s="2014"/>
      <c r="Q5" s="2014"/>
      <c r="R5" s="2014"/>
      <c r="S5" s="2014"/>
      <c r="T5" s="2014"/>
      <c r="U5" s="2014"/>
      <c r="V5" s="2014"/>
    </row>
    <row r="6" spans="1:22" ht="14.25">
      <c r="A6" s="3332"/>
      <c r="B6" s="3333"/>
      <c r="C6" s="3342"/>
      <c r="D6" s="3344"/>
      <c r="E6" s="261" t="s">
        <v>304</v>
      </c>
      <c r="F6" s="262"/>
      <c r="G6" s="262"/>
      <c r="H6" s="262"/>
      <c r="I6" s="263"/>
      <c r="J6" s="2015"/>
      <c r="K6" s="2014"/>
      <c r="L6" s="2014"/>
      <c r="M6" s="2014"/>
      <c r="N6" s="2014"/>
      <c r="O6" s="2014"/>
      <c r="P6" s="2014"/>
      <c r="Q6" s="2014"/>
      <c r="R6" s="2014"/>
      <c r="S6" s="2014"/>
      <c r="T6" s="2014"/>
      <c r="U6" s="2014"/>
      <c r="V6" s="2014"/>
    </row>
    <row r="7" spans="1:22" ht="14.25">
      <c r="A7" s="3332"/>
      <c r="B7" s="3333"/>
      <c r="C7" s="3343"/>
      <c r="D7" s="3344"/>
      <c r="E7" s="261" t="s">
        <v>305</v>
      </c>
      <c r="F7" s="262"/>
      <c r="G7" s="262"/>
      <c r="H7" s="262"/>
      <c r="I7" s="263"/>
      <c r="J7" s="2015"/>
      <c r="K7" s="2014"/>
      <c r="L7" s="2014"/>
      <c r="M7" s="2014"/>
      <c r="N7" s="2014"/>
      <c r="O7" s="2014"/>
      <c r="P7" s="2014"/>
      <c r="Q7" s="2014"/>
      <c r="R7" s="2014"/>
      <c r="S7" s="2014"/>
      <c r="T7" s="2014"/>
      <c r="U7" s="2014"/>
      <c r="V7" s="2014"/>
    </row>
    <row r="8" spans="1:22" ht="14.25">
      <c r="A8" s="3332" t="s">
        <v>306</v>
      </c>
      <c r="B8" s="3333">
        <v>15</v>
      </c>
      <c r="C8" s="3341"/>
      <c r="D8" s="3344"/>
      <c r="E8" s="261" t="s">
        <v>307</v>
      </c>
      <c r="F8" s="262"/>
      <c r="G8" s="262"/>
      <c r="H8" s="262"/>
      <c r="I8" s="263"/>
      <c r="J8" s="2015"/>
      <c r="K8" s="2014"/>
      <c r="L8" s="2014"/>
      <c r="M8" s="2014"/>
      <c r="N8" s="2014"/>
      <c r="O8" s="2014"/>
      <c r="P8" s="2014"/>
      <c r="Q8" s="2014"/>
      <c r="R8" s="2014"/>
      <c r="S8" s="2014"/>
      <c r="T8" s="2014"/>
      <c r="U8" s="2014"/>
      <c r="V8" s="2014"/>
    </row>
    <row r="9" spans="1:22" ht="14.25">
      <c r="A9" s="3332"/>
      <c r="B9" s="3333"/>
      <c r="C9" s="3343"/>
      <c r="D9" s="3344"/>
      <c r="E9" s="261" t="s">
        <v>308</v>
      </c>
      <c r="F9" s="262"/>
      <c r="G9" s="262"/>
      <c r="H9" s="262"/>
      <c r="I9" s="263"/>
      <c r="J9" s="2015"/>
      <c r="K9" s="2014"/>
      <c r="L9" s="2014"/>
      <c r="M9" s="2014"/>
      <c r="N9" s="2014"/>
      <c r="O9" s="2014"/>
      <c r="P9" s="2014"/>
      <c r="Q9" s="2014"/>
      <c r="R9" s="2014"/>
      <c r="S9" s="2014"/>
      <c r="T9" s="2014"/>
      <c r="U9" s="2014"/>
      <c r="V9" s="2014"/>
    </row>
    <row r="10" spans="1:22" ht="14.25">
      <c r="A10" s="3332" t="s">
        <v>309</v>
      </c>
      <c r="B10" s="3333">
        <v>15</v>
      </c>
      <c r="C10" s="3341"/>
      <c r="D10" s="3344"/>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2"/>
      <c r="B11" s="3333"/>
      <c r="C11" s="3343"/>
      <c r="D11" s="3344"/>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2" t="s">
        <v>312</v>
      </c>
      <c r="B12" s="3333">
        <v>15</v>
      </c>
      <c r="C12" s="3341"/>
      <c r="D12" s="3344"/>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2"/>
      <c r="B13" s="3333"/>
      <c r="C13" s="3343"/>
      <c r="D13" s="3344"/>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2" t="s">
        <v>315</v>
      </c>
      <c r="B14" s="3333">
        <v>30</v>
      </c>
      <c r="C14" s="3341">
        <v>5</v>
      </c>
      <c r="D14" s="3344">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2"/>
      <c r="B15" s="3333"/>
      <c r="C15" s="3342"/>
      <c r="D15" s="3344"/>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2"/>
      <c r="B16" s="3333"/>
      <c r="C16" s="3343"/>
      <c r="D16" s="334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7703</v>
      </c>
      <c r="D19" s="271">
        <f ca="1">SUMIF(INDIRECT("'"&amp;D4&amp;"'"&amp;"!A:A"),结果表!B19,INDIRECT("'"&amp;D4&amp;"'"&amp;"!B:B"))</f>
        <v>6317</v>
      </c>
      <c r="E19" s="268" t="s">
        <v>323</v>
      </c>
      <c r="F19" s="269" t="s">
        <v>322</v>
      </c>
      <c r="G19" s="272">
        <f ca="1">ROUND(C19*$C$18+D19*$D$18,0)</f>
        <v>7010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2751</v>
      </c>
      <c r="D20" s="277">
        <f ca="1">SUMIF(INDIRECT("'"&amp;D4&amp;"'"&amp;"!A:A"),结果表!B20,INDIRECT("'"&amp;D4&amp;"'"&amp;"!B:B"))</f>
        <v>2256</v>
      </c>
      <c r="E20" s="274"/>
      <c r="F20" s="275" t="s">
        <v>325</v>
      </c>
      <c r="G20" s="278">
        <f ca="1">ROUND(C20*$C$18+D20*$D$18,0)</f>
        <v>2504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3852</v>
      </c>
      <c r="D21" s="151">
        <f ca="1">SUMIF(INDIRECT("'"&amp;D4&amp;"'"&amp;"!A:A"),结果表!B21,INDIRECT("'"&amp;D4&amp;"'"&amp;"!B:B"))</f>
        <v>3159</v>
      </c>
      <c r="E21" s="274"/>
      <c r="F21" s="280" t="s">
        <v>327</v>
      </c>
      <c r="G21" s="282">
        <f ca="1">ROUND(C21*$C$18+D21*$D$18,0)</f>
        <v>3506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0.21940794681019482</v>
      </c>
      <c r="E22" s="284"/>
      <c r="F22" s="285"/>
      <c r="G22" s="286">
        <f ca="1">ROUND(G19/('数据-汇总表'!D3/666.67),0)</f>
        <v>234</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7"/>
      <c r="B25" s="1317" t="s">
        <v>331</v>
      </c>
      <c r="C25" s="290">
        <f>IF(B30=0,0,C30)</f>
        <v>0</v>
      </c>
      <c r="D25" s="291"/>
      <c r="E25" s="311"/>
      <c r="F25" s="311"/>
      <c r="G25" s="311"/>
      <c r="H25" s="311"/>
      <c r="I25" s="311"/>
      <c r="J25" s="2014"/>
      <c r="K25" s="1251" t="str">
        <f ca="1">项目基本情况!B16&amp;"国有建设用地使用权价格："&amp;O38&amp;"万元"</f>
        <v>出让国有建设用地使用权价格：7010万元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大写金额：人民币柒仟零壹拾万元整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单位面积地价：3505元/平方米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楼面地价：2504元/平方米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7010</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2504</v>
      </c>
      <c r="D33" s="1382" t="s">
        <v>1691</v>
      </c>
      <c r="E33" s="330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3505</v>
      </c>
      <c r="D34" s="1384" t="s">
        <v>1691</v>
      </c>
      <c r="E34" s="330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234</v>
      </c>
      <c r="D35" s="1387" t="s">
        <v>1693</v>
      </c>
      <c r="E35" s="3307"/>
      <c r="F35" s="301" t="s">
        <v>342</v>
      </c>
      <c r="G35" s="982"/>
      <c r="H35" s="981" t="s">
        <v>343</v>
      </c>
      <c r="I35" s="311"/>
      <c r="J35" s="2014"/>
      <c r="K35" s="3311" t="s">
        <v>350</v>
      </c>
      <c r="L35" s="3311" t="s">
        <v>351</v>
      </c>
      <c r="M35" s="1260" t="s">
        <v>352</v>
      </c>
      <c r="N35" s="3311" t="s">
        <v>353</v>
      </c>
      <c r="O35" s="3311" t="s">
        <v>354</v>
      </c>
      <c r="P35" s="2014"/>
      <c r="V35" s="2014"/>
    </row>
    <row r="36" spans="1:26" ht="16.5" customHeight="1">
      <c r="A36" s="303" t="s">
        <v>344</v>
      </c>
      <c r="B36" s="304" t="s">
        <v>333</v>
      </c>
      <c r="C36" s="305" t="s">
        <v>345</v>
      </c>
      <c r="D36" s="305" t="s">
        <v>346</v>
      </c>
      <c r="E36" s="306" t="s">
        <v>347</v>
      </c>
      <c r="F36" s="311"/>
      <c r="G36" s="311"/>
      <c r="H36" s="311"/>
      <c r="I36" s="311"/>
      <c r="J36" s="2016"/>
      <c r="K36" s="3312"/>
      <c r="L36" s="3312"/>
      <c r="M36" s="1262" t="s">
        <v>355</v>
      </c>
      <c r="N36" s="3312"/>
      <c r="O36" s="3312"/>
      <c r="P36" s="2014"/>
      <c r="V36" s="2014"/>
    </row>
    <row r="37" spans="1:26" ht="16.5" customHeight="1" thickBot="1">
      <c r="A37" s="1256" t="s">
        <v>348</v>
      </c>
      <c r="B37" s="307"/>
      <c r="C37" s="294"/>
      <c r="D37" s="294"/>
      <c r="E37" s="295"/>
      <c r="F37" s="311"/>
      <c r="G37" s="311"/>
      <c r="H37" s="311"/>
      <c r="I37" s="311"/>
      <c r="J37" s="2016"/>
      <c r="K37" s="3313"/>
      <c r="L37" s="3313"/>
      <c r="M37" s="1263"/>
      <c r="N37" s="3313"/>
      <c r="O37" s="3313"/>
      <c r="P37" s="2014"/>
      <c r="V37" s="2014"/>
    </row>
    <row r="38" spans="1:26" ht="16.5" customHeight="1" thickBot="1">
      <c r="A38" s="1256" t="s">
        <v>349</v>
      </c>
      <c r="B38" s="307"/>
      <c r="C38" s="294"/>
      <c r="D38" s="294"/>
      <c r="E38" s="295"/>
      <c r="F38" s="311"/>
      <c r="G38" s="311"/>
      <c r="H38" s="311"/>
      <c r="I38" s="311"/>
      <c r="J38" s="2016"/>
      <c r="K38" s="1264">
        <f>'数据-汇总表'!D3</f>
        <v>20000</v>
      </c>
      <c r="L38" s="1265">
        <f>'数据-汇总表'!E3</f>
        <v>28000</v>
      </c>
      <c r="M38" s="1265">
        <f ca="1">C34</f>
        <v>3505</v>
      </c>
      <c r="N38" s="1265">
        <f ca="1">C33</f>
        <v>2504</v>
      </c>
      <c r="O38" s="1266">
        <f ca="1">C32</f>
        <v>7010</v>
      </c>
      <c r="P38" s="2014"/>
      <c r="V38" s="2014"/>
    </row>
    <row r="39" spans="1:26" ht="16.5" customHeight="1" thickBot="1">
      <c r="A39" s="1261"/>
      <c r="B39" s="308"/>
      <c r="C39" s="309"/>
      <c r="D39" s="309"/>
      <c r="E39" s="310"/>
      <c r="F39" s="311"/>
      <c r="G39" s="311"/>
      <c r="H39" s="311"/>
      <c r="I39" s="311"/>
      <c r="J39" s="2016"/>
      <c r="K39" s="3288" t="str">
        <f>MID(A44,3,LEN(A44)-2)</f>
        <v/>
      </c>
      <c r="L39" s="3289"/>
      <c r="M39" s="3289"/>
      <c r="N39" s="3290"/>
      <c r="O39" s="1389" t="str">
        <f>C44</f>
        <v>——</v>
      </c>
      <c r="P39" s="2014"/>
      <c r="V39" s="2014"/>
    </row>
    <row r="40" spans="1:26" ht="19.5" thickBot="1">
      <c r="A40" s="104" t="s">
        <v>873</v>
      </c>
      <c r="B40" s="311"/>
      <c r="C40" s="311"/>
      <c r="D40" s="311"/>
      <c r="E40" s="311"/>
      <c r="F40" s="311"/>
      <c r="G40" s="311"/>
      <c r="H40" s="311"/>
      <c r="I40" s="311"/>
      <c r="J40" s="2016"/>
      <c r="K40" s="3288" t="str">
        <f>MID(A45,3,LEN(A45)-2)</f>
        <v/>
      </c>
      <c r="L40" s="3289"/>
      <c r="M40" s="3289"/>
      <c r="N40" s="3290"/>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8" t="str">
        <f>MID(A46,3,LEN(A46)-2)</f>
        <v/>
      </c>
      <c r="L41" s="3289"/>
      <c r="M41" s="3289"/>
      <c r="N41" s="3290"/>
      <c r="O41" s="1389" t="str">
        <f>C46</f>
        <v>——</v>
      </c>
      <c r="P41" s="2014"/>
      <c r="V41" s="2014"/>
    </row>
    <row r="42" spans="1:26" ht="29.25">
      <c r="A42" s="3348" t="s">
        <v>2067</v>
      </c>
      <c r="B42" s="3349"/>
      <c r="C42" s="264">
        <f ca="1">C32</f>
        <v>7010</v>
      </c>
      <c r="D42" s="317">
        <f ca="1">C33</f>
        <v>2504</v>
      </c>
      <c r="E42" s="317">
        <f ca="1">C34</f>
        <v>3505</v>
      </c>
      <c r="F42" s="318">
        <f ca="1">C35</f>
        <v>234</v>
      </c>
      <c r="G42" s="311"/>
      <c r="H42" s="311"/>
      <c r="I42" s="319"/>
      <c r="J42" s="2016"/>
      <c r="K42" s="1267" t="s">
        <v>361</v>
      </c>
      <c r="L42" s="2033" t="s">
        <v>362</v>
      </c>
      <c r="M42" s="1268" t="s">
        <v>363</v>
      </c>
      <c r="N42" s="2034" t="s">
        <v>364</v>
      </c>
      <c r="O42" s="2035" t="s">
        <v>365</v>
      </c>
      <c r="P42" s="2014"/>
      <c r="V42" s="2014"/>
    </row>
    <row r="43" spans="1:26" ht="30">
      <c r="A43" s="3358" t="s">
        <v>2730</v>
      </c>
      <c r="B43" s="335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7703</v>
      </c>
      <c r="M43" s="1271">
        <f>C18</f>
        <v>0.5</v>
      </c>
      <c r="N43" s="1272">
        <f ca="1">IF(N42="测算结果/万元",G19,G20)</f>
        <v>7010</v>
      </c>
      <c r="O43" s="1273">
        <f ca="1">IF(O42="最终结果/万元",C32,C33)</f>
        <v>7010</v>
      </c>
      <c r="P43" s="2014"/>
      <c r="V43" s="2014"/>
    </row>
    <row r="44" spans="1:26" ht="30.75" thickBot="1">
      <c r="A44" s="3348" t="str">
        <f>IF(OR(项目基本情况!E8="抵押价格",项目基本情况!E8="已注销及未注销"),"3.抵押价格","——")</f>
        <v>——</v>
      </c>
      <c r="B44" s="334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剩余法-待开发</v>
      </c>
      <c r="L44" s="1275">
        <f ca="1">IF(L42="估价结果/万元",D19,D20)</f>
        <v>6317</v>
      </c>
      <c r="M44" s="1276">
        <f>D18</f>
        <v>0.5</v>
      </c>
      <c r="N44" s="1277"/>
      <c r="O44" s="1278"/>
      <c r="P44" s="2014"/>
      <c r="V44" s="2014"/>
    </row>
    <row r="45" spans="1:26" ht="15">
      <c r="A45" s="3353" t="str">
        <f>IF(项目基本情况!E8="已注销及未注销","4.抵押担保权已注销时的抵押价格",IF(项目基本情况!E8="已注销","3.抵押担保权已注销时的抵押价格","——"))</f>
        <v>——</v>
      </c>
      <c r="B45" s="335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6" t="s">
        <v>374</v>
      </c>
      <c r="B63" s="3317"/>
      <c r="C63" s="3318"/>
      <c r="D63" s="341">
        <f ca="1">ROUND(C42*F63,0)</f>
        <v>4206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5" t="s">
        <v>378</v>
      </c>
      <c r="B64" s="3356"/>
      <c r="C64" s="3356"/>
      <c r="D64" s="3356"/>
      <c r="E64" s="3356"/>
      <c r="F64" s="3356"/>
      <c r="G64" s="335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2" t="s">
        <v>386</v>
      </c>
      <c r="B66" s="3323"/>
      <c r="C66" s="3323"/>
      <c r="D66" s="261">
        <f ca="1">IF(H66="情况1",0,IF(H66="情况2",D70,IF(H66="情况3",D71,IF(H66="情况4",D72))))</f>
        <v>224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2" t="s">
        <v>385</v>
      </c>
      <c r="M66" s="3293"/>
      <c r="N66" s="2423"/>
      <c r="O66" s="2424"/>
      <c r="P66" s="2425"/>
      <c r="Q66" s="2014"/>
      <c r="R66" s="2014"/>
      <c r="S66" s="2014"/>
      <c r="T66" s="2014"/>
      <c r="U66" s="2014"/>
      <c r="V66" s="2014"/>
    </row>
    <row r="67" spans="1:22" ht="25.5" customHeight="1">
      <c r="A67" s="352" t="s">
        <v>390</v>
      </c>
      <c r="B67" s="3335" t="s">
        <v>391</v>
      </c>
      <c r="C67" s="3335"/>
      <c r="D67" s="353">
        <v>0</v>
      </c>
      <c r="E67" s="41" t="s">
        <v>392</v>
      </c>
      <c r="F67" s="62" t="s">
        <v>21</v>
      </c>
      <c r="G67" s="3319"/>
      <c r="H67" s="311"/>
      <c r="I67" s="1288"/>
      <c r="J67" s="2021"/>
      <c r="K67" s="1962">
        <v>2</v>
      </c>
      <c r="L67" s="3291" t="s">
        <v>389</v>
      </c>
      <c r="M67" s="3291"/>
      <c r="N67" s="1321">
        <f>'数据-取费表'!B2</f>
        <v>43699</v>
      </c>
      <c r="O67" s="1321"/>
      <c r="P67" s="1321"/>
      <c r="Q67" s="2014"/>
      <c r="R67" s="2014"/>
      <c r="S67" s="2014"/>
      <c r="T67" s="2014"/>
      <c r="U67" s="2014"/>
      <c r="V67" s="2014"/>
    </row>
    <row r="68" spans="1:22" ht="25.5" customHeight="1">
      <c r="A68" s="354"/>
      <c r="B68" s="3335" t="s">
        <v>394</v>
      </c>
      <c r="C68" s="3335"/>
      <c r="D68" s="355"/>
      <c r="E68" s="77"/>
      <c r="F68" s="356"/>
      <c r="G68" s="3320"/>
      <c r="H68" s="311"/>
      <c r="I68" s="1288"/>
      <c r="J68" s="2021"/>
      <c r="K68" s="1962">
        <v>3</v>
      </c>
      <c r="L68" s="3291" t="s">
        <v>393</v>
      </c>
      <c r="M68" s="3291"/>
      <c r="N68" s="1289">
        <f ca="1">C42</f>
        <v>7010</v>
      </c>
      <c r="O68" s="1289"/>
      <c r="P68" s="1289"/>
      <c r="Q68" s="2014"/>
      <c r="R68" s="2014"/>
      <c r="S68" s="2014"/>
      <c r="T68" s="2014"/>
      <c r="U68" s="2014"/>
      <c r="V68" s="2014"/>
    </row>
    <row r="69" spans="1:22" ht="12" customHeight="1">
      <c r="A69" s="357"/>
      <c r="B69" s="3335" t="s">
        <v>395</v>
      </c>
      <c r="C69" s="3335"/>
      <c r="D69" s="358"/>
      <c r="E69" s="73"/>
      <c r="F69" s="356"/>
      <c r="G69" s="3321"/>
      <c r="H69" s="311"/>
      <c r="I69" s="1288"/>
      <c r="J69" s="2021"/>
      <c r="K69" s="1290">
        <v>4</v>
      </c>
      <c r="L69" s="3297" t="s">
        <v>2883</v>
      </c>
      <c r="M69" s="3298"/>
      <c r="N69" s="1291" t="str">
        <f>C44</f>
        <v>——</v>
      </c>
      <c r="O69" s="1291"/>
      <c r="P69" s="1291"/>
      <c r="Q69" s="2014"/>
      <c r="R69" s="2014"/>
      <c r="S69" s="2014"/>
      <c r="T69" s="2014"/>
      <c r="U69" s="2014"/>
      <c r="V69" s="2014"/>
    </row>
    <row r="70" spans="1:22" ht="24" customHeight="1">
      <c r="A70" s="359" t="s">
        <v>396</v>
      </c>
      <c r="B70" s="3335" t="s">
        <v>397</v>
      </c>
      <c r="C70" s="3335"/>
      <c r="D70" s="358">
        <f ca="1">ROUND(D63*'数据-取费表'!B41/(1+'数据-取费表'!C42),0)</f>
        <v>224</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4" t="s">
        <v>405</v>
      </c>
      <c r="C71" s="3346"/>
      <c r="D71" s="358">
        <f ca="1">ROUND(D63*'数据-取费表'!B41/(1+'数据-取费表'!C42),0)</f>
        <v>224</v>
      </c>
      <c r="E71" s="17" t="s">
        <v>398</v>
      </c>
      <c r="F71" s="360">
        <f>'数据-取费表'!B41</f>
        <v>5.6000000000000001E-2</v>
      </c>
      <c r="G71" s="361"/>
      <c r="H71" s="311"/>
      <c r="I71" s="1288"/>
      <c r="J71" s="2021"/>
      <c r="K71" s="3013" t="s">
        <v>399</v>
      </c>
      <c r="L71" s="3299" t="s">
        <v>400</v>
      </c>
      <c r="M71" s="3299"/>
      <c r="N71" s="3013" t="s">
        <v>401</v>
      </c>
      <c r="O71" s="3013" t="s">
        <v>402</v>
      </c>
      <c r="P71" s="3013" t="s">
        <v>403</v>
      </c>
      <c r="Q71" s="2014"/>
      <c r="R71" s="2014"/>
      <c r="S71" s="2014"/>
      <c r="T71" s="2014"/>
      <c r="U71" s="2014"/>
      <c r="V71" s="2014"/>
    </row>
    <row r="72" spans="1:22" ht="12" customHeight="1">
      <c r="A72" s="359" t="s">
        <v>407</v>
      </c>
      <c r="B72" s="3334" t="s">
        <v>408</v>
      </c>
      <c r="C72" s="3346"/>
      <c r="D72" s="358">
        <f ca="1">C86</f>
        <v>112</v>
      </c>
      <c r="E72" s="73" t="s">
        <v>409</v>
      </c>
      <c r="F72" s="360">
        <f>'数据-取费表'!B41</f>
        <v>5.6000000000000001E-2</v>
      </c>
      <c r="G72" s="361"/>
      <c r="H72" s="1294"/>
      <c r="I72" s="1288"/>
      <c r="J72" s="2021"/>
      <c r="K72" s="1962">
        <v>1</v>
      </c>
      <c r="L72" s="3296" t="s">
        <v>406</v>
      </c>
      <c r="M72" s="3296"/>
      <c r="N72" s="1292">
        <f ca="1">D66</f>
        <v>224</v>
      </c>
      <c r="O72" s="1845" t="str">
        <f>E66</f>
        <v>销售额×税（费）率</v>
      </c>
      <c r="P72" s="1293">
        <f>F66</f>
        <v>5.6000000000000001E-2</v>
      </c>
      <c r="Q72" s="2014"/>
      <c r="R72" s="2014"/>
      <c r="S72" s="2014"/>
      <c r="T72" s="2014"/>
      <c r="U72" s="2014"/>
      <c r="V72" s="2014"/>
    </row>
    <row r="73" spans="1:22" ht="24" customHeight="1">
      <c r="A73" s="3322" t="s">
        <v>411</v>
      </c>
      <c r="B73" s="3323"/>
      <c r="C73" s="3323"/>
      <c r="D73" s="362">
        <f>IF(H73="个人住宅",0,ROUND(D63*I73,0))</f>
        <v>0</v>
      </c>
      <c r="E73" s="17" t="s">
        <v>412</v>
      </c>
      <c r="F73" s="360" t="str">
        <f>IF(H73="正常",I73,"免征")</f>
        <v>免征</v>
      </c>
      <c r="G73" s="361"/>
      <c r="H73" s="191" t="s">
        <v>2455</v>
      </c>
      <c r="I73" s="360">
        <f>'数据-取费表'!B49</f>
        <v>5.0000000000000001E-4</v>
      </c>
      <c r="J73" s="2021"/>
      <c r="K73" s="1962">
        <v>2</v>
      </c>
      <c r="L73" s="3296" t="s">
        <v>410</v>
      </c>
      <c r="M73" s="3296"/>
      <c r="N73" s="1292">
        <f t="shared" ref="N73:P74" si="0">D73</f>
        <v>0</v>
      </c>
      <c r="O73" s="1845" t="str">
        <f t="shared" si="0"/>
        <v>销售额×税（费）率</v>
      </c>
      <c r="P73" s="1293" t="str">
        <f t="shared" si="0"/>
        <v>免征</v>
      </c>
      <c r="Q73" s="2014"/>
      <c r="R73" s="2014"/>
      <c r="S73" s="2014"/>
      <c r="T73" s="2014"/>
      <c r="U73" s="2014"/>
      <c r="V73" s="2014"/>
    </row>
    <row r="74" spans="1:22" ht="24.75">
      <c r="A74" s="3322" t="s">
        <v>415</v>
      </c>
      <c r="B74" s="3323"/>
      <c r="C74" s="3323"/>
      <c r="D74" s="362">
        <f ca="1">IF(H74="个人住宅",D75,D76)</f>
        <v>1725</v>
      </c>
      <c r="E74" s="17" t="s">
        <v>416</v>
      </c>
      <c r="F74" s="360" t="str">
        <f>IF(H74="正常",F76,"免征")</f>
        <v>——</v>
      </c>
      <c r="G74" s="983" t="s">
        <v>417</v>
      </c>
      <c r="H74" s="363" t="s">
        <v>413</v>
      </c>
      <c r="I74" s="42"/>
      <c r="J74" s="2021"/>
      <c r="K74" s="1962">
        <v>3</v>
      </c>
      <c r="L74" s="3296" t="s">
        <v>414</v>
      </c>
      <c r="M74" s="3296"/>
      <c r="N74" s="1292">
        <f t="shared" ca="1" si="0"/>
        <v>1725</v>
      </c>
      <c r="O74" s="1845" t="str">
        <f t="shared" si="0"/>
        <v>增值额×税（费）率</v>
      </c>
      <c r="P74" s="1295" t="str">
        <f t="shared" si="0"/>
        <v>——</v>
      </c>
      <c r="Q74" s="2014"/>
      <c r="R74" s="2014"/>
      <c r="S74" s="2014"/>
      <c r="T74" s="2014"/>
      <c r="U74" s="2014"/>
      <c r="V74" s="2014"/>
    </row>
    <row r="75" spans="1:22" ht="24">
      <c r="A75" s="359" t="s">
        <v>418</v>
      </c>
      <c r="B75" s="3303" t="s">
        <v>419</v>
      </c>
      <c r="C75" s="3304"/>
      <c r="D75" s="364">
        <v>0</v>
      </c>
      <c r="E75" s="41" t="s">
        <v>420</v>
      </c>
      <c r="F75" s="365"/>
      <c r="G75" s="361"/>
      <c r="H75" s="42"/>
      <c r="I75" s="42"/>
      <c r="J75" s="2021"/>
      <c r="K75" s="3006">
        <f>IF(H77="非个人房产","",4)</f>
        <v>4</v>
      </c>
      <c r="L75" s="3296" t="str">
        <f>IF(H77="非个人房产","——","个人所得税")</f>
        <v>个人所得税</v>
      </c>
      <c r="M75" s="3296"/>
      <c r="N75" s="1296">
        <f ca="1">D77</f>
        <v>42</v>
      </c>
      <c r="O75" s="1858" t="str">
        <f>E77</f>
        <v>销售额×税（费）率</v>
      </c>
      <c r="P75" s="1297">
        <f>F77</f>
        <v>0.01</v>
      </c>
      <c r="Q75" s="2014"/>
      <c r="R75" s="2014"/>
      <c r="S75" s="2014"/>
      <c r="T75" s="2014"/>
      <c r="U75" s="2014"/>
      <c r="V75" s="2014"/>
    </row>
    <row r="76" spans="1:22" ht="24.75">
      <c r="A76" s="359" t="s">
        <v>396</v>
      </c>
      <c r="B76" s="3303" t="s">
        <v>422</v>
      </c>
      <c r="C76" s="3345"/>
      <c r="D76" s="362">
        <f ca="1">IF(H76="转让取得",C99,C115)</f>
        <v>1725</v>
      </c>
      <c r="E76" s="17" t="s">
        <v>423</v>
      </c>
      <c r="F76" s="53" t="s">
        <v>21</v>
      </c>
      <c r="G76" s="361"/>
      <c r="H76" s="363" t="s">
        <v>424</v>
      </c>
      <c r="I76" s="42"/>
      <c r="J76" s="2021"/>
      <c r="K76" s="3006" t="str">
        <f>IF(项目基本情况!K6="上海银行",IF(K75="",4,K75+1),"")</f>
        <v/>
      </c>
      <c r="L76" s="3284" t="str">
        <f>IF(项目基本情况!K6="上海银行","其他处置费用","")</f>
        <v/>
      </c>
      <c r="M76" s="3285"/>
      <c r="N76" s="1292" t="str">
        <f>IF(项目基本情况!K6="上海银行",N89,"")</f>
        <v/>
      </c>
      <c r="O76" s="3286" t="str">
        <f>IF(项目基本情况!K6="上海银行","包含处置中涉及的律师、诉讼、拍卖、评估等费用","")</f>
        <v/>
      </c>
      <c r="P76" s="3287"/>
      <c r="Q76" s="2014"/>
      <c r="R76" s="2014"/>
      <c r="S76" s="2014"/>
      <c r="T76" s="2014"/>
      <c r="U76" s="2014"/>
      <c r="V76" s="2014"/>
    </row>
    <row r="77" spans="1:22" ht="26.25" thickBot="1">
      <c r="A77" s="3314" t="s">
        <v>426</v>
      </c>
      <c r="B77" s="3315"/>
      <c r="C77" s="3315"/>
      <c r="D77" s="366">
        <f ca="1">IF(H77="非个人房产","——",IF(H77="个人住宅",0,ROUND(D63*I77,0)))</f>
        <v>42</v>
      </c>
      <c r="E77" s="367" t="str">
        <f>IF(H77="非个人房产","——","销售额×税（费）率")</f>
        <v>销售额×税（费）率</v>
      </c>
      <c r="F77" s="368">
        <f>IF(H77="非个人房产","——",IF(H77="个人住宅","免征",I77))</f>
        <v>0.01</v>
      </c>
      <c r="G77" s="984" t="s">
        <v>417</v>
      </c>
      <c r="H77" s="363" t="s">
        <v>2884</v>
      </c>
      <c r="I77" s="369">
        <v>0.01</v>
      </c>
      <c r="J77" s="2021"/>
      <c r="K77" s="3310">
        <f>IF(AND(K75="",K76=""),4,IF(项目基本情况!K6="上海银行",K76+1,K75+1))</f>
        <v>5</v>
      </c>
      <c r="L77" s="3296" t="s">
        <v>2885</v>
      </c>
      <c r="M77" s="3012" t="s">
        <v>421</v>
      </c>
      <c r="N77" s="1298"/>
      <c r="O77" s="1299">
        <f ca="1">SUMIF(N72:N76,"&lt;9e307")</f>
        <v>1991</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10"/>
      <c r="L78" s="3296"/>
      <c r="M78" s="3012" t="s">
        <v>425</v>
      </c>
      <c r="N78" s="1298"/>
      <c r="O78" s="1299" t="str">
        <f ca="1">NUMBERSTRING(INT(O77*10000),2)&amp;"元整"</f>
        <v>壹仟玖佰玖拾壹万元整</v>
      </c>
      <c r="P78" s="1300"/>
      <c r="Q78" s="2014"/>
      <c r="R78" s="2014"/>
      <c r="S78" s="2014"/>
      <c r="T78" s="2014"/>
      <c r="U78" s="2014"/>
      <c r="V78" s="2014"/>
    </row>
    <row r="79" spans="1:22" ht="13.5" thickBot="1">
      <c r="A79" s="3300" t="s">
        <v>427</v>
      </c>
      <c r="B79" s="3300"/>
      <c r="C79" s="3300"/>
      <c r="D79" s="3300"/>
      <c r="E79" s="3300"/>
      <c r="F79" s="42"/>
      <c r="G79" s="42"/>
      <c r="H79" s="1003"/>
      <c r="I79" s="311"/>
      <c r="J79" s="2021"/>
      <c r="K79" s="3294">
        <f>K77+1</f>
        <v>6</v>
      </c>
      <c r="L79" s="3296" t="s">
        <v>2886</v>
      </c>
      <c r="M79" s="3012" t="s">
        <v>421</v>
      </c>
      <c r="N79" s="1298"/>
      <c r="O79" s="1299" t="e">
        <f ca="1">N69-O77</f>
        <v>#VALUE!</v>
      </c>
      <c r="P79" s="1300"/>
      <c r="Q79" s="2014"/>
      <c r="R79" s="2014"/>
      <c r="S79" s="2014"/>
      <c r="T79" s="2014"/>
      <c r="U79" s="2014"/>
      <c r="V79" s="2014"/>
    </row>
    <row r="80" spans="1:22" ht="12.75">
      <c r="A80" s="3301" t="s">
        <v>428</v>
      </c>
      <c r="B80" s="3302"/>
      <c r="C80" s="994"/>
      <c r="D80" s="994" t="s">
        <v>429</v>
      </c>
      <c r="E80" s="370" t="s">
        <v>430</v>
      </c>
      <c r="F80" s="42"/>
      <c r="G80" s="42"/>
      <c r="H80" s="1003"/>
      <c r="I80" s="311"/>
      <c r="J80" s="2014"/>
      <c r="K80" s="3295"/>
      <c r="L80" s="3296"/>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4006</v>
      </c>
      <c r="D81" s="373"/>
      <c r="E81" s="374"/>
      <c r="F81" s="42"/>
      <c r="G81" s="42"/>
      <c r="H81" s="1003"/>
      <c r="I81" s="311"/>
      <c r="J81" s="2014"/>
      <c r="K81" s="3006">
        <f>K79+1</f>
        <v>7</v>
      </c>
      <c r="L81" s="3308" t="s">
        <v>2887</v>
      </c>
      <c r="M81" s="3309"/>
      <c r="N81" s="1302"/>
      <c r="O81" s="1303" t="e">
        <f ca="1">ROUND(O79*10000/'数据-汇总表'!E3,0)</f>
        <v>#VALUE!</v>
      </c>
      <c r="P81" s="1304"/>
      <c r="Q81" s="2014"/>
      <c r="R81" s="2014"/>
      <c r="S81" s="2014"/>
      <c r="T81" s="2014"/>
      <c r="U81" s="2014"/>
      <c r="V81" s="2014"/>
    </row>
    <row r="82" spans="1:26" ht="13.5" thickTop="1">
      <c r="A82" s="375" t="s">
        <v>1824</v>
      </c>
      <c r="B82" s="376" t="s">
        <v>432</v>
      </c>
      <c r="C82" s="377">
        <f ca="1">D63</f>
        <v>4206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3"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83"/>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4" t="s">
        <v>2877</v>
      </c>
      <c r="P84" s="2014"/>
      <c r="Q84" s="2014"/>
      <c r="R84" s="2014"/>
      <c r="S84" s="2014"/>
      <c r="T84" s="2014"/>
      <c r="U84" s="2014"/>
      <c r="V84" s="2014"/>
    </row>
    <row r="85" spans="1:26" ht="12.75">
      <c r="A85" s="381" t="s">
        <v>1827</v>
      </c>
      <c r="B85" s="382" t="s">
        <v>435</v>
      </c>
      <c r="C85" s="385">
        <f ca="1">C81-C84</f>
        <v>2006</v>
      </c>
      <c r="D85" s="378" t="s">
        <v>19</v>
      </c>
      <c r="E85" s="379"/>
      <c r="F85" s="42"/>
      <c r="G85" s="42"/>
      <c r="H85" s="1003"/>
      <c r="I85" s="311"/>
      <c r="J85" s="2014"/>
      <c r="K85" s="3283"/>
      <c r="L85" s="3018" t="s">
        <v>2878</v>
      </c>
      <c r="M85" s="3008" t="e">
        <f>IF(N69&gt;1000,N69*0.1%,IF(AND(N69&gt;500,N69&lt;=1000),N69*0.5%,IF(AND(N69&gt;50,N69&lt;=500),N69*1%,IF(AND(N69&gt;1,N69&lt;=50),N69*1.5%))))</f>
        <v>#VALUE!</v>
      </c>
      <c r="N85" s="53" t="e">
        <f>ROUND(M85,1)</f>
        <v>#VALUE!</v>
      </c>
      <c r="O85" s="2014" t="s">
        <v>2877</v>
      </c>
      <c r="P85" s="2014"/>
      <c r="Q85" s="2014"/>
      <c r="R85" s="2014"/>
      <c r="S85" s="2014"/>
      <c r="T85" s="2014"/>
      <c r="U85" s="2014"/>
      <c r="V85" s="2014"/>
    </row>
    <row r="86" spans="1:26" ht="13.5" thickBot="1">
      <c r="A86" s="386" t="s">
        <v>1828</v>
      </c>
      <c r="B86" s="387" t="s">
        <v>436</v>
      </c>
      <c r="C86" s="388">
        <f ca="1">IF(C85&lt;=0,0,ROUND(C85*D86,0))</f>
        <v>112</v>
      </c>
      <c r="D86" s="389">
        <f>'数据-取费表'!B41</f>
        <v>5.6000000000000001E-2</v>
      </c>
      <c r="E86" s="390"/>
      <c r="F86" s="42"/>
      <c r="G86" s="42"/>
      <c r="H86" s="1003"/>
      <c r="I86" s="311"/>
      <c r="J86" s="2014"/>
      <c r="K86" s="3283"/>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3"/>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7" t="s">
        <v>437</v>
      </c>
      <c r="B88" s="3338"/>
      <c r="C88" s="3338"/>
      <c r="D88" s="3338"/>
      <c r="E88" s="3338"/>
      <c r="F88" s="3338"/>
      <c r="G88" s="3338"/>
      <c r="H88" s="3338"/>
      <c r="I88" s="1311"/>
      <c r="J88" s="2022"/>
      <c r="K88" s="3283"/>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01" t="s">
        <v>428</v>
      </c>
      <c r="B89" s="3302"/>
      <c r="C89" s="994"/>
      <c r="D89" s="994" t="s">
        <v>429</v>
      </c>
      <c r="E89" s="391" t="s">
        <v>438</v>
      </c>
      <c r="F89" s="392"/>
      <c r="G89" s="392"/>
      <c r="H89" s="393"/>
      <c r="I89" s="1312"/>
      <c r="J89" s="2024"/>
      <c r="K89" s="3283"/>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4006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2585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4" t="s">
        <v>447</v>
      </c>
      <c r="F94" s="3335"/>
      <c r="G94" s="3335"/>
      <c r="H94" s="333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24</v>
      </c>
      <c r="D96" s="406">
        <f>'数据-取费表'!B43</f>
        <v>6.000000000000001E-3</v>
      </c>
      <c r="E96" s="3324" t="s">
        <v>2428</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1421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0.54970986460348159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439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7" t="s">
        <v>454</v>
      </c>
      <c r="B101" s="3338"/>
      <c r="C101" s="3338"/>
      <c r="D101" s="3338"/>
      <c r="E101" s="3338"/>
      <c r="F101" s="3338"/>
      <c r="G101" s="3338"/>
      <c r="H101" s="333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1" t="s">
        <v>428</v>
      </c>
      <c r="B102" s="330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4006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714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24</v>
      </c>
      <c r="D111" s="406">
        <f>'数据-取费表'!B43</f>
        <v>6.000000000000001E-3</v>
      </c>
      <c r="E111" s="3324" t="s">
        <v>2428</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2453</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3292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4.6106442577030808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1725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E73" sqref="E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7703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2751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3852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257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2" t="s">
        <v>522</v>
      </c>
      <c r="D6" s="3383"/>
      <c r="E6" s="3382" t="s">
        <v>523</v>
      </c>
      <c r="F6" s="3383"/>
      <c r="G6" s="3382" t="s">
        <v>524</v>
      </c>
      <c r="H6" s="3383"/>
      <c r="I6" s="3382" t="s">
        <v>525</v>
      </c>
      <c r="J6" s="3383"/>
      <c r="K6" s="514" t="s">
        <v>526</v>
      </c>
      <c r="L6" s="2119"/>
      <c r="M6" s="2118"/>
      <c r="N6" s="2118"/>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30" ht="20.25">
      <c r="A7" s="515"/>
      <c r="B7" s="516"/>
      <c r="C7" s="3393" t="s">
        <v>2931</v>
      </c>
      <c r="D7" s="3394"/>
      <c r="E7" s="3393" t="s">
        <v>2932</v>
      </c>
      <c r="F7" s="3394"/>
      <c r="G7" s="3393" t="s">
        <v>2933</v>
      </c>
      <c r="H7" s="3394"/>
      <c r="I7" s="3393" t="s">
        <v>2934</v>
      </c>
      <c r="J7" s="3394"/>
      <c r="K7" s="514"/>
      <c r="L7" s="2119"/>
      <c r="M7" s="2118"/>
      <c r="N7" s="2118"/>
      <c r="O7" s="2120"/>
      <c r="P7" s="3386"/>
      <c r="Q7" s="3387"/>
      <c r="R7" s="3372"/>
      <c r="S7" s="3373"/>
      <c r="T7" s="3372"/>
      <c r="U7" s="3373"/>
      <c r="V7" s="3390"/>
      <c r="W7" s="3390"/>
      <c r="X7" s="1554"/>
      <c r="Y7" s="3372"/>
      <c r="Z7" s="3373"/>
      <c r="AA7" s="3366"/>
      <c r="AB7" s="3366"/>
      <c r="AC7" s="3366"/>
    </row>
    <row r="8" spans="1:30" ht="21" thickBot="1">
      <c r="A8" s="515"/>
      <c r="B8" s="516"/>
      <c r="C8" s="3395" t="s">
        <v>2935</v>
      </c>
      <c r="D8" s="3396"/>
      <c r="E8" s="3395" t="s">
        <v>2935</v>
      </c>
      <c r="F8" s="3396"/>
      <c r="G8" s="3391" t="s">
        <v>2935</v>
      </c>
      <c r="H8" s="3392"/>
      <c r="I8" s="3391" t="s">
        <v>2935</v>
      </c>
      <c r="J8" s="3392"/>
      <c r="K8" s="514" t="s">
        <v>528</v>
      </c>
      <c r="L8" s="2119"/>
      <c r="M8" s="2118"/>
      <c r="N8" s="2118"/>
      <c r="O8" s="2120"/>
      <c r="P8" s="3388"/>
      <c r="Q8" s="3389"/>
      <c r="R8" s="3372"/>
      <c r="S8" s="3373"/>
      <c r="T8" s="3374"/>
      <c r="U8" s="3375"/>
      <c r="V8" s="3390"/>
      <c r="W8" s="3390"/>
      <c r="X8" s="1554"/>
      <c r="Y8" s="3374"/>
      <c r="Z8" s="3375"/>
      <c r="AA8" s="3367"/>
      <c r="AB8" s="3367"/>
      <c r="AC8" s="3367"/>
    </row>
    <row r="9" spans="1:30" s="1216" customFormat="1" ht="21" thickBot="1">
      <c r="A9" s="2868"/>
      <c r="B9" s="2875" t="s">
        <v>529</v>
      </c>
      <c r="C9" s="2867">
        <f>'数据-取费表'!B2</f>
        <v>43699</v>
      </c>
      <c r="D9" s="520">
        <v>100</v>
      </c>
      <c r="E9" s="521" t="str">
        <f>土地案例!I4</f>
        <v>2018-01-07</v>
      </c>
      <c r="F9" s="522">
        <f>SUMIF(72:72,YEAR(E9)&amp;"-"&amp;INT((MONTH(E9)+2)/3),73:73)</f>
        <v>94</v>
      </c>
      <c r="G9" s="523" t="str">
        <f>土地案例!I6</f>
        <v>2018-01-07</v>
      </c>
      <c r="H9" s="520">
        <f>SUMIF(72:72,YEAR(G9)&amp;"-"&amp;INT((MONTH(G9)+2)/3),73:73)</f>
        <v>94</v>
      </c>
      <c r="I9" s="523" t="str">
        <f>土地案例!I8</f>
        <v>2018-01-07</v>
      </c>
      <c r="J9" s="520">
        <f>SUMIF(72:72,YEAR(I9)&amp;"-"&amp;INT((MONTH(I9)+2)/3),73:73)</f>
        <v>94</v>
      </c>
      <c r="K9" s="524"/>
      <c r="L9" s="2121"/>
      <c r="M9" s="2118"/>
      <c r="N9" s="2118"/>
      <c r="O9" s="2122"/>
      <c r="P9" s="3368" t="s">
        <v>530</v>
      </c>
      <c r="Q9" s="3377"/>
      <c r="R9" s="1555" t="s">
        <v>8</v>
      </c>
      <c r="S9" s="1556">
        <f t="shared" ref="S9:S17" si="0">F9</f>
        <v>94</v>
      </c>
      <c r="T9" s="1555" t="s">
        <v>8</v>
      </c>
      <c r="U9" s="1556">
        <f t="shared" ref="U9:U17" si="1">H9</f>
        <v>94</v>
      </c>
      <c r="V9" s="1555" t="s">
        <v>8</v>
      </c>
      <c r="W9" s="1556">
        <f t="shared" ref="W9:W17" si="2">J9</f>
        <v>94</v>
      </c>
      <c r="X9" s="1557"/>
      <c r="Y9" s="3368" t="s">
        <v>530</v>
      </c>
      <c r="Z9" s="3369"/>
      <c r="AA9" s="1558">
        <f>D9/F9</f>
        <v>1.0638297872340425</v>
      </c>
      <c r="AB9" s="1558">
        <f>D9/H9</f>
        <v>1.0638297872340425</v>
      </c>
      <c r="AC9" s="1558">
        <f>D9/J9</f>
        <v>1.0638297872340425</v>
      </c>
    </row>
    <row r="10" spans="1:30" s="1216" customFormat="1" ht="21" thickBot="1">
      <c r="A10" s="2869"/>
      <c r="B10" s="2876" t="s">
        <v>531</v>
      </c>
      <c r="C10" s="856" t="s">
        <v>532</v>
      </c>
      <c r="D10" s="520">
        <v>100</v>
      </c>
      <c r="E10" s="525" t="s">
        <v>3078</v>
      </c>
      <c r="F10" s="522">
        <f>SUMIF(75:75,E10,76:76)-SUMIF(75:75,C10,76:76)+100</f>
        <v>100</v>
      </c>
      <c r="G10" s="525" t="s">
        <v>3078</v>
      </c>
      <c r="H10" s="520">
        <f>SUMIF(75:75,G10,76:76)-SUMIF(75:75,C10,76:76)+100</f>
        <v>100</v>
      </c>
      <c r="I10" s="525" t="s">
        <v>3078</v>
      </c>
      <c r="J10" s="520">
        <f>SUMIF(75:75,I10,76:76)-SUMIF(75:75,C10,76:76)+100</f>
        <v>100</v>
      </c>
      <c r="K10" s="524"/>
      <c r="L10" s="2121"/>
      <c r="M10" s="2118"/>
      <c r="N10" s="2118"/>
      <c r="O10" s="2122"/>
      <c r="P10" s="3368" t="s">
        <v>533</v>
      </c>
      <c r="Q10" s="3369"/>
      <c r="R10" s="1555" t="s">
        <v>8</v>
      </c>
      <c r="S10" s="1556">
        <f t="shared" si="0"/>
        <v>100</v>
      </c>
      <c r="T10" s="1555" t="s">
        <v>8</v>
      </c>
      <c r="U10" s="1556">
        <f t="shared" si="1"/>
        <v>100</v>
      </c>
      <c r="V10" s="1555" t="s">
        <v>8</v>
      </c>
      <c r="W10" s="1556">
        <f t="shared" si="2"/>
        <v>100</v>
      </c>
      <c r="X10" s="1557"/>
      <c r="Y10" s="3368" t="s">
        <v>533</v>
      </c>
      <c r="Z10" s="3369"/>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33"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6"/>
      <c r="Q12" s="1147" t="str">
        <f t="shared" si="6"/>
        <v>土地使用年限（年）</v>
      </c>
      <c r="R12" s="1555" t="s">
        <v>8</v>
      </c>
      <c r="S12" s="1556">
        <f t="shared" si="0"/>
        <v>103</v>
      </c>
      <c r="T12" s="1555" t="s">
        <v>8</v>
      </c>
      <c r="U12" s="1556">
        <f t="shared" si="1"/>
        <v>103</v>
      </c>
      <c r="V12" s="1555" t="s">
        <v>8</v>
      </c>
      <c r="W12" s="1556">
        <f t="shared" si="2"/>
        <v>103</v>
      </c>
      <c r="X12" s="1557"/>
      <c r="Y12" s="3333"/>
      <c r="Z12" s="1146" t="str">
        <f t="shared" si="7"/>
        <v>土地使用年限（年）</v>
      </c>
      <c r="AA12" s="1558">
        <f t="shared" si="3"/>
        <v>0.970873786407767</v>
      </c>
      <c r="AB12" s="1558">
        <f t="shared" si="4"/>
        <v>0.970873786407767</v>
      </c>
      <c r="AC12" s="1558">
        <f t="shared" si="5"/>
        <v>0.970873786407767</v>
      </c>
    </row>
    <row r="13" spans="1:30" ht="20.25">
      <c r="A13" s="2872"/>
      <c r="B13" s="2876" t="s">
        <v>2758</v>
      </c>
      <c r="C13" s="534">
        <f>'数据-汇总表'!I6</f>
        <v>1.4</v>
      </c>
      <c r="D13" s="255">
        <v>100</v>
      </c>
      <c r="E13" s="533">
        <f>土地案例!G4</f>
        <v>1.8</v>
      </c>
      <c r="F13" s="255">
        <f>LOOKUP(E13,82:82,83:83)-LOOKUP(C13,82:82,83:83)+100</f>
        <v>100</v>
      </c>
      <c r="G13" s="534">
        <f>土地案例!G6</f>
        <v>2</v>
      </c>
      <c r="H13" s="255">
        <f>LOOKUP(G13,82:82,83:83)-LOOKUP(C13,82:82,83:83)+100</f>
        <v>97</v>
      </c>
      <c r="I13" s="533">
        <f>土地案例!G8</f>
        <v>1.4</v>
      </c>
      <c r="J13" s="255">
        <f>LOOKUP(I13,82:82,83:83)-LOOKUP(C13,82:82,83:83)+100</f>
        <v>100</v>
      </c>
      <c r="K13" s="535">
        <v>3</v>
      </c>
      <c r="L13" s="2126"/>
      <c r="M13" s="2118"/>
      <c r="N13" s="2118"/>
      <c r="O13" s="2127"/>
      <c r="P13" s="3376"/>
      <c r="Q13" s="1147" t="str">
        <f t="shared" si="6"/>
        <v>容积率</v>
      </c>
      <c r="R13" s="1555" t="s">
        <v>8</v>
      </c>
      <c r="S13" s="1556">
        <f t="shared" si="0"/>
        <v>100</v>
      </c>
      <c r="T13" s="1555" t="s">
        <v>8</v>
      </c>
      <c r="U13" s="1556">
        <f t="shared" si="1"/>
        <v>97</v>
      </c>
      <c r="V13" s="1555" t="s">
        <v>8</v>
      </c>
      <c r="W13" s="1556">
        <f t="shared" si="2"/>
        <v>100</v>
      </c>
      <c r="X13" s="1557"/>
      <c r="Y13" s="3333"/>
      <c r="Z13" s="1146" t="str">
        <f t="shared" si="7"/>
        <v>容积率</v>
      </c>
      <c r="AA13" s="1558">
        <f t="shared" si="3"/>
        <v>1</v>
      </c>
      <c r="AB13" s="1558">
        <f t="shared" si="4"/>
        <v>1.0309278350515463</v>
      </c>
      <c r="AC13" s="1558">
        <f t="shared" si="5"/>
        <v>1</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6"/>
      <c r="Q14" s="1147" t="str">
        <f t="shared" si="6"/>
        <v>配建</v>
      </c>
      <c r="R14" s="1555" t="s">
        <v>8</v>
      </c>
      <c r="S14" s="1556">
        <f t="shared" si="0"/>
        <v>100</v>
      </c>
      <c r="T14" s="1555" t="s">
        <v>8</v>
      </c>
      <c r="U14" s="1556">
        <f t="shared" si="1"/>
        <v>100</v>
      </c>
      <c r="V14" s="1555" t="s">
        <v>8</v>
      </c>
      <c r="W14" s="1556">
        <f t="shared" si="2"/>
        <v>100</v>
      </c>
      <c r="X14" s="1557"/>
      <c r="Y14" s="3333"/>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106</v>
      </c>
      <c r="G17" s="550"/>
      <c r="H17" s="549">
        <f>SUMIF(90:90,G18,91:91)-SUMIF(90:90,C18,91:91)+100</f>
        <v>106</v>
      </c>
      <c r="I17" s="552"/>
      <c r="J17" s="549">
        <f>SUMIF(90:90,I18,91:91)-SUMIF(90:90,C18,91:91)+100</f>
        <v>106</v>
      </c>
      <c r="K17" s="535">
        <v>3</v>
      </c>
      <c r="L17" s="2128"/>
      <c r="M17" s="2118"/>
      <c r="N17" s="2118"/>
      <c r="O17" s="2127"/>
      <c r="P17" s="3378" t="s">
        <v>540</v>
      </c>
      <c r="Q17" s="1559" t="str">
        <f t="shared" si="6"/>
        <v>居住社区成熟度</v>
      </c>
      <c r="R17" s="1560" t="s">
        <v>8</v>
      </c>
      <c r="S17" s="1561">
        <f t="shared" si="0"/>
        <v>106</v>
      </c>
      <c r="T17" s="1560" t="s">
        <v>8</v>
      </c>
      <c r="U17" s="1561">
        <f t="shared" si="1"/>
        <v>106</v>
      </c>
      <c r="V17" s="1560" t="s">
        <v>8</v>
      </c>
      <c r="W17" s="1561">
        <f t="shared" si="2"/>
        <v>106</v>
      </c>
      <c r="X17" s="1554"/>
      <c r="Y17" s="3378" t="s">
        <v>540</v>
      </c>
      <c r="Z17" s="1562" t="str">
        <f t="shared" si="7"/>
        <v>居住社区成熟度</v>
      </c>
      <c r="AA17" s="1563">
        <f t="shared" si="3"/>
        <v>0.94339622641509435</v>
      </c>
      <c r="AB17" s="1563">
        <f t="shared" si="4"/>
        <v>0.94339622641509435</v>
      </c>
      <c r="AC17" s="1563">
        <f t="shared" si="5"/>
        <v>0.94339622641509435</v>
      </c>
    </row>
    <row r="18" spans="1:29" ht="20.25">
      <c r="A18" s="532"/>
      <c r="B18" s="553"/>
      <c r="C18" s="554" t="s">
        <v>3080</v>
      </c>
      <c r="D18" s="557"/>
      <c r="E18" s="558" t="s">
        <v>3081</v>
      </c>
      <c r="F18" s="555"/>
      <c r="G18" s="556" t="s">
        <v>3081</v>
      </c>
      <c r="H18" s="559"/>
      <c r="I18" s="558" t="s">
        <v>3081</v>
      </c>
      <c r="J18" s="555"/>
      <c r="K18" s="531"/>
      <c r="L18" s="2128"/>
      <c r="M18" s="2118"/>
      <c r="N18" s="2118"/>
      <c r="O18" s="2127"/>
      <c r="P18" s="3379"/>
      <c r="Q18" s="1559"/>
      <c r="R18" s="1560"/>
      <c r="S18" s="1561"/>
      <c r="T18" s="1560"/>
      <c r="U18" s="1561"/>
      <c r="V18" s="1560"/>
      <c r="W18" s="1561"/>
      <c r="X18" s="1554"/>
      <c r="Y18" s="337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9"/>
      <c r="Q19" s="1559" t="str">
        <f>B19</f>
        <v>商业繁华度</v>
      </c>
      <c r="R19" s="1560" t="s">
        <v>8</v>
      </c>
      <c r="S19" s="1561">
        <f>F19</f>
        <v>100</v>
      </c>
      <c r="T19" s="1560" t="s">
        <v>8</v>
      </c>
      <c r="U19" s="1561">
        <f>H19</f>
        <v>100</v>
      </c>
      <c r="V19" s="1560" t="s">
        <v>8</v>
      </c>
      <c r="W19" s="1561">
        <f>J19</f>
        <v>100</v>
      </c>
      <c r="X19" s="1554"/>
      <c r="Y19" s="337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9"/>
      <c r="Q20" s="1559"/>
      <c r="R20" s="1560"/>
      <c r="S20" s="1561"/>
      <c r="T20" s="1560"/>
      <c r="U20" s="1561"/>
      <c r="V20" s="1560"/>
      <c r="W20" s="1561"/>
      <c r="X20" s="1554"/>
      <c r="Y20" s="337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9"/>
      <c r="Q21" s="1559" t="str">
        <f>B21</f>
        <v>办公集聚程度</v>
      </c>
      <c r="R21" s="1560" t="s">
        <v>8</v>
      </c>
      <c r="S21" s="1561">
        <f>F21</f>
        <v>100</v>
      </c>
      <c r="T21" s="1560" t="s">
        <v>8</v>
      </c>
      <c r="U21" s="1561">
        <f>H21</f>
        <v>100</v>
      </c>
      <c r="V21" s="1560" t="s">
        <v>8</v>
      </c>
      <c r="W21" s="1561">
        <f>J21</f>
        <v>100</v>
      </c>
      <c r="X21" s="1554"/>
      <c r="Y21" s="337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9"/>
      <c r="Q22" s="1559"/>
      <c r="R22" s="1560"/>
      <c r="S22" s="1561"/>
      <c r="T22" s="1560"/>
      <c r="U22" s="1561"/>
      <c r="V22" s="1560"/>
      <c r="W22" s="1561"/>
      <c r="X22" s="1554"/>
      <c r="Y22" s="337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379"/>
      <c r="Q23" s="1559" t="str">
        <f>B23</f>
        <v>交通便捷度</v>
      </c>
      <c r="R23" s="1560" t="s">
        <v>8</v>
      </c>
      <c r="S23" s="1561">
        <f>F23</f>
        <v>104</v>
      </c>
      <c r="T23" s="1560" t="s">
        <v>8</v>
      </c>
      <c r="U23" s="1561">
        <f>H23</f>
        <v>104</v>
      </c>
      <c r="V23" s="1560" t="s">
        <v>8</v>
      </c>
      <c r="W23" s="1561">
        <f>J23</f>
        <v>104</v>
      </c>
      <c r="X23" s="1554"/>
      <c r="Y23" s="3379"/>
      <c r="Z23" s="1562" t="str">
        <f>Q23</f>
        <v>交通便捷度</v>
      </c>
      <c r="AA23" s="1563">
        <f t="shared" si="3"/>
        <v>0.96153846153846156</v>
      </c>
      <c r="AB23" s="1563">
        <f t="shared" si="4"/>
        <v>0.96153846153846156</v>
      </c>
      <c r="AC23" s="1563">
        <f t="shared" si="5"/>
        <v>0.96153846153846156</v>
      </c>
    </row>
    <row r="24" spans="1:29" ht="20.25">
      <c r="A24" s="532"/>
      <c r="B24" s="578"/>
      <c r="C24" s="554" t="s">
        <v>3080</v>
      </c>
      <c r="D24" s="557"/>
      <c r="E24" s="558" t="s">
        <v>3081</v>
      </c>
      <c r="F24" s="555"/>
      <c r="G24" s="556" t="s">
        <v>3081</v>
      </c>
      <c r="H24" s="555"/>
      <c r="I24" s="558" t="s">
        <v>3081</v>
      </c>
      <c r="J24" s="555"/>
      <c r="K24" s="531"/>
      <c r="L24" s="2128"/>
      <c r="M24" s="2118"/>
      <c r="N24" s="2118"/>
      <c r="O24" s="2127"/>
      <c r="P24" s="3379"/>
      <c r="Q24" s="1559"/>
      <c r="R24" s="1560"/>
      <c r="S24" s="1561"/>
      <c r="T24" s="1560"/>
      <c r="U24" s="1561"/>
      <c r="V24" s="1560"/>
      <c r="W24" s="1561"/>
      <c r="X24" s="1554"/>
      <c r="Y24" s="337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9"/>
      <c r="Q25" s="1559" t="str">
        <f t="shared" ref="Q25:Q39" si="8">B25</f>
        <v>区域土地利用方向</v>
      </c>
      <c r="R25" s="1560" t="s">
        <v>8</v>
      </c>
      <c r="S25" s="1561">
        <f>F25</f>
        <v>100</v>
      </c>
      <c r="T25" s="1560" t="s">
        <v>8</v>
      </c>
      <c r="U25" s="1561">
        <f>H25</f>
        <v>100</v>
      </c>
      <c r="V25" s="1560" t="s">
        <v>8</v>
      </c>
      <c r="W25" s="1561">
        <f>J25</f>
        <v>100</v>
      </c>
      <c r="X25" s="1554"/>
      <c r="Y25" s="337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9"/>
      <c r="Q26" s="1559"/>
      <c r="R26" s="1560"/>
      <c r="S26" s="1561"/>
      <c r="T26" s="1560"/>
      <c r="U26" s="1561"/>
      <c r="V26" s="1560"/>
      <c r="W26" s="1561"/>
      <c r="X26" s="1554"/>
      <c r="Y26" s="337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104</v>
      </c>
      <c r="G27" s="562"/>
      <c r="H27" s="559">
        <f>SUMIF(100:100,G28,101:101)-SUMIF(100:100,C28,101:101)+100</f>
        <v>104</v>
      </c>
      <c r="I27" s="564"/>
      <c r="J27" s="559">
        <f>SUMIF(100:100,I28,101:101)-SUMIF(100:100,C28,101:101)+100</f>
        <v>104</v>
      </c>
      <c r="K27" s="535">
        <v>2</v>
      </c>
      <c r="L27" s="2128"/>
      <c r="M27" s="2118"/>
      <c r="N27" s="2118"/>
      <c r="O27" s="2127"/>
      <c r="P27" s="3379"/>
      <c r="Q27" s="1559" t="str">
        <f t="shared" si="8"/>
        <v>自然及人文环境状况</v>
      </c>
      <c r="R27" s="1560" t="s">
        <v>8</v>
      </c>
      <c r="S27" s="1561">
        <f>F27</f>
        <v>104</v>
      </c>
      <c r="T27" s="1560" t="s">
        <v>8</v>
      </c>
      <c r="U27" s="1561">
        <f>H27</f>
        <v>104</v>
      </c>
      <c r="V27" s="1560" t="s">
        <v>8</v>
      </c>
      <c r="W27" s="1561">
        <f>J27</f>
        <v>104</v>
      </c>
      <c r="X27" s="1554"/>
      <c r="Y27" s="3379"/>
      <c r="Z27" s="1562" t="str">
        <f>Q27</f>
        <v>自然及人文环境状况</v>
      </c>
      <c r="AA27" s="1563">
        <f t="shared" si="3"/>
        <v>0.96153846153846156</v>
      </c>
      <c r="AB27" s="1563">
        <f t="shared" si="4"/>
        <v>0.96153846153846156</v>
      </c>
      <c r="AC27" s="1563">
        <f t="shared" si="5"/>
        <v>0.96153846153846156</v>
      </c>
    </row>
    <row r="28" spans="1:29" ht="20.25">
      <c r="A28" s="515"/>
      <c r="B28" s="566"/>
      <c r="C28" s="554" t="s">
        <v>3080</v>
      </c>
      <c r="D28" s="557"/>
      <c r="E28" s="576" t="s">
        <v>3081</v>
      </c>
      <c r="F28" s="555"/>
      <c r="G28" s="554" t="s">
        <v>3081</v>
      </c>
      <c r="H28" s="555"/>
      <c r="I28" s="576" t="s">
        <v>3081</v>
      </c>
      <c r="J28" s="555"/>
      <c r="K28" s="531"/>
      <c r="L28" s="2128"/>
      <c r="M28" s="2118"/>
      <c r="N28" s="2118"/>
      <c r="O28" s="2127"/>
      <c r="P28" s="3379"/>
      <c r="Q28" s="1559"/>
      <c r="R28" s="1560"/>
      <c r="S28" s="1561"/>
      <c r="T28" s="1560"/>
      <c r="U28" s="1561"/>
      <c r="V28" s="1560"/>
      <c r="W28" s="1561"/>
      <c r="X28" s="1554"/>
      <c r="Y28" s="3379"/>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379"/>
      <c r="Q29" s="1147" t="str">
        <f t="shared" si="8"/>
        <v>公共配套设施</v>
      </c>
      <c r="R29" s="1555" t="s">
        <v>8</v>
      </c>
      <c r="S29" s="1556">
        <f>F29</f>
        <v>104</v>
      </c>
      <c r="T29" s="1555" t="s">
        <v>8</v>
      </c>
      <c r="U29" s="1556">
        <f>H29</f>
        <v>104</v>
      </c>
      <c r="V29" s="1555" t="s">
        <v>8</v>
      </c>
      <c r="W29" s="1556">
        <f>J29</f>
        <v>104</v>
      </c>
      <c r="X29" s="1557"/>
      <c r="Y29" s="3379"/>
      <c r="Z29" s="1146" t="str">
        <f>Q29</f>
        <v>公共配套设施</v>
      </c>
      <c r="AA29" s="1563">
        <f>D29/F29</f>
        <v>0.96153846153846156</v>
      </c>
      <c r="AB29" s="1563">
        <f>D29/H29</f>
        <v>0.96153846153846156</v>
      </c>
      <c r="AC29" s="1563">
        <f>D29/J29</f>
        <v>0.96153846153846156</v>
      </c>
    </row>
    <row r="30" spans="1:29" s="1216" customFormat="1" ht="20.25">
      <c r="A30" s="577"/>
      <c r="B30" s="566"/>
      <c r="C30" s="579" t="s">
        <v>3080</v>
      </c>
      <c r="D30" s="557"/>
      <c r="E30" s="576" t="s">
        <v>3081</v>
      </c>
      <c r="F30" s="555"/>
      <c r="G30" s="554" t="s">
        <v>3081</v>
      </c>
      <c r="H30" s="555"/>
      <c r="I30" s="576" t="s">
        <v>3081</v>
      </c>
      <c r="J30" s="555"/>
      <c r="K30" s="531"/>
      <c r="L30" s="2121"/>
      <c r="M30" s="2118"/>
      <c r="N30" s="2118"/>
      <c r="O30" s="2123"/>
      <c r="P30" s="3379"/>
      <c r="Q30" s="1147"/>
      <c r="R30" s="1555"/>
      <c r="S30" s="1556"/>
      <c r="T30" s="1555"/>
      <c r="U30" s="1556"/>
      <c r="V30" s="1555"/>
      <c r="W30" s="1556"/>
      <c r="X30" s="1557"/>
      <c r="Y30" s="3379"/>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9"/>
      <c r="Q31" s="2543" t="str">
        <f>B31</f>
        <v>基础设施水平</v>
      </c>
      <c r="R31" s="1555" t="s">
        <v>8</v>
      </c>
      <c r="S31" s="1556">
        <f>F31</f>
        <v>100</v>
      </c>
      <c r="T31" s="1555" t="s">
        <v>8</v>
      </c>
      <c r="U31" s="1556">
        <f>H31</f>
        <v>100</v>
      </c>
      <c r="V31" s="1555" t="s">
        <v>8</v>
      </c>
      <c r="W31" s="1556">
        <f>J31</f>
        <v>100</v>
      </c>
      <c r="X31" s="1557"/>
      <c r="Y31" s="337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9"/>
      <c r="Q32" s="2543"/>
      <c r="R32" s="1555"/>
      <c r="S32" s="1556"/>
      <c r="T32" s="1555"/>
      <c r="U32" s="1556"/>
      <c r="V32" s="1555"/>
      <c r="W32" s="1556"/>
      <c r="X32" s="1557"/>
      <c r="Y32" s="337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9"/>
      <c r="Q33" s="1559" t="str">
        <f t="shared" si="8"/>
        <v>临街状况</v>
      </c>
      <c r="R33" s="1560" t="s">
        <v>8</v>
      </c>
      <c r="S33" s="1561">
        <f t="shared" ref="S33:S47" si="9">F33</f>
        <v>100</v>
      </c>
      <c r="T33" s="1560" t="s">
        <v>8</v>
      </c>
      <c r="U33" s="1561">
        <f t="shared" ref="U33:U47" si="10">H33</f>
        <v>100</v>
      </c>
      <c r="V33" s="1560" t="s">
        <v>8</v>
      </c>
      <c r="W33" s="1561">
        <f t="shared" ref="W33:W47" si="11">J33</f>
        <v>100</v>
      </c>
      <c r="X33" s="1554"/>
      <c r="Y33" s="3379"/>
      <c r="Z33" s="1562" t="str">
        <f t="shared" ref="Z33:Z47" si="12">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9"/>
      <c r="Q34" s="1559" t="str">
        <f t="shared" si="8"/>
        <v>毗邻道路的类型与等级</v>
      </c>
      <c r="R34" s="1560" t="s">
        <v>8</v>
      </c>
      <c r="S34" s="1561">
        <f t="shared" si="9"/>
        <v>100</v>
      </c>
      <c r="T34" s="1560" t="s">
        <v>8</v>
      </c>
      <c r="U34" s="1561">
        <f t="shared" si="10"/>
        <v>100</v>
      </c>
      <c r="V34" s="1560" t="s">
        <v>8</v>
      </c>
      <c r="W34" s="1561">
        <f t="shared" si="11"/>
        <v>100</v>
      </c>
      <c r="X34" s="1554"/>
      <c r="Y34" s="3379"/>
      <c r="Z34" s="1562" t="str">
        <f t="shared" si="12"/>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9"/>
      <c r="Q35" s="1559"/>
      <c r="R35" s="1560"/>
      <c r="S35" s="1561"/>
      <c r="T35" s="1560"/>
      <c r="U35" s="1561"/>
      <c r="V35" s="1560"/>
      <c r="W35" s="1561"/>
      <c r="X35" s="1554"/>
      <c r="Y35" s="337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9"/>
      <c r="Q36" s="1559" t="str">
        <f t="shared" si="8"/>
        <v>土地级别</v>
      </c>
      <c r="R36" s="1560" t="s">
        <v>8</v>
      </c>
      <c r="S36" s="1561">
        <f t="shared" si="9"/>
        <v>100</v>
      </c>
      <c r="T36" s="1560" t="s">
        <v>8</v>
      </c>
      <c r="U36" s="1561">
        <f t="shared" si="10"/>
        <v>100</v>
      </c>
      <c r="V36" s="1560" t="s">
        <v>8</v>
      </c>
      <c r="W36" s="1561">
        <f t="shared" si="11"/>
        <v>100</v>
      </c>
      <c r="X36" s="1554"/>
      <c r="Y36" s="3379"/>
      <c r="Z36" s="1562" t="str">
        <f t="shared" si="12"/>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9"/>
      <c r="Q37" s="1559">
        <f t="shared" si="8"/>
        <v>111</v>
      </c>
      <c r="R37" s="1560" t="s">
        <v>8</v>
      </c>
      <c r="S37" s="1561">
        <f t="shared" si="9"/>
        <v>100</v>
      </c>
      <c r="T37" s="1560" t="s">
        <v>8</v>
      </c>
      <c r="U37" s="1561">
        <f t="shared" si="10"/>
        <v>100</v>
      </c>
      <c r="V37" s="1560" t="s">
        <v>8</v>
      </c>
      <c r="W37" s="1561">
        <f t="shared" si="11"/>
        <v>100</v>
      </c>
      <c r="X37" s="1554"/>
      <c r="Y37" s="3379"/>
      <c r="Z37" s="1562">
        <f t="shared" si="12"/>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0" t="s">
        <v>550</v>
      </c>
      <c r="Q38" s="1559">
        <f t="shared" si="8"/>
        <v>111</v>
      </c>
      <c r="R38" s="1560" t="s">
        <v>8</v>
      </c>
      <c r="S38" s="1561">
        <f t="shared" si="9"/>
        <v>100</v>
      </c>
      <c r="T38" s="1560" t="s">
        <v>8</v>
      </c>
      <c r="U38" s="1561">
        <f t="shared" si="10"/>
        <v>100</v>
      </c>
      <c r="V38" s="1560" t="s">
        <v>8</v>
      </c>
      <c r="W38" s="1561">
        <f t="shared" si="11"/>
        <v>100</v>
      </c>
      <c r="X38" s="1554"/>
      <c r="Y38" s="3381" t="s">
        <v>550</v>
      </c>
      <c r="Z38" s="1562">
        <f t="shared" si="12"/>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1"/>
      <c r="Q39" s="1559">
        <f t="shared" si="8"/>
        <v>111</v>
      </c>
      <c r="R39" s="1564" t="s">
        <v>8</v>
      </c>
      <c r="S39" s="1565">
        <f t="shared" si="9"/>
        <v>100</v>
      </c>
      <c r="T39" s="1564" t="s">
        <v>8</v>
      </c>
      <c r="U39" s="1565">
        <f t="shared" si="10"/>
        <v>100</v>
      </c>
      <c r="V39" s="1564" t="s">
        <v>8</v>
      </c>
      <c r="W39" s="1565">
        <f t="shared" si="11"/>
        <v>100</v>
      </c>
      <c r="X39" s="1566"/>
      <c r="Y39" s="3381"/>
      <c r="Z39" s="1567">
        <f t="shared" si="12"/>
        <v>111</v>
      </c>
      <c r="AA39" s="1563">
        <f t="shared" si="3"/>
        <v>1</v>
      </c>
      <c r="AB39" s="1563">
        <f t="shared" si="4"/>
        <v>1</v>
      </c>
      <c r="AC39" s="1563">
        <f t="shared" si="5"/>
        <v>1</v>
      </c>
    </row>
    <row r="40" spans="1:29" ht="20.25">
      <c r="A40" s="2863" t="s">
        <v>2755</v>
      </c>
      <c r="B40" s="595" t="s">
        <v>552</v>
      </c>
      <c r="C40" s="596">
        <f>'数据-基础表'!A3</f>
        <v>20000</v>
      </c>
      <c r="D40" s="597">
        <v>100</v>
      </c>
      <c r="E40" s="596">
        <f>土地案例!D4</f>
        <v>85558</v>
      </c>
      <c r="F40" s="597">
        <f>LOOKUP(E40,119:119,120:120)-LOOKUP(C40,119:119,120:120)+100</f>
        <v>106</v>
      </c>
      <c r="G40" s="596">
        <f>土地案例!D6</f>
        <v>72028</v>
      </c>
      <c r="H40" s="597">
        <f>LOOKUP(G40,119:119,120:120)-LOOKUP(C40,119:119,120:120)+100</f>
        <v>104</v>
      </c>
      <c r="I40" s="598">
        <f>土地案例!D8</f>
        <v>67668</v>
      </c>
      <c r="J40" s="597">
        <f>LOOKUP(I40,119:119,120:120)-LOOKUP(C40,119:119,120:120)+100</f>
        <v>104</v>
      </c>
      <c r="K40" s="581"/>
      <c r="L40" s="2128"/>
      <c r="M40" s="2118"/>
      <c r="N40" s="2118"/>
      <c r="O40" s="2127"/>
      <c r="P40" s="3381"/>
      <c r="Q40" s="1559" t="str">
        <f>B40</f>
        <v>宗地面积</v>
      </c>
      <c r="R40" s="1560" t="s">
        <v>8</v>
      </c>
      <c r="S40" s="1561">
        <f t="shared" si="9"/>
        <v>106</v>
      </c>
      <c r="T40" s="1560" t="s">
        <v>8</v>
      </c>
      <c r="U40" s="1561">
        <f t="shared" si="10"/>
        <v>104</v>
      </c>
      <c r="V40" s="1560" t="s">
        <v>8</v>
      </c>
      <c r="W40" s="1561">
        <f t="shared" si="11"/>
        <v>104</v>
      </c>
      <c r="X40" s="1554"/>
      <c r="Y40" s="3381"/>
      <c r="Z40" s="1562" t="str">
        <f t="shared" si="12"/>
        <v>宗地面积</v>
      </c>
      <c r="AA40" s="1563">
        <f t="shared" si="3"/>
        <v>0.94339622641509435</v>
      </c>
      <c r="AB40" s="1563">
        <f t="shared" si="4"/>
        <v>0.96153846153846156</v>
      </c>
      <c r="AC40" s="1563">
        <f t="shared" si="5"/>
        <v>0.96153846153846156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1"/>
      <c r="Q41" s="1559" t="str">
        <f t="shared" ref="Q41:Q47" si="13">B41</f>
        <v>宗地形状</v>
      </c>
      <c r="R41" s="1560" t="s">
        <v>8</v>
      </c>
      <c r="S41" s="1561">
        <f t="shared" si="9"/>
        <v>100</v>
      </c>
      <c r="T41" s="1560" t="s">
        <v>8</v>
      </c>
      <c r="U41" s="1561">
        <f t="shared" si="10"/>
        <v>100</v>
      </c>
      <c r="V41" s="1560" t="s">
        <v>8</v>
      </c>
      <c r="W41" s="1561">
        <f t="shared" si="11"/>
        <v>100</v>
      </c>
      <c r="X41" s="1554"/>
      <c r="Y41" s="3381"/>
      <c r="Z41" s="1562" t="str">
        <f t="shared" si="12"/>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1"/>
      <c r="Q42" s="1559" t="str">
        <f t="shared" si="13"/>
        <v>临街宽度及深度</v>
      </c>
      <c r="R42" s="1560" t="s">
        <v>8</v>
      </c>
      <c r="S42" s="1561">
        <f t="shared" si="9"/>
        <v>100</v>
      </c>
      <c r="T42" s="1560" t="s">
        <v>8</v>
      </c>
      <c r="U42" s="1561">
        <f t="shared" si="10"/>
        <v>100</v>
      </c>
      <c r="V42" s="1560" t="s">
        <v>8</v>
      </c>
      <c r="W42" s="1561">
        <f t="shared" si="11"/>
        <v>100</v>
      </c>
      <c r="X42" s="1554"/>
      <c r="Y42" s="3381"/>
      <c r="Z42" s="1562" t="str">
        <f t="shared" si="12"/>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1"/>
      <c r="Q43" s="1559" t="str">
        <f t="shared" si="13"/>
        <v>宗地开发程度</v>
      </c>
      <c r="R43" s="1555" t="s">
        <v>8</v>
      </c>
      <c r="S43" s="1556">
        <f t="shared" si="9"/>
        <v>100</v>
      </c>
      <c r="T43" s="1555" t="s">
        <v>8</v>
      </c>
      <c r="U43" s="1556">
        <f t="shared" si="10"/>
        <v>100</v>
      </c>
      <c r="V43" s="1555" t="s">
        <v>8</v>
      </c>
      <c r="W43" s="1556">
        <f t="shared" si="11"/>
        <v>100</v>
      </c>
      <c r="X43" s="1557"/>
      <c r="Y43" s="3381"/>
      <c r="Z43" s="1146" t="str">
        <f t="shared" si="12"/>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1" t="s">
        <v>550</v>
      </c>
      <c r="Q44" s="1559" t="str">
        <f t="shared" si="13"/>
        <v>工程地质条件</v>
      </c>
      <c r="R44" s="1560" t="s">
        <v>8</v>
      </c>
      <c r="S44" s="1561">
        <f t="shared" si="9"/>
        <v>100</v>
      </c>
      <c r="T44" s="1560" t="s">
        <v>8</v>
      </c>
      <c r="U44" s="1561">
        <f t="shared" si="10"/>
        <v>100</v>
      </c>
      <c r="V44" s="1560" t="s">
        <v>8</v>
      </c>
      <c r="W44" s="1561">
        <f t="shared" si="11"/>
        <v>100</v>
      </c>
      <c r="X44" s="1554"/>
      <c r="Y44" s="3381" t="s">
        <v>550</v>
      </c>
      <c r="Z44" s="1562" t="str">
        <f t="shared" si="12"/>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1"/>
      <c r="Q45" s="1559">
        <f t="shared" si="13"/>
        <v>111</v>
      </c>
      <c r="R45" s="1560" t="s">
        <v>8</v>
      </c>
      <c r="S45" s="1561">
        <f t="shared" si="9"/>
        <v>100</v>
      </c>
      <c r="T45" s="1560" t="s">
        <v>8</v>
      </c>
      <c r="U45" s="1561">
        <f t="shared" si="10"/>
        <v>100</v>
      </c>
      <c r="V45" s="1560" t="s">
        <v>8</v>
      </c>
      <c r="W45" s="1561">
        <f t="shared" si="11"/>
        <v>100</v>
      </c>
      <c r="X45" s="1554"/>
      <c r="Y45" s="3381"/>
      <c r="Z45" s="1562">
        <f t="shared" si="12"/>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1"/>
      <c r="Q46" s="1559">
        <f t="shared" si="13"/>
        <v>111</v>
      </c>
      <c r="R46" s="1560" t="s">
        <v>8</v>
      </c>
      <c r="S46" s="1561">
        <f t="shared" si="9"/>
        <v>100</v>
      </c>
      <c r="T46" s="1560" t="s">
        <v>8</v>
      </c>
      <c r="U46" s="1561">
        <f t="shared" si="10"/>
        <v>100</v>
      </c>
      <c r="V46" s="1560" t="s">
        <v>8</v>
      </c>
      <c r="W46" s="1561">
        <f t="shared" si="11"/>
        <v>100</v>
      </c>
      <c r="X46" s="1554"/>
      <c r="Y46" s="3381"/>
      <c r="Z46" s="1562">
        <f t="shared" si="12"/>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1"/>
      <c r="Q47" s="1559">
        <f t="shared" si="13"/>
        <v>111</v>
      </c>
      <c r="R47" s="1564" t="s">
        <v>8</v>
      </c>
      <c r="S47" s="1565">
        <f t="shared" si="9"/>
        <v>100</v>
      </c>
      <c r="T47" s="1564" t="s">
        <v>8</v>
      </c>
      <c r="U47" s="1565">
        <f t="shared" si="10"/>
        <v>100</v>
      </c>
      <c r="V47" s="1564" t="s">
        <v>8</v>
      </c>
      <c r="W47" s="1565">
        <f t="shared" si="11"/>
        <v>100</v>
      </c>
      <c r="X47" s="1566"/>
      <c r="Y47" s="3381"/>
      <c r="Z47" s="1567">
        <f t="shared" si="12"/>
        <v>111</v>
      </c>
      <c r="AA47" s="1563">
        <f t="shared" si="3"/>
        <v>1</v>
      </c>
      <c r="AB47" s="1563">
        <f t="shared" si="4"/>
        <v>1</v>
      </c>
      <c r="AC47" s="1563">
        <f t="shared" si="5"/>
        <v>1</v>
      </c>
    </row>
    <row r="48" spans="1:29" ht="20.25">
      <c r="A48" s="607" t="s">
        <v>556</v>
      </c>
      <c r="B48" s="608" t="s">
        <v>3079</v>
      </c>
      <c r="C48" s="609" t="s">
        <v>1</v>
      </c>
      <c r="D48" s="610"/>
      <c r="E48" s="611">
        <f>土地案例!L4</f>
        <v>3238.21</v>
      </c>
      <c r="F48" s="612"/>
      <c r="G48" s="613">
        <f>土地案例!L6</f>
        <v>3016.19</v>
      </c>
      <c r="H48" s="614"/>
      <c r="I48" s="611">
        <f>土地案例!L8</f>
        <v>3621.67</v>
      </c>
      <c r="J48" s="614"/>
      <c r="K48" s="1336"/>
      <c r="L48" s="2130"/>
      <c r="M48" s="2118"/>
      <c r="N48" s="2118"/>
      <c r="O48" s="2131"/>
      <c r="P48" s="3376" t="str">
        <f>A48</f>
        <v>成交单价</v>
      </c>
      <c r="Q48" s="3376"/>
      <c r="R48" s="3390">
        <f>E48</f>
        <v>3238.21</v>
      </c>
      <c r="S48" s="3390"/>
      <c r="T48" s="3390">
        <f>G48</f>
        <v>3016.19</v>
      </c>
      <c r="U48" s="3390"/>
      <c r="V48" s="3390">
        <f>I48</f>
        <v>3621.67</v>
      </c>
      <c r="W48" s="3390"/>
      <c r="X48" s="1546"/>
      <c r="Y48" s="1568"/>
      <c r="Z48" s="1546"/>
      <c r="AA48" s="1546"/>
      <c r="AB48" s="1546"/>
      <c r="AC48" s="1546"/>
    </row>
    <row r="49" spans="1:29" ht="21" thickBot="1">
      <c r="A49" s="615" t="s">
        <v>2693</v>
      </c>
      <c r="B49" s="616"/>
      <c r="C49" s="617">
        <f>R50</f>
        <v>2751</v>
      </c>
      <c r="D49" s="618"/>
      <c r="E49" s="617">
        <f>R49</f>
        <v>2646</v>
      </c>
      <c r="F49" s="619"/>
      <c r="G49" s="620">
        <f>T49</f>
        <v>2590</v>
      </c>
      <c r="H49" s="618"/>
      <c r="I49" s="617">
        <f>V49</f>
        <v>3017</v>
      </c>
      <c r="J49" s="618"/>
      <c r="K49" s="1337"/>
      <c r="L49" s="2130"/>
      <c r="M49" s="2118"/>
      <c r="N49" s="2118"/>
      <c r="O49" s="2131"/>
      <c r="P49" s="3376" t="str">
        <f>A49</f>
        <v>比较价格（元/平方米）</v>
      </c>
      <c r="Q49" s="3376"/>
      <c r="R49" s="3400">
        <f>ROUND(PRODUCT(R48,AA9:AA47),0)</f>
        <v>2646</v>
      </c>
      <c r="S49" s="3400"/>
      <c r="T49" s="3400">
        <f>ROUND(PRODUCT(T48,AB9:AB47),0)</f>
        <v>2590</v>
      </c>
      <c r="U49" s="3400"/>
      <c r="V49" s="3400">
        <f>ROUND(PRODUCT(V48,AC9:AC47),0)</f>
        <v>3017</v>
      </c>
      <c r="W49" s="3400"/>
      <c r="X49" s="1546"/>
      <c r="Y49" s="1546"/>
      <c r="Z49" s="1546"/>
      <c r="AA49" s="1546"/>
      <c r="AB49" s="1546"/>
      <c r="AC49" s="1546"/>
    </row>
    <row r="50" spans="1:29" ht="21" thickBot="1">
      <c r="A50" s="621" t="s">
        <v>2937</v>
      </c>
      <c r="B50" s="622"/>
      <c r="C50" s="623">
        <f>R50</f>
        <v>2751</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2751</v>
      </c>
      <c r="S50" s="3399"/>
      <c r="T50" s="3399"/>
      <c r="U50" s="3399"/>
      <c r="V50" s="3399"/>
      <c r="W50" s="3399"/>
      <c r="X50" s="1546"/>
      <c r="Y50" s="1546"/>
      <c r="Z50" s="1546"/>
      <c r="AA50" s="1546"/>
      <c r="AB50" s="1546"/>
      <c r="AC50" s="1546"/>
    </row>
    <row r="51" spans="1:29" ht="20.25">
      <c r="A51" s="2131"/>
      <c r="B51" s="2131"/>
      <c r="C51" s="2131"/>
      <c r="D51" s="2131"/>
      <c r="E51" s="2131">
        <f>C49/F51</f>
        <v>0.83565628838191719</v>
      </c>
      <c r="F51" s="2131">
        <f>(E48+G48+I48)/3</f>
        <v>3292.0233333333331</v>
      </c>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0.22381330309901748</v>
      </c>
      <c r="F53" s="627" t="str">
        <f>IF(OR(E53&gt;=0.3,E53&lt;=-0.3),"超过30%","")</f>
        <v/>
      </c>
      <c r="G53" s="626">
        <f>IF(G48&lt;G49,G49/G48-1,G48/G49-1)</f>
        <v>0.16455212355212367</v>
      </c>
      <c r="H53" s="627" t="str">
        <f>IF(OR(G53&gt;=0.3,G53&lt;=-0.3),"超过30%","")</f>
        <v/>
      </c>
      <c r="I53" s="626">
        <f>IF(I48&lt;I49,I49/I48-1,I48/I49-1)</f>
        <v>0.2004209479615513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2.1621621621621623E-2</v>
      </c>
      <c r="F54" s="627" t="str">
        <f>IF(OR(E54&gt;=0.2,E54&lt;=-0.2),"超过20%","")</f>
        <v/>
      </c>
      <c r="G54" s="626">
        <f>IF(G49&lt;I49,I49/G49-1,G49/I49-1)</f>
        <v>0.16486486486486496</v>
      </c>
      <c r="H54" s="627" t="str">
        <f>IF(OR(G54&gt;=0.2,G54&lt;=-0.2),"超过20%","")</f>
        <v/>
      </c>
      <c r="I54" s="626">
        <f>IF(I49&lt;E49,E49/I49-1,I49/E49-1)</f>
        <v>0.14021164021164023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7.3609421157155186E-2</v>
      </c>
      <c r="F55" s="627" t="str">
        <f>IF(OR(E55&gt;=0.3,E55&lt;=-0.3),"超过30%","")</f>
        <v/>
      </c>
      <c r="G55" s="626">
        <f>IF(G48&lt;I48,I48/G48-1,G48/I48-1)</f>
        <v>0.20074332187295885</v>
      </c>
      <c r="H55" s="627" t="str">
        <f>IF(OR(G55&gt;=0.3,G55&lt;=-0.3),"超过30%","")</f>
        <v/>
      </c>
      <c r="I55" s="626">
        <f>IF(I48&lt;E48,E48/I48-1,I48/E48-1)</f>
        <v>0.1184172737407394</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0" t="s">
        <v>2281</v>
      </c>
      <c r="H57" s="3361"/>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2751</v>
      </c>
      <c r="C58" s="635">
        <v>1</v>
      </c>
      <c r="D58" s="2214">
        <v>1</v>
      </c>
      <c r="E58" s="635">
        <f>'数据-汇总表'!E8+'数据-汇总表'!E9</f>
        <v>28000</v>
      </c>
      <c r="F58" s="636">
        <f t="shared" ref="F58:F67" si="14">ROUND(B58*E58/10000,0)</f>
        <v>7703</v>
      </c>
      <c r="G58" s="3362"/>
      <c r="H58" s="336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5">IF($C$57="北京市系数",I59,J59)</f>
        <v>0</v>
      </c>
      <c r="D59" s="2215">
        <v>0.25</v>
      </c>
      <c r="E59" s="639">
        <v>0</v>
      </c>
      <c r="F59" s="636">
        <f t="shared" si="14"/>
        <v>0</v>
      </c>
      <c r="G59" s="336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6">ROUND($C$50*C60*D60,0)</f>
        <v>0</v>
      </c>
      <c r="C60" s="378">
        <f t="shared" si="15"/>
        <v>0</v>
      </c>
      <c r="D60" s="2215">
        <v>0.25</v>
      </c>
      <c r="E60" s="639">
        <v>0</v>
      </c>
      <c r="F60" s="636">
        <f t="shared" si="14"/>
        <v>0</v>
      </c>
      <c r="G60" s="336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6"/>
        <v>0</v>
      </c>
      <c r="C61" s="378">
        <f t="shared" si="15"/>
        <v>0</v>
      </c>
      <c r="D61" s="2215">
        <v>0.25</v>
      </c>
      <c r="E61" s="639">
        <v>0</v>
      </c>
      <c r="F61" s="636">
        <f t="shared" si="14"/>
        <v>0</v>
      </c>
      <c r="G61" s="336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6"/>
        <v>0</v>
      </c>
      <c r="C62" s="378">
        <f t="shared" si="15"/>
        <v>0</v>
      </c>
      <c r="D62" s="2215">
        <v>0.25</v>
      </c>
      <c r="E62" s="639">
        <v>0</v>
      </c>
      <c r="F62" s="636">
        <f t="shared" si="14"/>
        <v>0</v>
      </c>
      <c r="G62" s="336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6"/>
        <v>0</v>
      </c>
      <c r="C63" s="378">
        <f t="shared" si="15"/>
        <v>0</v>
      </c>
      <c r="D63" s="2215">
        <v>0.25</v>
      </c>
      <c r="E63" s="641">
        <f>'数据-汇总表'!E11</f>
        <v>0</v>
      </c>
      <c r="F63" s="636">
        <f t="shared" si="14"/>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6"/>
        <v>0</v>
      </c>
      <c r="C64" s="378">
        <f t="shared" si="15"/>
        <v>0</v>
      </c>
      <c r="D64" s="2215">
        <v>0.25</v>
      </c>
      <c r="E64" s="641">
        <f>'数据-汇总表'!E12</f>
        <v>0</v>
      </c>
      <c r="F64" s="636">
        <f t="shared" si="14"/>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6"/>
        <v>0</v>
      </c>
      <c r="C65" s="378">
        <f t="shared" si="15"/>
        <v>0</v>
      </c>
      <c r="D65" s="2215">
        <v>0.25</v>
      </c>
      <c r="E65" s="641">
        <f>'数据-汇总表'!E13</f>
        <v>0</v>
      </c>
      <c r="F65" s="636">
        <f t="shared" si="14"/>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6"/>
        <v>0</v>
      </c>
      <c r="C66" s="378">
        <f t="shared" si="15"/>
        <v>0</v>
      </c>
      <c r="D66" s="2215">
        <v>0.25</v>
      </c>
      <c r="E66" s="641">
        <f>'数据-汇总表'!E14</f>
        <v>0</v>
      </c>
      <c r="F66" s="636">
        <f t="shared" si="14"/>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6"/>
        <v>0</v>
      </c>
      <c r="C67" s="378">
        <f t="shared" si="15"/>
        <v>0</v>
      </c>
      <c r="D67" s="2215">
        <v>0.25</v>
      </c>
      <c r="E67" s="641">
        <f>'数据-汇总表'!E15</f>
        <v>0</v>
      </c>
      <c r="F67" s="636">
        <f t="shared" si="14"/>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28000</v>
      </c>
      <c r="F68" s="644">
        <f>IF(B48="楼面地价",SUM(F58:F67),ROUND(C50*E68/10000,0))</f>
        <v>7703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7">EDATE(D70,-3)</f>
        <v>43497</v>
      </c>
      <c r="F70" s="2755">
        <f t="shared" si="17"/>
        <v>43405</v>
      </c>
      <c r="G70" s="2755">
        <f t="shared" si="17"/>
        <v>43313</v>
      </c>
      <c r="H70" s="2755">
        <f t="shared" si="17"/>
        <v>43221</v>
      </c>
      <c r="I70" s="2755">
        <f t="shared" si="17"/>
        <v>43132</v>
      </c>
      <c r="J70" s="2755">
        <f t="shared" si="17"/>
        <v>43040</v>
      </c>
      <c r="K70" s="2755">
        <f t="shared" si="17"/>
        <v>42948</v>
      </c>
      <c r="L70" s="2755">
        <f t="shared" si="17"/>
        <v>42856</v>
      </c>
      <c r="M70" s="2755">
        <f t="shared" si="17"/>
        <v>42767</v>
      </c>
      <c r="N70" s="2755">
        <f t="shared" si="17"/>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8">YEAR(E70)&amp;"-"&amp;ROUNDUP(MONTH(E70)/3,0)</f>
        <v>2019-1</v>
      </c>
      <c r="F72" s="2757" t="str">
        <f t="shared" si="18"/>
        <v>2018-4</v>
      </c>
      <c r="G72" s="2757" t="str">
        <f t="shared" si="18"/>
        <v>2018-3</v>
      </c>
      <c r="H72" s="2757" t="str">
        <f t="shared" si="18"/>
        <v>2018-2</v>
      </c>
      <c r="I72" s="2757" t="str">
        <f t="shared" si="18"/>
        <v>2018-1</v>
      </c>
      <c r="J72" s="2757" t="str">
        <f t="shared" si="18"/>
        <v>2017-4</v>
      </c>
      <c r="K72" s="2757" t="str">
        <f t="shared" si="18"/>
        <v>2017-3</v>
      </c>
      <c r="L72" s="2757" t="str">
        <f t="shared" si="18"/>
        <v>2017-2</v>
      </c>
      <c r="M72" s="2757" t="str">
        <f t="shared" si="18"/>
        <v>2017-1</v>
      </c>
      <c r="N72" s="2757" t="str">
        <f t="shared" si="18"/>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93">
        <f>C73-$C$74</f>
        <v>99</v>
      </c>
      <c r="E73" s="3193">
        <f t="shared" ref="E73:N73" si="19">D73-$C$74</f>
        <v>98</v>
      </c>
      <c r="F73" s="3193">
        <f t="shared" si="19"/>
        <v>97</v>
      </c>
      <c r="G73" s="3193">
        <f t="shared" si="19"/>
        <v>96</v>
      </c>
      <c r="H73" s="3193">
        <f t="shared" si="19"/>
        <v>95</v>
      </c>
      <c r="I73" s="3193">
        <f t="shared" si="19"/>
        <v>94</v>
      </c>
      <c r="J73" s="3193">
        <f t="shared" si="19"/>
        <v>93</v>
      </c>
      <c r="K73" s="3193">
        <f t="shared" si="19"/>
        <v>92</v>
      </c>
      <c r="L73" s="3193">
        <f t="shared" si="19"/>
        <v>91</v>
      </c>
      <c r="M73" s="3193">
        <f t="shared" si="19"/>
        <v>90</v>
      </c>
      <c r="N73" s="3193">
        <f t="shared" si="19"/>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v>1</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6317</v>
      </c>
      <c r="C2" s="2090"/>
      <c r="D2" s="2090"/>
      <c r="E2" s="2090"/>
      <c r="F2" s="2090"/>
      <c r="G2" s="2090"/>
      <c r="H2" s="2090"/>
      <c r="I2" s="2090"/>
      <c r="J2" s="2090"/>
      <c r="K2" s="2090"/>
    </row>
    <row r="3" spans="1:31" s="2027" customFormat="1" ht="18" customHeight="1">
      <c r="A3" s="2092" t="s">
        <v>1684</v>
      </c>
      <c r="B3" s="2093">
        <f ca="1">ROUND(B2*10000/IF(B1="",'数据-汇总表'!E3,INDIRECT("'数据-取费表'!K"&amp;$K$1)),0)</f>
        <v>2256</v>
      </c>
      <c r="C3" s="2090"/>
      <c r="D3" s="2090"/>
      <c r="E3" s="2090"/>
      <c r="F3" s="2090"/>
      <c r="G3" s="2090"/>
      <c r="H3" s="2090"/>
      <c r="I3" s="2090"/>
      <c r="J3" s="2090"/>
      <c r="K3" s="2090"/>
    </row>
    <row r="4" spans="1:31" s="2027" customFormat="1" ht="18" customHeight="1">
      <c r="A4" s="426" t="s">
        <v>468</v>
      </c>
      <c r="B4" s="427">
        <f ca="1">ROUND(B2*10000/IF(B1="",'数据-汇总表'!D3,INDIRECT("'数据-取费表'!R"&amp;$K$1)),0)</f>
        <v>3159</v>
      </c>
      <c r="C4" s="428"/>
      <c r="D4" s="422"/>
      <c r="E4" s="422"/>
      <c r="F4" s="422"/>
      <c r="G4" s="422"/>
      <c r="H4" s="422"/>
      <c r="I4" s="422"/>
      <c r="J4" s="422"/>
      <c r="K4" s="422"/>
    </row>
    <row r="5" spans="1:31" s="2027" customFormat="1" ht="18" customHeight="1" thickBot="1">
      <c r="A5" s="429"/>
      <c r="B5" s="430">
        <f ca="1">ROUND(B2/(IF(B1="",'数据-汇总表'!D3,INDIRECT("'数据-取费表'!R"&amp;$K$1))/666.67),0)</f>
        <v>211</v>
      </c>
      <c r="C5" s="431" t="s">
        <v>469</v>
      </c>
      <c r="D5" s="422"/>
      <c r="E5" s="422"/>
      <c r="F5" s="422"/>
      <c r="G5" s="422"/>
      <c r="H5" s="422"/>
      <c r="I5" s="422"/>
      <c r="J5" s="422"/>
      <c r="K5" s="422"/>
    </row>
    <row r="6" spans="1:31" s="2097" customFormat="1" ht="16.5" customHeight="1">
      <c r="A6" s="2784" t="s">
        <v>1842</v>
      </c>
      <c r="B6" s="2785"/>
      <c r="C6" s="2786">
        <f>SUM(C10:K10)</f>
        <v>16800</v>
      </c>
      <c r="D6" s="2785"/>
      <c r="E6" s="2785"/>
      <c r="F6" s="2785"/>
      <c r="G6" s="2785"/>
      <c r="H6" s="2785"/>
      <c r="I6" s="2785"/>
      <c r="J6" s="2785"/>
      <c r="K6" s="2787"/>
    </row>
    <row r="7" spans="1:31" s="2099" customFormat="1" ht="15">
      <c r="A7" s="2788" t="s">
        <v>470</v>
      </c>
      <c r="B7" s="2789"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8000*0.75</f>
        <v>6000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28000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16800</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5040</v>
      </c>
      <c r="D13" s="2800"/>
      <c r="E13" s="2801"/>
      <c r="F13" s="2802"/>
      <c r="G13" s="2768"/>
      <c r="H13" s="2769"/>
      <c r="I13" s="2769"/>
      <c r="J13" s="2769"/>
      <c r="K13" s="2770"/>
    </row>
    <row r="14" spans="1:31" s="2102" customFormat="1" ht="13.5" customHeight="1">
      <c r="A14" s="2798" t="s">
        <v>1849</v>
      </c>
      <c r="B14" s="2799" t="s">
        <v>480</v>
      </c>
      <c r="C14" s="53">
        <f ca="1">ROUND(C13*F14,0)</f>
        <v>151</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252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560</v>
      </c>
      <c r="D16" s="2800">
        <f ca="1">IF(B1="",'数据-汇总表'!E3,INDIRECT("'数据-取费表'!K"&amp;$K$1)+INDIRECT("'数据-取费表'!S"&amp;$K$1))</f>
        <v>28000</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76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6079</v>
      </c>
      <c r="D18" s="2809"/>
      <c r="E18" s="468"/>
      <c r="F18" s="468"/>
      <c r="G18" s="2772" t="s">
        <v>2430</v>
      </c>
      <c r="H18" s="2773"/>
      <c r="I18" s="2773"/>
      <c r="J18" s="2773"/>
      <c r="K18" s="2774"/>
    </row>
    <row r="19" spans="1:14" s="2102" customFormat="1" ht="13.5" customHeight="1">
      <c r="A19" s="2806" t="s">
        <v>1854</v>
      </c>
      <c r="B19" s="2807" t="s">
        <v>488</v>
      </c>
      <c r="C19" s="2764">
        <f ca="1">ROUND(D19*E19/10000,0)</f>
        <v>196</v>
      </c>
      <c r="D19" s="2810">
        <f ca="1">D16</f>
        <v>28000</v>
      </c>
      <c r="E19" s="2764">
        <f>'数据-取费表'!B32</f>
        <v>70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210</v>
      </c>
      <c r="D20" s="2810"/>
      <c r="E20" s="2764"/>
      <c r="F20" s="2811"/>
      <c r="G20" s="3041"/>
      <c r="H20" s="2766"/>
      <c r="I20" s="2767" t="s">
        <v>2651</v>
      </c>
      <c r="J20" s="2773"/>
      <c r="K20" s="2774"/>
    </row>
    <row r="21" spans="1:14" s="2102" customFormat="1" ht="13.5" customHeight="1">
      <c r="A21" s="2798" t="s">
        <v>1856</v>
      </c>
      <c r="B21" s="2799" t="s">
        <v>491</v>
      </c>
      <c r="C21" s="53">
        <f ca="1">ROUND(D21*E21/10000,0)</f>
        <v>210</v>
      </c>
      <c r="D21" s="2800">
        <f ca="1">IF(B1="",'数据-汇总表'!E5,IF(INDIRECT("'数据-取费表'!c"&amp;$K$1)="住宅",INDIRECT("'数据-取费表'!k"&amp;$K$1),0))</f>
        <v>28000</v>
      </c>
      <c r="E21" s="53">
        <f>'数据-取费表'!B27</f>
        <v>75</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2834</v>
      </c>
      <c r="C23" s="2808">
        <f ca="1">ROUND((C18+C19+C20)*F23,0)</f>
        <v>130</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ROUND(C6*F24,0)</f>
        <v>336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151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151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896</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7998</v>
      </c>
      <c r="D30" s="477">
        <f ca="1">C32</f>
        <v>7.3800000000000004E-2</v>
      </c>
      <c r="E30" s="469" t="s">
        <v>495</v>
      </c>
      <c r="F30" s="471"/>
      <c r="G30" s="2776" t="s">
        <v>2973</v>
      </c>
      <c r="H30" s="2769"/>
      <c r="I30" s="2769"/>
      <c r="J30" s="2769"/>
      <c r="K30" s="2770"/>
    </row>
    <row r="31" spans="1:14" s="2106" customFormat="1" ht="13.5" customHeight="1">
      <c r="A31" s="803" t="s">
        <v>1856</v>
      </c>
      <c r="B31" s="2814"/>
      <c r="C31" s="450">
        <f ca="1">C18+C19+C20+C23+C24+C26+C29</f>
        <v>7998</v>
      </c>
      <c r="D31" s="472"/>
      <c r="E31" s="473"/>
      <c r="F31" s="474"/>
      <c r="G31" s="261"/>
      <c r="H31" s="2771"/>
      <c r="I31" s="2771"/>
      <c r="J31" s="2771"/>
      <c r="K31" s="279"/>
    </row>
    <row r="32" spans="1:14" s="2106" customFormat="1" ht="13.5" customHeight="1">
      <c r="A32" s="803" t="s">
        <v>1857</v>
      </c>
      <c r="B32" s="2814"/>
      <c r="C32" s="53">
        <f ca="1">ROUND(C25+D26,4)</f>
        <v>7.3800000000000004E-2</v>
      </c>
      <c r="D32" s="472"/>
      <c r="E32" s="473"/>
      <c r="F32" s="474"/>
      <c r="G32" s="261"/>
      <c r="H32" s="2771"/>
      <c r="I32" s="2771"/>
      <c r="J32" s="2771"/>
      <c r="K32" s="279"/>
    </row>
    <row r="33" spans="1:11" s="2108" customFormat="1" ht="13.5" customHeight="1">
      <c r="A33" s="2987" t="s">
        <v>2833</v>
      </c>
      <c r="B33" s="2985" t="s">
        <v>2831</v>
      </c>
      <c r="C33" s="478">
        <f ca="1">C35</f>
        <v>1043</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1043</v>
      </c>
      <c r="D35" s="1615"/>
      <c r="E35" s="2820"/>
      <c r="F35" s="1616"/>
      <c r="G35" s="2778"/>
      <c r="H35" s="2779"/>
      <c r="I35" s="2779"/>
      <c r="J35" s="2779"/>
      <c r="K35" s="2780"/>
    </row>
    <row r="36" spans="1:11" s="2071" customFormat="1" ht="13.5" customHeight="1" thickBot="1">
      <c r="A36" s="284" t="s">
        <v>1844</v>
      </c>
      <c r="B36" s="2782"/>
      <c r="C36" s="2821">
        <f ca="1">ROUND((C6-C30-C33)/(1+D30+D33),0)</f>
        <v>6317</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5" t="str">
        <f>项目基本情况!B1</f>
        <v>出让国有建设用地使用权预评估</v>
      </c>
      <c r="C37" s="3195"/>
      <c r="D37" s="3195"/>
      <c r="E37" s="3195"/>
      <c r="F37" s="3195"/>
      <c r="G37" s="3195"/>
      <c r="H37" s="3195"/>
      <c r="I37" s="3195"/>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5040</v>
      </c>
      <c r="D13" s="451"/>
      <c r="E13" s="365"/>
      <c r="F13" s="452"/>
      <c r="G13" s="444"/>
      <c r="H13" s="447"/>
      <c r="I13" s="447"/>
      <c r="J13" s="447"/>
      <c r="K13" s="448"/>
    </row>
    <row r="14" spans="1:41" s="2102" customFormat="1" ht="13.5" customHeight="1">
      <c r="A14" s="1619" t="s">
        <v>1849</v>
      </c>
      <c r="B14" s="449" t="s">
        <v>480</v>
      </c>
      <c r="C14" s="53">
        <f ca="1">ROUND(C13*F14,0)</f>
        <v>151</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252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560</v>
      </c>
      <c r="D16" s="451">
        <f ca="1">IF(B1="",'数据-汇总表'!E3,INDIRECT("'数据-取费表'!K"&amp;$K$1)+INDIRECT("'数据-取费表'!S"&amp;$K$1))</f>
        <v>28000</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76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6079</v>
      </c>
      <c r="D18" s="461"/>
      <c r="E18" s="462"/>
      <c r="F18" s="462"/>
      <c r="G18" s="1323" t="s">
        <v>2432</v>
      </c>
      <c r="H18" s="447"/>
      <c r="I18" s="447"/>
      <c r="J18" s="447"/>
      <c r="K18" s="448"/>
    </row>
    <row r="19" spans="1:14" s="2105" customFormat="1" ht="13.5" customHeight="1">
      <c r="A19" s="1620" t="s">
        <v>1854</v>
      </c>
      <c r="B19" s="459" t="s">
        <v>493</v>
      </c>
      <c r="C19" s="460">
        <f ca="1">ROUND(C18*F19,0)</f>
        <v>122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135</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135</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2832</v>
      </c>
      <c r="C24" s="478">
        <f ca="1">C25</f>
        <v>930</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930</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7870</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8"/>
  <sheetViews>
    <sheetView workbookViewId="0">
      <selection activeCell="G8" sqref="G8"/>
    </sheetView>
  </sheetViews>
  <sheetFormatPr defaultRowHeight="13.5"/>
  <sheetData>
    <row r="2" spans="2:7">
      <c r="B2" s="3185" t="s">
        <v>3000</v>
      </c>
      <c r="C2" s="3185" t="s">
        <v>2999</v>
      </c>
      <c r="D2" s="3185" t="s">
        <v>3001</v>
      </c>
      <c r="E2" s="3185" t="s">
        <v>3002</v>
      </c>
      <c r="F2" s="3185" t="s">
        <v>3084</v>
      </c>
    </row>
    <row r="3" spans="2:7">
      <c r="B3">
        <v>668</v>
      </c>
      <c r="C3">
        <v>1336</v>
      </c>
      <c r="D3">
        <v>1.4</v>
      </c>
      <c r="E3" s="3186">
        <v>0.26</v>
      </c>
      <c r="F3">
        <f ca="1">结果表!G19</f>
        <v>7010</v>
      </c>
      <c r="G3">
        <f ca="1">F3/C3-1</f>
        <v>4.2470059880239521</v>
      </c>
    </row>
    <row r="4" spans="2:7">
      <c r="B4">
        <f ca="1">结果表!G21</f>
        <v>3506</v>
      </c>
    </row>
    <row r="8" spans="2:7">
      <c r="F8">
        <f>10000/60000*10000</f>
        <v>1666.6666666666665</v>
      </c>
      <c r="G8">
        <f>F8*3.5</f>
        <v>5833.333333333333</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D1" workbookViewId="0">
      <selection activeCell="L6" sqref="L6"/>
    </sheetView>
  </sheetViews>
  <sheetFormatPr defaultRowHeight="13.5"/>
  <cols>
    <col min="1" max="1" width="34.375" style="3187" customWidth="1"/>
    <col min="2" max="2" width="6.25" style="3187" customWidth="1"/>
    <col min="3" max="5" width="13.875" style="3187" customWidth="1"/>
    <col min="6" max="6" width="17.875" style="3187" customWidth="1"/>
    <col min="7" max="7" width="10.5" style="3187" customWidth="1"/>
    <col min="8" max="8" width="7.875" style="3187" customWidth="1"/>
    <col min="9" max="9" width="9" style="3187" customWidth="1"/>
    <col min="10" max="11" width="10.625" style="3187" customWidth="1"/>
    <col min="12" max="12" width="14.375" style="3187" customWidth="1"/>
    <col min="13" max="14" width="10" style="3187" customWidth="1"/>
    <col min="15" max="15" width="6.25" style="3187" customWidth="1"/>
    <col min="16" max="16" width="31" style="3187" customWidth="1"/>
    <col min="17" max="17" width="7.875" style="3187" customWidth="1"/>
    <col min="18" max="259" width="9" style="3187"/>
    <col min="260" max="260" width="34.375" style="3187" customWidth="1"/>
    <col min="261" max="261" width="6.25" style="3187" customWidth="1"/>
    <col min="262" max="264" width="13.875" style="3187" customWidth="1"/>
    <col min="265" max="265" width="17.875" style="3187" customWidth="1"/>
    <col min="266" max="266" width="7.875" style="3187" customWidth="1"/>
    <col min="267" max="267" width="9" style="3187" customWidth="1"/>
    <col min="268" max="269" width="10.625" style="3187" customWidth="1"/>
    <col min="270" max="270" width="14.375" style="3187" customWidth="1"/>
    <col min="271" max="271" width="6.25" style="3187" customWidth="1"/>
    <col min="272" max="272" width="31" style="3187" customWidth="1"/>
    <col min="273" max="273" width="7.875" style="3187" customWidth="1"/>
    <col min="274" max="515" width="9" style="3187"/>
    <col min="516" max="516" width="34.375" style="3187" customWidth="1"/>
    <col min="517" max="517" width="6.25" style="3187" customWidth="1"/>
    <col min="518" max="520" width="13.875" style="3187" customWidth="1"/>
    <col min="521" max="521" width="17.875" style="3187" customWidth="1"/>
    <col min="522" max="522" width="7.875" style="3187" customWidth="1"/>
    <col min="523" max="523" width="9" style="3187" customWidth="1"/>
    <col min="524" max="525" width="10.625" style="3187" customWidth="1"/>
    <col min="526" max="526" width="14.375" style="3187" customWidth="1"/>
    <col min="527" max="527" width="6.25" style="3187" customWidth="1"/>
    <col min="528" max="528" width="31" style="3187" customWidth="1"/>
    <col min="529" max="529" width="7.875" style="3187" customWidth="1"/>
    <col min="530" max="771" width="9" style="3187"/>
    <col min="772" max="772" width="34.375" style="3187" customWidth="1"/>
    <col min="773" max="773" width="6.25" style="3187" customWidth="1"/>
    <col min="774" max="776" width="13.875" style="3187" customWidth="1"/>
    <col min="777" max="777" width="17.875" style="3187" customWidth="1"/>
    <col min="778" max="778" width="7.875" style="3187" customWidth="1"/>
    <col min="779" max="779" width="9" style="3187" customWidth="1"/>
    <col min="780" max="781" width="10.625" style="3187" customWidth="1"/>
    <col min="782" max="782" width="14.375" style="3187" customWidth="1"/>
    <col min="783" max="783" width="6.25" style="3187" customWidth="1"/>
    <col min="784" max="784" width="31" style="3187" customWidth="1"/>
    <col min="785" max="785" width="7.875" style="3187" customWidth="1"/>
    <col min="786" max="1027" width="9" style="3187"/>
    <col min="1028" max="1028" width="34.375" style="3187" customWidth="1"/>
    <col min="1029" max="1029" width="6.25" style="3187" customWidth="1"/>
    <col min="1030" max="1032" width="13.875" style="3187" customWidth="1"/>
    <col min="1033" max="1033" width="17.875" style="3187" customWidth="1"/>
    <col min="1034" max="1034" width="7.875" style="3187" customWidth="1"/>
    <col min="1035" max="1035" width="9" style="3187" customWidth="1"/>
    <col min="1036" max="1037" width="10.625" style="3187" customWidth="1"/>
    <col min="1038" max="1038" width="14.375" style="3187" customWidth="1"/>
    <col min="1039" max="1039" width="6.25" style="3187" customWidth="1"/>
    <col min="1040" max="1040" width="31" style="3187" customWidth="1"/>
    <col min="1041" max="1041" width="7.875" style="3187" customWidth="1"/>
    <col min="1042" max="1283" width="9" style="3187"/>
    <col min="1284" max="1284" width="34.375" style="3187" customWidth="1"/>
    <col min="1285" max="1285" width="6.25" style="3187" customWidth="1"/>
    <col min="1286" max="1288" width="13.875" style="3187" customWidth="1"/>
    <col min="1289" max="1289" width="17.875" style="3187" customWidth="1"/>
    <col min="1290" max="1290" width="7.875" style="3187" customWidth="1"/>
    <col min="1291" max="1291" width="9" style="3187" customWidth="1"/>
    <col min="1292" max="1293" width="10.625" style="3187" customWidth="1"/>
    <col min="1294" max="1294" width="14.375" style="3187" customWidth="1"/>
    <col min="1295" max="1295" width="6.25" style="3187" customWidth="1"/>
    <col min="1296" max="1296" width="31" style="3187" customWidth="1"/>
    <col min="1297" max="1297" width="7.875" style="3187" customWidth="1"/>
    <col min="1298" max="1539" width="9" style="3187"/>
    <col min="1540" max="1540" width="34.375" style="3187" customWidth="1"/>
    <col min="1541" max="1541" width="6.25" style="3187" customWidth="1"/>
    <col min="1542" max="1544" width="13.875" style="3187" customWidth="1"/>
    <col min="1545" max="1545" width="17.875" style="3187" customWidth="1"/>
    <col min="1546" max="1546" width="7.875" style="3187" customWidth="1"/>
    <col min="1547" max="1547" width="9" style="3187" customWidth="1"/>
    <col min="1548" max="1549" width="10.625" style="3187" customWidth="1"/>
    <col min="1550" max="1550" width="14.375" style="3187" customWidth="1"/>
    <col min="1551" max="1551" width="6.25" style="3187" customWidth="1"/>
    <col min="1552" max="1552" width="31" style="3187" customWidth="1"/>
    <col min="1553" max="1553" width="7.875" style="3187" customWidth="1"/>
    <col min="1554" max="1795" width="9" style="3187"/>
    <col min="1796" max="1796" width="34.375" style="3187" customWidth="1"/>
    <col min="1797" max="1797" width="6.25" style="3187" customWidth="1"/>
    <col min="1798" max="1800" width="13.875" style="3187" customWidth="1"/>
    <col min="1801" max="1801" width="17.875" style="3187" customWidth="1"/>
    <col min="1802" max="1802" width="7.875" style="3187" customWidth="1"/>
    <col min="1803" max="1803" width="9" style="3187" customWidth="1"/>
    <col min="1804" max="1805" width="10.625" style="3187" customWidth="1"/>
    <col min="1806" max="1806" width="14.375" style="3187" customWidth="1"/>
    <col min="1807" max="1807" width="6.25" style="3187" customWidth="1"/>
    <col min="1808" max="1808" width="31" style="3187" customWidth="1"/>
    <col min="1809" max="1809" width="7.875" style="3187" customWidth="1"/>
    <col min="1810" max="2051" width="9" style="3187"/>
    <col min="2052" max="2052" width="34.375" style="3187" customWidth="1"/>
    <col min="2053" max="2053" width="6.25" style="3187" customWidth="1"/>
    <col min="2054" max="2056" width="13.875" style="3187" customWidth="1"/>
    <col min="2057" max="2057" width="17.875" style="3187" customWidth="1"/>
    <col min="2058" max="2058" width="7.875" style="3187" customWidth="1"/>
    <col min="2059" max="2059" width="9" style="3187" customWidth="1"/>
    <col min="2060" max="2061" width="10.625" style="3187" customWidth="1"/>
    <col min="2062" max="2062" width="14.375" style="3187" customWidth="1"/>
    <col min="2063" max="2063" width="6.25" style="3187" customWidth="1"/>
    <col min="2064" max="2064" width="31" style="3187" customWidth="1"/>
    <col min="2065" max="2065" width="7.875" style="3187" customWidth="1"/>
    <col min="2066" max="2307" width="9" style="3187"/>
    <col min="2308" max="2308" width="34.375" style="3187" customWidth="1"/>
    <col min="2309" max="2309" width="6.25" style="3187" customWidth="1"/>
    <col min="2310" max="2312" width="13.875" style="3187" customWidth="1"/>
    <col min="2313" max="2313" width="17.875" style="3187" customWidth="1"/>
    <col min="2314" max="2314" width="7.875" style="3187" customWidth="1"/>
    <col min="2315" max="2315" width="9" style="3187" customWidth="1"/>
    <col min="2316" max="2317" width="10.625" style="3187" customWidth="1"/>
    <col min="2318" max="2318" width="14.375" style="3187" customWidth="1"/>
    <col min="2319" max="2319" width="6.25" style="3187" customWidth="1"/>
    <col min="2320" max="2320" width="31" style="3187" customWidth="1"/>
    <col min="2321" max="2321" width="7.875" style="3187" customWidth="1"/>
    <col min="2322" max="2563" width="9" style="3187"/>
    <col min="2564" max="2564" width="34.375" style="3187" customWidth="1"/>
    <col min="2565" max="2565" width="6.25" style="3187" customWidth="1"/>
    <col min="2566" max="2568" width="13.875" style="3187" customWidth="1"/>
    <col min="2569" max="2569" width="17.875" style="3187" customWidth="1"/>
    <col min="2570" max="2570" width="7.875" style="3187" customWidth="1"/>
    <col min="2571" max="2571" width="9" style="3187" customWidth="1"/>
    <col min="2572" max="2573" width="10.625" style="3187" customWidth="1"/>
    <col min="2574" max="2574" width="14.375" style="3187" customWidth="1"/>
    <col min="2575" max="2575" width="6.25" style="3187" customWidth="1"/>
    <col min="2576" max="2576" width="31" style="3187" customWidth="1"/>
    <col min="2577" max="2577" width="7.875" style="3187" customWidth="1"/>
    <col min="2578" max="2819" width="9" style="3187"/>
    <col min="2820" max="2820" width="34.375" style="3187" customWidth="1"/>
    <col min="2821" max="2821" width="6.25" style="3187" customWidth="1"/>
    <col min="2822" max="2824" width="13.875" style="3187" customWidth="1"/>
    <col min="2825" max="2825" width="17.875" style="3187" customWidth="1"/>
    <col min="2826" max="2826" width="7.875" style="3187" customWidth="1"/>
    <col min="2827" max="2827" width="9" style="3187" customWidth="1"/>
    <col min="2828" max="2829" width="10.625" style="3187" customWidth="1"/>
    <col min="2830" max="2830" width="14.375" style="3187" customWidth="1"/>
    <col min="2831" max="2831" width="6.25" style="3187" customWidth="1"/>
    <col min="2832" max="2832" width="31" style="3187" customWidth="1"/>
    <col min="2833" max="2833" width="7.875" style="3187" customWidth="1"/>
    <col min="2834" max="3075" width="9" style="3187"/>
    <col min="3076" max="3076" width="34.375" style="3187" customWidth="1"/>
    <col min="3077" max="3077" width="6.25" style="3187" customWidth="1"/>
    <col min="3078" max="3080" width="13.875" style="3187" customWidth="1"/>
    <col min="3081" max="3081" width="17.875" style="3187" customWidth="1"/>
    <col min="3082" max="3082" width="7.875" style="3187" customWidth="1"/>
    <col min="3083" max="3083" width="9" style="3187" customWidth="1"/>
    <col min="3084" max="3085" width="10.625" style="3187" customWidth="1"/>
    <col min="3086" max="3086" width="14.375" style="3187" customWidth="1"/>
    <col min="3087" max="3087" width="6.25" style="3187" customWidth="1"/>
    <col min="3088" max="3088" width="31" style="3187" customWidth="1"/>
    <col min="3089" max="3089" width="7.875" style="3187" customWidth="1"/>
    <col min="3090" max="3331" width="9" style="3187"/>
    <col min="3332" max="3332" width="34.375" style="3187" customWidth="1"/>
    <col min="3333" max="3333" width="6.25" style="3187" customWidth="1"/>
    <col min="3334" max="3336" width="13.875" style="3187" customWidth="1"/>
    <col min="3337" max="3337" width="17.875" style="3187" customWidth="1"/>
    <col min="3338" max="3338" width="7.875" style="3187" customWidth="1"/>
    <col min="3339" max="3339" width="9" style="3187" customWidth="1"/>
    <col min="3340" max="3341" width="10.625" style="3187" customWidth="1"/>
    <col min="3342" max="3342" width="14.375" style="3187" customWidth="1"/>
    <col min="3343" max="3343" width="6.25" style="3187" customWidth="1"/>
    <col min="3344" max="3344" width="31" style="3187" customWidth="1"/>
    <col min="3345" max="3345" width="7.875" style="3187" customWidth="1"/>
    <col min="3346" max="3587" width="9" style="3187"/>
    <col min="3588" max="3588" width="34.375" style="3187" customWidth="1"/>
    <col min="3589" max="3589" width="6.25" style="3187" customWidth="1"/>
    <col min="3590" max="3592" width="13.875" style="3187" customWidth="1"/>
    <col min="3593" max="3593" width="17.875" style="3187" customWidth="1"/>
    <col min="3594" max="3594" width="7.875" style="3187" customWidth="1"/>
    <col min="3595" max="3595" width="9" style="3187" customWidth="1"/>
    <col min="3596" max="3597" width="10.625" style="3187" customWidth="1"/>
    <col min="3598" max="3598" width="14.375" style="3187" customWidth="1"/>
    <col min="3599" max="3599" width="6.25" style="3187" customWidth="1"/>
    <col min="3600" max="3600" width="31" style="3187" customWidth="1"/>
    <col min="3601" max="3601" width="7.875" style="3187" customWidth="1"/>
    <col min="3602" max="3843" width="9" style="3187"/>
    <col min="3844" max="3844" width="34.375" style="3187" customWidth="1"/>
    <col min="3845" max="3845" width="6.25" style="3187" customWidth="1"/>
    <col min="3846" max="3848" width="13.875" style="3187" customWidth="1"/>
    <col min="3849" max="3849" width="17.875" style="3187" customWidth="1"/>
    <col min="3850" max="3850" width="7.875" style="3187" customWidth="1"/>
    <col min="3851" max="3851" width="9" style="3187" customWidth="1"/>
    <col min="3852" max="3853" width="10.625" style="3187" customWidth="1"/>
    <col min="3854" max="3854" width="14.375" style="3187" customWidth="1"/>
    <col min="3855" max="3855" width="6.25" style="3187" customWidth="1"/>
    <col min="3856" max="3856" width="31" style="3187" customWidth="1"/>
    <col min="3857" max="3857" width="7.875" style="3187" customWidth="1"/>
    <col min="3858" max="4099" width="9" style="3187"/>
    <col min="4100" max="4100" width="34.375" style="3187" customWidth="1"/>
    <col min="4101" max="4101" width="6.25" style="3187" customWidth="1"/>
    <col min="4102" max="4104" width="13.875" style="3187" customWidth="1"/>
    <col min="4105" max="4105" width="17.875" style="3187" customWidth="1"/>
    <col min="4106" max="4106" width="7.875" style="3187" customWidth="1"/>
    <col min="4107" max="4107" width="9" style="3187" customWidth="1"/>
    <col min="4108" max="4109" width="10.625" style="3187" customWidth="1"/>
    <col min="4110" max="4110" width="14.375" style="3187" customWidth="1"/>
    <col min="4111" max="4111" width="6.25" style="3187" customWidth="1"/>
    <col min="4112" max="4112" width="31" style="3187" customWidth="1"/>
    <col min="4113" max="4113" width="7.875" style="3187" customWidth="1"/>
    <col min="4114" max="4355" width="9" style="3187"/>
    <col min="4356" max="4356" width="34.375" style="3187" customWidth="1"/>
    <col min="4357" max="4357" width="6.25" style="3187" customWidth="1"/>
    <col min="4358" max="4360" width="13.875" style="3187" customWidth="1"/>
    <col min="4361" max="4361" width="17.875" style="3187" customWidth="1"/>
    <col min="4362" max="4362" width="7.875" style="3187" customWidth="1"/>
    <col min="4363" max="4363" width="9" style="3187" customWidth="1"/>
    <col min="4364" max="4365" width="10.625" style="3187" customWidth="1"/>
    <col min="4366" max="4366" width="14.375" style="3187" customWidth="1"/>
    <col min="4367" max="4367" width="6.25" style="3187" customWidth="1"/>
    <col min="4368" max="4368" width="31" style="3187" customWidth="1"/>
    <col min="4369" max="4369" width="7.875" style="3187" customWidth="1"/>
    <col min="4370" max="4611" width="9" style="3187"/>
    <col min="4612" max="4612" width="34.375" style="3187" customWidth="1"/>
    <col min="4613" max="4613" width="6.25" style="3187" customWidth="1"/>
    <col min="4614" max="4616" width="13.875" style="3187" customWidth="1"/>
    <col min="4617" max="4617" width="17.875" style="3187" customWidth="1"/>
    <col min="4618" max="4618" width="7.875" style="3187" customWidth="1"/>
    <col min="4619" max="4619" width="9" style="3187" customWidth="1"/>
    <col min="4620" max="4621" width="10.625" style="3187" customWidth="1"/>
    <col min="4622" max="4622" width="14.375" style="3187" customWidth="1"/>
    <col min="4623" max="4623" width="6.25" style="3187" customWidth="1"/>
    <col min="4624" max="4624" width="31" style="3187" customWidth="1"/>
    <col min="4625" max="4625" width="7.875" style="3187" customWidth="1"/>
    <col min="4626" max="4867" width="9" style="3187"/>
    <col min="4868" max="4868" width="34.375" style="3187" customWidth="1"/>
    <col min="4869" max="4869" width="6.25" style="3187" customWidth="1"/>
    <col min="4870" max="4872" width="13.875" style="3187" customWidth="1"/>
    <col min="4873" max="4873" width="17.875" style="3187" customWidth="1"/>
    <col min="4874" max="4874" width="7.875" style="3187" customWidth="1"/>
    <col min="4875" max="4875" width="9" style="3187" customWidth="1"/>
    <col min="4876" max="4877" width="10.625" style="3187" customWidth="1"/>
    <col min="4878" max="4878" width="14.375" style="3187" customWidth="1"/>
    <col min="4879" max="4879" width="6.25" style="3187" customWidth="1"/>
    <col min="4880" max="4880" width="31" style="3187" customWidth="1"/>
    <col min="4881" max="4881" width="7.875" style="3187" customWidth="1"/>
    <col min="4882" max="5123" width="9" style="3187"/>
    <col min="5124" max="5124" width="34.375" style="3187" customWidth="1"/>
    <col min="5125" max="5125" width="6.25" style="3187" customWidth="1"/>
    <col min="5126" max="5128" width="13.875" style="3187" customWidth="1"/>
    <col min="5129" max="5129" width="17.875" style="3187" customWidth="1"/>
    <col min="5130" max="5130" width="7.875" style="3187" customWidth="1"/>
    <col min="5131" max="5131" width="9" style="3187" customWidth="1"/>
    <col min="5132" max="5133" width="10.625" style="3187" customWidth="1"/>
    <col min="5134" max="5134" width="14.375" style="3187" customWidth="1"/>
    <col min="5135" max="5135" width="6.25" style="3187" customWidth="1"/>
    <col min="5136" max="5136" width="31" style="3187" customWidth="1"/>
    <col min="5137" max="5137" width="7.875" style="3187" customWidth="1"/>
    <col min="5138" max="5379" width="9" style="3187"/>
    <col min="5380" max="5380" width="34.375" style="3187" customWidth="1"/>
    <col min="5381" max="5381" width="6.25" style="3187" customWidth="1"/>
    <col min="5382" max="5384" width="13.875" style="3187" customWidth="1"/>
    <col min="5385" max="5385" width="17.875" style="3187" customWidth="1"/>
    <col min="5386" max="5386" width="7.875" style="3187" customWidth="1"/>
    <col min="5387" max="5387" width="9" style="3187" customWidth="1"/>
    <col min="5388" max="5389" width="10.625" style="3187" customWidth="1"/>
    <col min="5390" max="5390" width="14.375" style="3187" customWidth="1"/>
    <col min="5391" max="5391" width="6.25" style="3187" customWidth="1"/>
    <col min="5392" max="5392" width="31" style="3187" customWidth="1"/>
    <col min="5393" max="5393" width="7.875" style="3187" customWidth="1"/>
    <col min="5394" max="5635" width="9" style="3187"/>
    <col min="5636" max="5636" width="34.375" style="3187" customWidth="1"/>
    <col min="5637" max="5637" width="6.25" style="3187" customWidth="1"/>
    <col min="5638" max="5640" width="13.875" style="3187" customWidth="1"/>
    <col min="5641" max="5641" width="17.875" style="3187" customWidth="1"/>
    <col min="5642" max="5642" width="7.875" style="3187" customWidth="1"/>
    <col min="5643" max="5643" width="9" style="3187" customWidth="1"/>
    <col min="5644" max="5645" width="10.625" style="3187" customWidth="1"/>
    <col min="5646" max="5646" width="14.375" style="3187" customWidth="1"/>
    <col min="5647" max="5647" width="6.25" style="3187" customWidth="1"/>
    <col min="5648" max="5648" width="31" style="3187" customWidth="1"/>
    <col min="5649" max="5649" width="7.875" style="3187" customWidth="1"/>
    <col min="5650" max="5891" width="9" style="3187"/>
    <col min="5892" max="5892" width="34.375" style="3187" customWidth="1"/>
    <col min="5893" max="5893" width="6.25" style="3187" customWidth="1"/>
    <col min="5894" max="5896" width="13.875" style="3187" customWidth="1"/>
    <col min="5897" max="5897" width="17.875" style="3187" customWidth="1"/>
    <col min="5898" max="5898" width="7.875" style="3187" customWidth="1"/>
    <col min="5899" max="5899" width="9" style="3187" customWidth="1"/>
    <col min="5900" max="5901" width="10.625" style="3187" customWidth="1"/>
    <col min="5902" max="5902" width="14.375" style="3187" customWidth="1"/>
    <col min="5903" max="5903" width="6.25" style="3187" customWidth="1"/>
    <col min="5904" max="5904" width="31" style="3187" customWidth="1"/>
    <col min="5905" max="5905" width="7.875" style="3187" customWidth="1"/>
    <col min="5906" max="6147" width="9" style="3187"/>
    <col min="6148" max="6148" width="34.375" style="3187" customWidth="1"/>
    <col min="6149" max="6149" width="6.25" style="3187" customWidth="1"/>
    <col min="6150" max="6152" width="13.875" style="3187" customWidth="1"/>
    <col min="6153" max="6153" width="17.875" style="3187" customWidth="1"/>
    <col min="6154" max="6154" width="7.875" style="3187" customWidth="1"/>
    <col min="6155" max="6155" width="9" style="3187" customWidth="1"/>
    <col min="6156" max="6157" width="10.625" style="3187" customWidth="1"/>
    <col min="6158" max="6158" width="14.375" style="3187" customWidth="1"/>
    <col min="6159" max="6159" width="6.25" style="3187" customWidth="1"/>
    <col min="6160" max="6160" width="31" style="3187" customWidth="1"/>
    <col min="6161" max="6161" width="7.875" style="3187" customWidth="1"/>
    <col min="6162" max="6403" width="9" style="3187"/>
    <col min="6404" max="6404" width="34.375" style="3187" customWidth="1"/>
    <col min="6405" max="6405" width="6.25" style="3187" customWidth="1"/>
    <col min="6406" max="6408" width="13.875" style="3187" customWidth="1"/>
    <col min="6409" max="6409" width="17.875" style="3187" customWidth="1"/>
    <col min="6410" max="6410" width="7.875" style="3187" customWidth="1"/>
    <col min="6411" max="6411" width="9" style="3187" customWidth="1"/>
    <col min="6412" max="6413" width="10.625" style="3187" customWidth="1"/>
    <col min="6414" max="6414" width="14.375" style="3187" customWidth="1"/>
    <col min="6415" max="6415" width="6.25" style="3187" customWidth="1"/>
    <col min="6416" max="6416" width="31" style="3187" customWidth="1"/>
    <col min="6417" max="6417" width="7.875" style="3187" customWidth="1"/>
    <col min="6418" max="6659" width="9" style="3187"/>
    <col min="6660" max="6660" width="34.375" style="3187" customWidth="1"/>
    <col min="6661" max="6661" width="6.25" style="3187" customWidth="1"/>
    <col min="6662" max="6664" width="13.875" style="3187" customWidth="1"/>
    <col min="6665" max="6665" width="17.875" style="3187" customWidth="1"/>
    <col min="6666" max="6666" width="7.875" style="3187" customWidth="1"/>
    <col min="6667" max="6667" width="9" style="3187" customWidth="1"/>
    <col min="6668" max="6669" width="10.625" style="3187" customWidth="1"/>
    <col min="6670" max="6670" width="14.375" style="3187" customWidth="1"/>
    <col min="6671" max="6671" width="6.25" style="3187" customWidth="1"/>
    <col min="6672" max="6672" width="31" style="3187" customWidth="1"/>
    <col min="6673" max="6673" width="7.875" style="3187" customWidth="1"/>
    <col min="6674" max="6915" width="9" style="3187"/>
    <col min="6916" max="6916" width="34.375" style="3187" customWidth="1"/>
    <col min="6917" max="6917" width="6.25" style="3187" customWidth="1"/>
    <col min="6918" max="6920" width="13.875" style="3187" customWidth="1"/>
    <col min="6921" max="6921" width="17.875" style="3187" customWidth="1"/>
    <col min="6922" max="6922" width="7.875" style="3187" customWidth="1"/>
    <col min="6923" max="6923" width="9" style="3187" customWidth="1"/>
    <col min="6924" max="6925" width="10.625" style="3187" customWidth="1"/>
    <col min="6926" max="6926" width="14.375" style="3187" customWidth="1"/>
    <col min="6927" max="6927" width="6.25" style="3187" customWidth="1"/>
    <col min="6928" max="6928" width="31" style="3187" customWidth="1"/>
    <col min="6929" max="6929" width="7.875" style="3187" customWidth="1"/>
    <col min="6930" max="7171" width="9" style="3187"/>
    <col min="7172" max="7172" width="34.375" style="3187" customWidth="1"/>
    <col min="7173" max="7173" width="6.25" style="3187" customWidth="1"/>
    <col min="7174" max="7176" width="13.875" style="3187" customWidth="1"/>
    <col min="7177" max="7177" width="17.875" style="3187" customWidth="1"/>
    <col min="7178" max="7178" width="7.875" style="3187" customWidth="1"/>
    <col min="7179" max="7179" width="9" style="3187" customWidth="1"/>
    <col min="7180" max="7181" width="10.625" style="3187" customWidth="1"/>
    <col min="7182" max="7182" width="14.375" style="3187" customWidth="1"/>
    <col min="7183" max="7183" width="6.25" style="3187" customWidth="1"/>
    <col min="7184" max="7184" width="31" style="3187" customWidth="1"/>
    <col min="7185" max="7185" width="7.875" style="3187" customWidth="1"/>
    <col min="7186" max="7427" width="9" style="3187"/>
    <col min="7428" max="7428" width="34.375" style="3187" customWidth="1"/>
    <col min="7429" max="7429" width="6.25" style="3187" customWidth="1"/>
    <col min="7430" max="7432" width="13.875" style="3187" customWidth="1"/>
    <col min="7433" max="7433" width="17.875" style="3187" customWidth="1"/>
    <col min="7434" max="7434" width="7.875" style="3187" customWidth="1"/>
    <col min="7435" max="7435" width="9" style="3187" customWidth="1"/>
    <col min="7436" max="7437" width="10.625" style="3187" customWidth="1"/>
    <col min="7438" max="7438" width="14.375" style="3187" customWidth="1"/>
    <col min="7439" max="7439" width="6.25" style="3187" customWidth="1"/>
    <col min="7440" max="7440" width="31" style="3187" customWidth="1"/>
    <col min="7441" max="7441" width="7.875" style="3187" customWidth="1"/>
    <col min="7442" max="7683" width="9" style="3187"/>
    <col min="7684" max="7684" width="34.375" style="3187" customWidth="1"/>
    <col min="7685" max="7685" width="6.25" style="3187" customWidth="1"/>
    <col min="7686" max="7688" width="13.875" style="3187" customWidth="1"/>
    <col min="7689" max="7689" width="17.875" style="3187" customWidth="1"/>
    <col min="7690" max="7690" width="7.875" style="3187" customWidth="1"/>
    <col min="7691" max="7691" width="9" style="3187" customWidth="1"/>
    <col min="7692" max="7693" width="10.625" style="3187" customWidth="1"/>
    <col min="7694" max="7694" width="14.375" style="3187" customWidth="1"/>
    <col min="7695" max="7695" width="6.25" style="3187" customWidth="1"/>
    <col min="7696" max="7696" width="31" style="3187" customWidth="1"/>
    <col min="7697" max="7697" width="7.875" style="3187" customWidth="1"/>
    <col min="7698" max="7939" width="9" style="3187"/>
    <col min="7940" max="7940" width="34.375" style="3187" customWidth="1"/>
    <col min="7941" max="7941" width="6.25" style="3187" customWidth="1"/>
    <col min="7942" max="7944" width="13.875" style="3187" customWidth="1"/>
    <col min="7945" max="7945" width="17.875" style="3187" customWidth="1"/>
    <col min="7946" max="7946" width="7.875" style="3187" customWidth="1"/>
    <col min="7947" max="7947" width="9" style="3187" customWidth="1"/>
    <col min="7948" max="7949" width="10.625" style="3187" customWidth="1"/>
    <col min="7950" max="7950" width="14.375" style="3187" customWidth="1"/>
    <col min="7951" max="7951" width="6.25" style="3187" customWidth="1"/>
    <col min="7952" max="7952" width="31" style="3187" customWidth="1"/>
    <col min="7953" max="7953" width="7.875" style="3187" customWidth="1"/>
    <col min="7954" max="8195" width="9" style="3187"/>
    <col min="8196" max="8196" width="34.375" style="3187" customWidth="1"/>
    <col min="8197" max="8197" width="6.25" style="3187" customWidth="1"/>
    <col min="8198" max="8200" width="13.875" style="3187" customWidth="1"/>
    <col min="8201" max="8201" width="17.875" style="3187" customWidth="1"/>
    <col min="8202" max="8202" width="7.875" style="3187" customWidth="1"/>
    <col min="8203" max="8203" width="9" style="3187" customWidth="1"/>
    <col min="8204" max="8205" width="10.625" style="3187" customWidth="1"/>
    <col min="8206" max="8206" width="14.375" style="3187" customWidth="1"/>
    <col min="8207" max="8207" width="6.25" style="3187" customWidth="1"/>
    <col min="8208" max="8208" width="31" style="3187" customWidth="1"/>
    <col min="8209" max="8209" width="7.875" style="3187" customWidth="1"/>
    <col min="8210" max="8451" width="9" style="3187"/>
    <col min="8452" max="8452" width="34.375" style="3187" customWidth="1"/>
    <col min="8453" max="8453" width="6.25" style="3187" customWidth="1"/>
    <col min="8454" max="8456" width="13.875" style="3187" customWidth="1"/>
    <col min="8457" max="8457" width="17.875" style="3187" customWidth="1"/>
    <col min="8458" max="8458" width="7.875" style="3187" customWidth="1"/>
    <col min="8459" max="8459" width="9" style="3187" customWidth="1"/>
    <col min="8460" max="8461" width="10.625" style="3187" customWidth="1"/>
    <col min="8462" max="8462" width="14.375" style="3187" customWidth="1"/>
    <col min="8463" max="8463" width="6.25" style="3187" customWidth="1"/>
    <col min="8464" max="8464" width="31" style="3187" customWidth="1"/>
    <col min="8465" max="8465" width="7.875" style="3187" customWidth="1"/>
    <col min="8466" max="8707" width="9" style="3187"/>
    <col min="8708" max="8708" width="34.375" style="3187" customWidth="1"/>
    <col min="8709" max="8709" width="6.25" style="3187" customWidth="1"/>
    <col min="8710" max="8712" width="13.875" style="3187" customWidth="1"/>
    <col min="8713" max="8713" width="17.875" style="3187" customWidth="1"/>
    <col min="8714" max="8714" width="7.875" style="3187" customWidth="1"/>
    <col min="8715" max="8715" width="9" style="3187" customWidth="1"/>
    <col min="8716" max="8717" width="10.625" style="3187" customWidth="1"/>
    <col min="8718" max="8718" width="14.375" style="3187" customWidth="1"/>
    <col min="8719" max="8719" width="6.25" style="3187" customWidth="1"/>
    <col min="8720" max="8720" width="31" style="3187" customWidth="1"/>
    <col min="8721" max="8721" width="7.875" style="3187" customWidth="1"/>
    <col min="8722" max="8963" width="9" style="3187"/>
    <col min="8964" max="8964" width="34.375" style="3187" customWidth="1"/>
    <col min="8965" max="8965" width="6.25" style="3187" customWidth="1"/>
    <col min="8966" max="8968" width="13.875" style="3187" customWidth="1"/>
    <col min="8969" max="8969" width="17.875" style="3187" customWidth="1"/>
    <col min="8970" max="8970" width="7.875" style="3187" customWidth="1"/>
    <col min="8971" max="8971" width="9" style="3187" customWidth="1"/>
    <col min="8972" max="8973" width="10.625" style="3187" customWidth="1"/>
    <col min="8974" max="8974" width="14.375" style="3187" customWidth="1"/>
    <col min="8975" max="8975" width="6.25" style="3187" customWidth="1"/>
    <col min="8976" max="8976" width="31" style="3187" customWidth="1"/>
    <col min="8977" max="8977" width="7.875" style="3187" customWidth="1"/>
    <col min="8978" max="9219" width="9" style="3187"/>
    <col min="9220" max="9220" width="34.375" style="3187" customWidth="1"/>
    <col min="9221" max="9221" width="6.25" style="3187" customWidth="1"/>
    <col min="9222" max="9224" width="13.875" style="3187" customWidth="1"/>
    <col min="9225" max="9225" width="17.875" style="3187" customWidth="1"/>
    <col min="9226" max="9226" width="7.875" style="3187" customWidth="1"/>
    <col min="9227" max="9227" width="9" style="3187" customWidth="1"/>
    <col min="9228" max="9229" width="10.625" style="3187" customWidth="1"/>
    <col min="9230" max="9230" width="14.375" style="3187" customWidth="1"/>
    <col min="9231" max="9231" width="6.25" style="3187" customWidth="1"/>
    <col min="9232" max="9232" width="31" style="3187" customWidth="1"/>
    <col min="9233" max="9233" width="7.875" style="3187" customWidth="1"/>
    <col min="9234" max="9475" width="9" style="3187"/>
    <col min="9476" max="9476" width="34.375" style="3187" customWidth="1"/>
    <col min="9477" max="9477" width="6.25" style="3187" customWidth="1"/>
    <col min="9478" max="9480" width="13.875" style="3187" customWidth="1"/>
    <col min="9481" max="9481" width="17.875" style="3187" customWidth="1"/>
    <col min="9482" max="9482" width="7.875" style="3187" customWidth="1"/>
    <col min="9483" max="9483" width="9" style="3187" customWidth="1"/>
    <col min="9484" max="9485" width="10.625" style="3187" customWidth="1"/>
    <col min="9486" max="9486" width="14.375" style="3187" customWidth="1"/>
    <col min="9487" max="9487" width="6.25" style="3187" customWidth="1"/>
    <col min="9488" max="9488" width="31" style="3187" customWidth="1"/>
    <col min="9489" max="9489" width="7.875" style="3187" customWidth="1"/>
    <col min="9490" max="9731" width="9" style="3187"/>
    <col min="9732" max="9732" width="34.375" style="3187" customWidth="1"/>
    <col min="9733" max="9733" width="6.25" style="3187" customWidth="1"/>
    <col min="9734" max="9736" width="13.875" style="3187" customWidth="1"/>
    <col min="9737" max="9737" width="17.875" style="3187" customWidth="1"/>
    <col min="9738" max="9738" width="7.875" style="3187" customWidth="1"/>
    <col min="9739" max="9739" width="9" style="3187" customWidth="1"/>
    <col min="9740" max="9741" width="10.625" style="3187" customWidth="1"/>
    <col min="9742" max="9742" width="14.375" style="3187" customWidth="1"/>
    <col min="9743" max="9743" width="6.25" style="3187" customWidth="1"/>
    <col min="9744" max="9744" width="31" style="3187" customWidth="1"/>
    <col min="9745" max="9745" width="7.875" style="3187" customWidth="1"/>
    <col min="9746" max="9987" width="9" style="3187"/>
    <col min="9988" max="9988" width="34.375" style="3187" customWidth="1"/>
    <col min="9989" max="9989" width="6.25" style="3187" customWidth="1"/>
    <col min="9990" max="9992" width="13.875" style="3187" customWidth="1"/>
    <col min="9993" max="9993" width="17.875" style="3187" customWidth="1"/>
    <col min="9994" max="9994" width="7.875" style="3187" customWidth="1"/>
    <col min="9995" max="9995" width="9" style="3187" customWidth="1"/>
    <col min="9996" max="9997" width="10.625" style="3187" customWidth="1"/>
    <col min="9998" max="9998" width="14.375" style="3187" customWidth="1"/>
    <col min="9999" max="9999" width="6.25" style="3187" customWidth="1"/>
    <col min="10000" max="10000" width="31" style="3187" customWidth="1"/>
    <col min="10001" max="10001" width="7.875" style="3187" customWidth="1"/>
    <col min="10002" max="10243" width="9" style="3187"/>
    <col min="10244" max="10244" width="34.375" style="3187" customWidth="1"/>
    <col min="10245" max="10245" width="6.25" style="3187" customWidth="1"/>
    <col min="10246" max="10248" width="13.875" style="3187" customWidth="1"/>
    <col min="10249" max="10249" width="17.875" style="3187" customWidth="1"/>
    <col min="10250" max="10250" width="7.875" style="3187" customWidth="1"/>
    <col min="10251" max="10251" width="9" style="3187" customWidth="1"/>
    <col min="10252" max="10253" width="10.625" style="3187" customWidth="1"/>
    <col min="10254" max="10254" width="14.375" style="3187" customWidth="1"/>
    <col min="10255" max="10255" width="6.25" style="3187" customWidth="1"/>
    <col min="10256" max="10256" width="31" style="3187" customWidth="1"/>
    <col min="10257" max="10257" width="7.875" style="3187" customWidth="1"/>
    <col min="10258" max="10499" width="9" style="3187"/>
    <col min="10500" max="10500" width="34.375" style="3187" customWidth="1"/>
    <col min="10501" max="10501" width="6.25" style="3187" customWidth="1"/>
    <col min="10502" max="10504" width="13.875" style="3187" customWidth="1"/>
    <col min="10505" max="10505" width="17.875" style="3187" customWidth="1"/>
    <col min="10506" max="10506" width="7.875" style="3187" customWidth="1"/>
    <col min="10507" max="10507" width="9" style="3187" customWidth="1"/>
    <col min="10508" max="10509" width="10.625" style="3187" customWidth="1"/>
    <col min="10510" max="10510" width="14.375" style="3187" customWidth="1"/>
    <col min="10511" max="10511" width="6.25" style="3187" customWidth="1"/>
    <col min="10512" max="10512" width="31" style="3187" customWidth="1"/>
    <col min="10513" max="10513" width="7.875" style="3187" customWidth="1"/>
    <col min="10514" max="10755" width="9" style="3187"/>
    <col min="10756" max="10756" width="34.375" style="3187" customWidth="1"/>
    <col min="10757" max="10757" width="6.25" style="3187" customWidth="1"/>
    <col min="10758" max="10760" width="13.875" style="3187" customWidth="1"/>
    <col min="10761" max="10761" width="17.875" style="3187" customWidth="1"/>
    <col min="10762" max="10762" width="7.875" style="3187" customWidth="1"/>
    <col min="10763" max="10763" width="9" style="3187" customWidth="1"/>
    <col min="10764" max="10765" width="10.625" style="3187" customWidth="1"/>
    <col min="10766" max="10766" width="14.375" style="3187" customWidth="1"/>
    <col min="10767" max="10767" width="6.25" style="3187" customWidth="1"/>
    <col min="10768" max="10768" width="31" style="3187" customWidth="1"/>
    <col min="10769" max="10769" width="7.875" style="3187" customWidth="1"/>
    <col min="10770" max="11011" width="9" style="3187"/>
    <col min="11012" max="11012" width="34.375" style="3187" customWidth="1"/>
    <col min="11013" max="11013" width="6.25" style="3187" customWidth="1"/>
    <col min="11014" max="11016" width="13.875" style="3187" customWidth="1"/>
    <col min="11017" max="11017" width="17.875" style="3187" customWidth="1"/>
    <col min="11018" max="11018" width="7.875" style="3187" customWidth="1"/>
    <col min="11019" max="11019" width="9" style="3187" customWidth="1"/>
    <col min="11020" max="11021" width="10.625" style="3187" customWidth="1"/>
    <col min="11022" max="11022" width="14.375" style="3187" customWidth="1"/>
    <col min="11023" max="11023" width="6.25" style="3187" customWidth="1"/>
    <col min="11024" max="11024" width="31" style="3187" customWidth="1"/>
    <col min="11025" max="11025" width="7.875" style="3187" customWidth="1"/>
    <col min="11026" max="11267" width="9" style="3187"/>
    <col min="11268" max="11268" width="34.375" style="3187" customWidth="1"/>
    <col min="11269" max="11269" width="6.25" style="3187" customWidth="1"/>
    <col min="11270" max="11272" width="13.875" style="3187" customWidth="1"/>
    <col min="11273" max="11273" width="17.875" style="3187" customWidth="1"/>
    <col min="11274" max="11274" width="7.875" style="3187" customWidth="1"/>
    <col min="11275" max="11275" width="9" style="3187" customWidth="1"/>
    <col min="11276" max="11277" width="10.625" style="3187" customWidth="1"/>
    <col min="11278" max="11278" width="14.375" style="3187" customWidth="1"/>
    <col min="11279" max="11279" width="6.25" style="3187" customWidth="1"/>
    <col min="11280" max="11280" width="31" style="3187" customWidth="1"/>
    <col min="11281" max="11281" width="7.875" style="3187" customWidth="1"/>
    <col min="11282" max="11523" width="9" style="3187"/>
    <col min="11524" max="11524" width="34.375" style="3187" customWidth="1"/>
    <col min="11525" max="11525" width="6.25" style="3187" customWidth="1"/>
    <col min="11526" max="11528" width="13.875" style="3187" customWidth="1"/>
    <col min="11529" max="11529" width="17.875" style="3187" customWidth="1"/>
    <col min="11530" max="11530" width="7.875" style="3187" customWidth="1"/>
    <col min="11531" max="11531" width="9" style="3187" customWidth="1"/>
    <col min="11532" max="11533" width="10.625" style="3187" customWidth="1"/>
    <col min="11534" max="11534" width="14.375" style="3187" customWidth="1"/>
    <col min="11535" max="11535" width="6.25" style="3187" customWidth="1"/>
    <col min="11536" max="11536" width="31" style="3187" customWidth="1"/>
    <col min="11537" max="11537" width="7.875" style="3187" customWidth="1"/>
    <col min="11538" max="11779" width="9" style="3187"/>
    <col min="11780" max="11780" width="34.375" style="3187" customWidth="1"/>
    <col min="11781" max="11781" width="6.25" style="3187" customWidth="1"/>
    <col min="11782" max="11784" width="13.875" style="3187" customWidth="1"/>
    <col min="11785" max="11785" width="17.875" style="3187" customWidth="1"/>
    <col min="11786" max="11786" width="7.875" style="3187" customWidth="1"/>
    <col min="11787" max="11787" width="9" style="3187" customWidth="1"/>
    <col min="11788" max="11789" width="10.625" style="3187" customWidth="1"/>
    <col min="11790" max="11790" width="14.375" style="3187" customWidth="1"/>
    <col min="11791" max="11791" width="6.25" style="3187" customWidth="1"/>
    <col min="11792" max="11792" width="31" style="3187" customWidth="1"/>
    <col min="11793" max="11793" width="7.875" style="3187" customWidth="1"/>
    <col min="11794" max="12035" width="9" style="3187"/>
    <col min="12036" max="12036" width="34.375" style="3187" customWidth="1"/>
    <col min="12037" max="12037" width="6.25" style="3187" customWidth="1"/>
    <col min="12038" max="12040" width="13.875" style="3187" customWidth="1"/>
    <col min="12041" max="12041" width="17.875" style="3187" customWidth="1"/>
    <col min="12042" max="12042" width="7.875" style="3187" customWidth="1"/>
    <col min="12043" max="12043" width="9" style="3187" customWidth="1"/>
    <col min="12044" max="12045" width="10.625" style="3187" customWidth="1"/>
    <col min="12046" max="12046" width="14.375" style="3187" customWidth="1"/>
    <col min="12047" max="12047" width="6.25" style="3187" customWidth="1"/>
    <col min="12048" max="12048" width="31" style="3187" customWidth="1"/>
    <col min="12049" max="12049" width="7.875" style="3187" customWidth="1"/>
    <col min="12050" max="12291" width="9" style="3187"/>
    <col min="12292" max="12292" width="34.375" style="3187" customWidth="1"/>
    <col min="12293" max="12293" width="6.25" style="3187" customWidth="1"/>
    <col min="12294" max="12296" width="13.875" style="3187" customWidth="1"/>
    <col min="12297" max="12297" width="17.875" style="3187" customWidth="1"/>
    <col min="12298" max="12298" width="7.875" style="3187" customWidth="1"/>
    <col min="12299" max="12299" width="9" style="3187" customWidth="1"/>
    <col min="12300" max="12301" width="10.625" style="3187" customWidth="1"/>
    <col min="12302" max="12302" width="14.375" style="3187" customWidth="1"/>
    <col min="12303" max="12303" width="6.25" style="3187" customWidth="1"/>
    <col min="12304" max="12304" width="31" style="3187" customWidth="1"/>
    <col min="12305" max="12305" width="7.875" style="3187" customWidth="1"/>
    <col min="12306" max="12547" width="9" style="3187"/>
    <col min="12548" max="12548" width="34.375" style="3187" customWidth="1"/>
    <col min="12549" max="12549" width="6.25" style="3187" customWidth="1"/>
    <col min="12550" max="12552" width="13.875" style="3187" customWidth="1"/>
    <col min="12553" max="12553" width="17.875" style="3187" customWidth="1"/>
    <col min="12554" max="12554" width="7.875" style="3187" customWidth="1"/>
    <col min="12555" max="12555" width="9" style="3187" customWidth="1"/>
    <col min="12556" max="12557" width="10.625" style="3187" customWidth="1"/>
    <col min="12558" max="12558" width="14.375" style="3187" customWidth="1"/>
    <col min="12559" max="12559" width="6.25" style="3187" customWidth="1"/>
    <col min="12560" max="12560" width="31" style="3187" customWidth="1"/>
    <col min="12561" max="12561" width="7.875" style="3187" customWidth="1"/>
    <col min="12562" max="12803" width="9" style="3187"/>
    <col min="12804" max="12804" width="34.375" style="3187" customWidth="1"/>
    <col min="12805" max="12805" width="6.25" style="3187" customWidth="1"/>
    <col min="12806" max="12808" width="13.875" style="3187" customWidth="1"/>
    <col min="12809" max="12809" width="17.875" style="3187" customWidth="1"/>
    <col min="12810" max="12810" width="7.875" style="3187" customWidth="1"/>
    <col min="12811" max="12811" width="9" style="3187" customWidth="1"/>
    <col min="12812" max="12813" width="10.625" style="3187" customWidth="1"/>
    <col min="12814" max="12814" width="14.375" style="3187" customWidth="1"/>
    <col min="12815" max="12815" width="6.25" style="3187" customWidth="1"/>
    <col min="12816" max="12816" width="31" style="3187" customWidth="1"/>
    <col min="12817" max="12817" width="7.875" style="3187" customWidth="1"/>
    <col min="12818" max="13059" width="9" style="3187"/>
    <col min="13060" max="13060" width="34.375" style="3187" customWidth="1"/>
    <col min="13061" max="13061" width="6.25" style="3187" customWidth="1"/>
    <col min="13062" max="13064" width="13.875" style="3187" customWidth="1"/>
    <col min="13065" max="13065" width="17.875" style="3187" customWidth="1"/>
    <col min="13066" max="13066" width="7.875" style="3187" customWidth="1"/>
    <col min="13067" max="13067" width="9" style="3187" customWidth="1"/>
    <col min="13068" max="13069" width="10.625" style="3187" customWidth="1"/>
    <col min="13070" max="13070" width="14.375" style="3187" customWidth="1"/>
    <col min="13071" max="13071" width="6.25" style="3187" customWidth="1"/>
    <col min="13072" max="13072" width="31" style="3187" customWidth="1"/>
    <col min="13073" max="13073" width="7.875" style="3187" customWidth="1"/>
    <col min="13074" max="13315" width="9" style="3187"/>
    <col min="13316" max="13316" width="34.375" style="3187" customWidth="1"/>
    <col min="13317" max="13317" width="6.25" style="3187" customWidth="1"/>
    <col min="13318" max="13320" width="13.875" style="3187" customWidth="1"/>
    <col min="13321" max="13321" width="17.875" style="3187" customWidth="1"/>
    <col min="13322" max="13322" width="7.875" style="3187" customWidth="1"/>
    <col min="13323" max="13323" width="9" style="3187" customWidth="1"/>
    <col min="13324" max="13325" width="10.625" style="3187" customWidth="1"/>
    <col min="13326" max="13326" width="14.375" style="3187" customWidth="1"/>
    <col min="13327" max="13327" width="6.25" style="3187" customWidth="1"/>
    <col min="13328" max="13328" width="31" style="3187" customWidth="1"/>
    <col min="13329" max="13329" width="7.875" style="3187" customWidth="1"/>
    <col min="13330" max="13571" width="9" style="3187"/>
    <col min="13572" max="13572" width="34.375" style="3187" customWidth="1"/>
    <col min="13573" max="13573" width="6.25" style="3187" customWidth="1"/>
    <col min="13574" max="13576" width="13.875" style="3187" customWidth="1"/>
    <col min="13577" max="13577" width="17.875" style="3187" customWidth="1"/>
    <col min="13578" max="13578" width="7.875" style="3187" customWidth="1"/>
    <col min="13579" max="13579" width="9" style="3187" customWidth="1"/>
    <col min="13580" max="13581" width="10.625" style="3187" customWidth="1"/>
    <col min="13582" max="13582" width="14.375" style="3187" customWidth="1"/>
    <col min="13583" max="13583" width="6.25" style="3187" customWidth="1"/>
    <col min="13584" max="13584" width="31" style="3187" customWidth="1"/>
    <col min="13585" max="13585" width="7.875" style="3187" customWidth="1"/>
    <col min="13586" max="13827" width="9" style="3187"/>
    <col min="13828" max="13828" width="34.375" style="3187" customWidth="1"/>
    <col min="13829" max="13829" width="6.25" style="3187" customWidth="1"/>
    <col min="13830" max="13832" width="13.875" style="3187" customWidth="1"/>
    <col min="13833" max="13833" width="17.875" style="3187" customWidth="1"/>
    <col min="13834" max="13834" width="7.875" style="3187" customWidth="1"/>
    <col min="13835" max="13835" width="9" style="3187" customWidth="1"/>
    <col min="13836" max="13837" width="10.625" style="3187" customWidth="1"/>
    <col min="13838" max="13838" width="14.375" style="3187" customWidth="1"/>
    <col min="13839" max="13839" width="6.25" style="3187" customWidth="1"/>
    <col min="13840" max="13840" width="31" style="3187" customWidth="1"/>
    <col min="13841" max="13841" width="7.875" style="3187" customWidth="1"/>
    <col min="13842" max="14083" width="9" style="3187"/>
    <col min="14084" max="14084" width="34.375" style="3187" customWidth="1"/>
    <col min="14085" max="14085" width="6.25" style="3187" customWidth="1"/>
    <col min="14086" max="14088" width="13.875" style="3187" customWidth="1"/>
    <col min="14089" max="14089" width="17.875" style="3187" customWidth="1"/>
    <col min="14090" max="14090" width="7.875" style="3187" customWidth="1"/>
    <col min="14091" max="14091" width="9" style="3187" customWidth="1"/>
    <col min="14092" max="14093" width="10.625" style="3187" customWidth="1"/>
    <col min="14094" max="14094" width="14.375" style="3187" customWidth="1"/>
    <col min="14095" max="14095" width="6.25" style="3187" customWidth="1"/>
    <col min="14096" max="14096" width="31" style="3187" customWidth="1"/>
    <col min="14097" max="14097" width="7.875" style="3187" customWidth="1"/>
    <col min="14098" max="14339" width="9" style="3187"/>
    <col min="14340" max="14340" width="34.375" style="3187" customWidth="1"/>
    <col min="14341" max="14341" width="6.25" style="3187" customWidth="1"/>
    <col min="14342" max="14344" width="13.875" style="3187" customWidth="1"/>
    <col min="14345" max="14345" width="17.875" style="3187" customWidth="1"/>
    <col min="14346" max="14346" width="7.875" style="3187" customWidth="1"/>
    <col min="14347" max="14347" width="9" style="3187" customWidth="1"/>
    <col min="14348" max="14349" width="10.625" style="3187" customWidth="1"/>
    <col min="14350" max="14350" width="14.375" style="3187" customWidth="1"/>
    <col min="14351" max="14351" width="6.25" style="3187" customWidth="1"/>
    <col min="14352" max="14352" width="31" style="3187" customWidth="1"/>
    <col min="14353" max="14353" width="7.875" style="3187" customWidth="1"/>
    <col min="14354" max="14595" width="9" style="3187"/>
    <col min="14596" max="14596" width="34.375" style="3187" customWidth="1"/>
    <col min="14597" max="14597" width="6.25" style="3187" customWidth="1"/>
    <col min="14598" max="14600" width="13.875" style="3187" customWidth="1"/>
    <col min="14601" max="14601" width="17.875" style="3187" customWidth="1"/>
    <col min="14602" max="14602" width="7.875" style="3187" customWidth="1"/>
    <col min="14603" max="14603" width="9" style="3187" customWidth="1"/>
    <col min="14604" max="14605" width="10.625" style="3187" customWidth="1"/>
    <col min="14606" max="14606" width="14.375" style="3187" customWidth="1"/>
    <col min="14607" max="14607" width="6.25" style="3187" customWidth="1"/>
    <col min="14608" max="14608" width="31" style="3187" customWidth="1"/>
    <col min="14609" max="14609" width="7.875" style="3187" customWidth="1"/>
    <col min="14610" max="14851" width="9" style="3187"/>
    <col min="14852" max="14852" width="34.375" style="3187" customWidth="1"/>
    <col min="14853" max="14853" width="6.25" style="3187" customWidth="1"/>
    <col min="14854" max="14856" width="13.875" style="3187" customWidth="1"/>
    <col min="14857" max="14857" width="17.875" style="3187" customWidth="1"/>
    <col min="14858" max="14858" width="7.875" style="3187" customWidth="1"/>
    <col min="14859" max="14859" width="9" style="3187" customWidth="1"/>
    <col min="14860" max="14861" width="10.625" style="3187" customWidth="1"/>
    <col min="14862" max="14862" width="14.375" style="3187" customWidth="1"/>
    <col min="14863" max="14863" width="6.25" style="3187" customWidth="1"/>
    <col min="14864" max="14864" width="31" style="3187" customWidth="1"/>
    <col min="14865" max="14865" width="7.875" style="3187" customWidth="1"/>
    <col min="14866" max="15107" width="9" style="3187"/>
    <col min="15108" max="15108" width="34.375" style="3187" customWidth="1"/>
    <col min="15109" max="15109" width="6.25" style="3187" customWidth="1"/>
    <col min="15110" max="15112" width="13.875" style="3187" customWidth="1"/>
    <col min="15113" max="15113" width="17.875" style="3187" customWidth="1"/>
    <col min="15114" max="15114" width="7.875" style="3187" customWidth="1"/>
    <col min="15115" max="15115" width="9" style="3187" customWidth="1"/>
    <col min="15116" max="15117" width="10.625" style="3187" customWidth="1"/>
    <col min="15118" max="15118" width="14.375" style="3187" customWidth="1"/>
    <col min="15119" max="15119" width="6.25" style="3187" customWidth="1"/>
    <col min="15120" max="15120" width="31" style="3187" customWidth="1"/>
    <col min="15121" max="15121" width="7.875" style="3187" customWidth="1"/>
    <col min="15122" max="15363" width="9" style="3187"/>
    <col min="15364" max="15364" width="34.375" style="3187" customWidth="1"/>
    <col min="15365" max="15365" width="6.25" style="3187" customWidth="1"/>
    <col min="15366" max="15368" width="13.875" style="3187" customWidth="1"/>
    <col min="15369" max="15369" width="17.875" style="3187" customWidth="1"/>
    <col min="15370" max="15370" width="7.875" style="3187" customWidth="1"/>
    <col min="15371" max="15371" width="9" style="3187" customWidth="1"/>
    <col min="15372" max="15373" width="10.625" style="3187" customWidth="1"/>
    <col min="15374" max="15374" width="14.375" style="3187" customWidth="1"/>
    <col min="15375" max="15375" width="6.25" style="3187" customWidth="1"/>
    <col min="15376" max="15376" width="31" style="3187" customWidth="1"/>
    <col min="15377" max="15377" width="7.875" style="3187" customWidth="1"/>
    <col min="15378" max="15619" width="9" style="3187"/>
    <col min="15620" max="15620" width="34.375" style="3187" customWidth="1"/>
    <col min="15621" max="15621" width="6.25" style="3187" customWidth="1"/>
    <col min="15622" max="15624" width="13.875" style="3187" customWidth="1"/>
    <col min="15625" max="15625" width="17.875" style="3187" customWidth="1"/>
    <col min="15626" max="15626" width="7.875" style="3187" customWidth="1"/>
    <col min="15627" max="15627" width="9" style="3187" customWidth="1"/>
    <col min="15628" max="15629" width="10.625" style="3187" customWidth="1"/>
    <col min="15630" max="15630" width="14.375" style="3187" customWidth="1"/>
    <col min="15631" max="15631" width="6.25" style="3187" customWidth="1"/>
    <col min="15632" max="15632" width="31" style="3187" customWidth="1"/>
    <col min="15633" max="15633" width="7.875" style="3187" customWidth="1"/>
    <col min="15634" max="15875" width="9" style="3187"/>
    <col min="15876" max="15876" width="34.375" style="3187" customWidth="1"/>
    <col min="15877" max="15877" width="6.25" style="3187" customWidth="1"/>
    <col min="15878" max="15880" width="13.875" style="3187" customWidth="1"/>
    <col min="15881" max="15881" width="17.875" style="3187" customWidth="1"/>
    <col min="15882" max="15882" width="7.875" style="3187" customWidth="1"/>
    <col min="15883" max="15883" width="9" style="3187" customWidth="1"/>
    <col min="15884" max="15885" width="10.625" style="3187" customWidth="1"/>
    <col min="15886" max="15886" width="14.375" style="3187" customWidth="1"/>
    <col min="15887" max="15887" width="6.25" style="3187" customWidth="1"/>
    <col min="15888" max="15888" width="31" style="3187" customWidth="1"/>
    <col min="15889" max="15889" width="7.875" style="3187" customWidth="1"/>
    <col min="15890" max="16131" width="9" style="3187"/>
    <col min="16132" max="16132" width="34.375" style="3187" customWidth="1"/>
    <col min="16133" max="16133" width="6.25" style="3187" customWidth="1"/>
    <col min="16134" max="16136" width="13.875" style="3187" customWidth="1"/>
    <col min="16137" max="16137" width="17.875" style="3187" customWidth="1"/>
    <col min="16138" max="16138" width="7.875" style="3187" customWidth="1"/>
    <col min="16139" max="16139" width="9" style="3187" customWidth="1"/>
    <col min="16140" max="16141" width="10.625" style="3187" customWidth="1"/>
    <col min="16142" max="16142" width="14.375" style="3187" customWidth="1"/>
    <col min="16143" max="16143" width="6.25" style="3187" customWidth="1"/>
    <col min="16144" max="16144" width="31" style="3187" customWidth="1"/>
    <col min="16145" max="16145" width="7.875" style="3187" customWidth="1"/>
    <col min="16146" max="16384" width="9" style="3187"/>
  </cols>
  <sheetData>
    <row r="1" spans="1:17" ht="27">
      <c r="A1" s="3188" t="s">
        <v>3003</v>
      </c>
      <c r="B1" s="3188" t="s">
        <v>3004</v>
      </c>
      <c r="C1" s="3188" t="s">
        <v>3005</v>
      </c>
      <c r="D1" s="3188" t="s">
        <v>3006</v>
      </c>
      <c r="E1" s="3188" t="s">
        <v>3007</v>
      </c>
      <c r="F1" s="3188" t="s">
        <v>2032</v>
      </c>
      <c r="G1" s="3189" t="s">
        <v>3073</v>
      </c>
      <c r="H1" s="3188" t="s">
        <v>3008</v>
      </c>
      <c r="I1" s="3188" t="s">
        <v>3009</v>
      </c>
      <c r="J1" s="3188" t="s">
        <v>3010</v>
      </c>
      <c r="K1" s="3188" t="s">
        <v>3011</v>
      </c>
      <c r="L1" s="3188" t="s">
        <v>3012</v>
      </c>
      <c r="M1" s="3189" t="s">
        <v>3074</v>
      </c>
      <c r="N1" s="3189"/>
      <c r="O1" s="3188" t="s">
        <v>3013</v>
      </c>
      <c r="P1" s="3188" t="s">
        <v>3014</v>
      </c>
      <c r="Q1" s="3188" t="s">
        <v>3015</v>
      </c>
    </row>
    <row r="2" spans="1:17" s="3194" customFormat="1" ht="27">
      <c r="A2" s="3192" t="s">
        <v>3016</v>
      </c>
      <c r="B2" s="3192" t="s">
        <v>3017</v>
      </c>
      <c r="C2" s="3192" t="s">
        <v>3018</v>
      </c>
      <c r="D2" s="3192">
        <v>57443</v>
      </c>
      <c r="E2" s="3192">
        <v>114886</v>
      </c>
      <c r="F2" s="3192" t="s">
        <v>3019</v>
      </c>
      <c r="G2" s="3192">
        <f>ROUND(E2/D2,2)</f>
        <v>2</v>
      </c>
      <c r="H2" s="3192" t="s">
        <v>3020</v>
      </c>
      <c r="I2" s="3192" t="s">
        <v>3021</v>
      </c>
      <c r="J2" s="3192">
        <v>14660</v>
      </c>
      <c r="K2" s="3192">
        <v>14660</v>
      </c>
      <c r="L2" s="3192">
        <v>1276.04</v>
      </c>
      <c r="M2" s="3192">
        <f>ROUND(J2/E2*10000,0)</f>
        <v>1276</v>
      </c>
      <c r="N2" s="3192"/>
      <c r="O2" s="3192">
        <v>0</v>
      </c>
      <c r="P2" s="3192" t="s">
        <v>3022</v>
      </c>
      <c r="Q2" s="3192" t="s">
        <v>3023</v>
      </c>
    </row>
    <row r="3" spans="1:17" s="3194" customFormat="1" ht="27">
      <c r="A3" s="3192" t="s">
        <v>3024</v>
      </c>
      <c r="B3" s="3192" t="s">
        <v>3017</v>
      </c>
      <c r="C3" s="3192" t="s">
        <v>3018</v>
      </c>
      <c r="D3" s="3192">
        <v>52846</v>
      </c>
      <c r="E3" s="3192">
        <v>79269</v>
      </c>
      <c r="F3" s="3192" t="s">
        <v>3025</v>
      </c>
      <c r="G3" s="3192">
        <f t="shared" ref="G3:G16" si="0">ROUND(E3/D3,2)</f>
        <v>1.5</v>
      </c>
      <c r="H3" s="3192" t="s">
        <v>3020</v>
      </c>
      <c r="I3" s="3192" t="s">
        <v>3026</v>
      </c>
      <c r="J3" s="3192">
        <v>7927</v>
      </c>
      <c r="K3" s="3192">
        <v>7927</v>
      </c>
      <c r="L3" s="3192">
        <v>1000</v>
      </c>
      <c r="M3" s="3192">
        <f t="shared" ref="M3:M16" si="1">ROUND(J3/E3*10000,0)</f>
        <v>1000</v>
      </c>
      <c r="N3" s="3192"/>
      <c r="O3" s="3192">
        <v>0</v>
      </c>
      <c r="P3" s="3192" t="s">
        <v>3027</v>
      </c>
      <c r="Q3" s="3192" t="s">
        <v>3028</v>
      </c>
    </row>
    <row r="4" spans="1:17" s="3191" customFormat="1" ht="27">
      <c r="A4" s="3190" t="s">
        <v>3029</v>
      </c>
      <c r="B4" s="3190" t="s">
        <v>3017</v>
      </c>
      <c r="C4" s="3190" t="s">
        <v>3018</v>
      </c>
      <c r="D4" s="3190">
        <v>85558</v>
      </c>
      <c r="E4" s="3190">
        <v>154004.4</v>
      </c>
      <c r="F4" s="3190" t="s">
        <v>3030</v>
      </c>
      <c r="G4" s="3190">
        <f t="shared" si="0"/>
        <v>1.8</v>
      </c>
      <c r="H4" s="3190" t="s">
        <v>3020</v>
      </c>
      <c r="I4" s="3190" t="s">
        <v>3031</v>
      </c>
      <c r="J4" s="3190">
        <v>29300</v>
      </c>
      <c r="K4" s="3190">
        <v>49870</v>
      </c>
      <c r="L4" s="3190">
        <v>3238.21</v>
      </c>
      <c r="M4" s="3190">
        <f t="shared" si="1"/>
        <v>1903</v>
      </c>
      <c r="N4" s="3190">
        <f>ROUND(K4/D4*666.67,0)</f>
        <v>389</v>
      </c>
      <c r="O4" s="3190">
        <v>70.2</v>
      </c>
      <c r="P4" s="3190" t="s">
        <v>3032</v>
      </c>
      <c r="Q4" s="3190" t="s">
        <v>3028</v>
      </c>
    </row>
    <row r="5" spans="1:17" ht="27">
      <c r="A5" s="3188" t="s">
        <v>3033</v>
      </c>
      <c r="B5" s="3188" t="s">
        <v>3017</v>
      </c>
      <c r="C5" s="3188" t="s">
        <v>3018</v>
      </c>
      <c r="D5" s="3188">
        <v>60440</v>
      </c>
      <c r="E5" s="3188">
        <v>132968</v>
      </c>
      <c r="F5" s="3188" t="s">
        <v>3034</v>
      </c>
      <c r="G5" s="3188">
        <f t="shared" si="0"/>
        <v>2.2000000000000002</v>
      </c>
      <c r="H5" s="3188" t="s">
        <v>3020</v>
      </c>
      <c r="I5" s="3188" t="s">
        <v>3031</v>
      </c>
      <c r="J5" s="3188">
        <v>11700</v>
      </c>
      <c r="K5" s="3188">
        <v>29000</v>
      </c>
      <c r="L5" s="3188">
        <v>2180.98</v>
      </c>
      <c r="M5" s="3192">
        <f t="shared" si="1"/>
        <v>880</v>
      </c>
      <c r="N5" s="3192">
        <f>ROUND(K5/D5*666.67,0)</f>
        <v>320</v>
      </c>
      <c r="O5" s="3188">
        <v>147.86000000000001</v>
      </c>
      <c r="P5" s="3188" t="s">
        <v>3035</v>
      </c>
      <c r="Q5" s="3188" t="s">
        <v>3036</v>
      </c>
    </row>
    <row r="6" spans="1:17" s="3191" customFormat="1" ht="27">
      <c r="A6" s="3190" t="s">
        <v>3037</v>
      </c>
      <c r="B6" s="3190" t="s">
        <v>3017</v>
      </c>
      <c r="C6" s="3190" t="s">
        <v>3018</v>
      </c>
      <c r="D6" s="3190">
        <v>72028</v>
      </c>
      <c r="E6" s="3190">
        <v>144056</v>
      </c>
      <c r="F6" s="3190" t="s">
        <v>3038</v>
      </c>
      <c r="G6" s="3190">
        <f t="shared" si="0"/>
        <v>2</v>
      </c>
      <c r="H6" s="3190" t="s">
        <v>3020</v>
      </c>
      <c r="I6" s="3190" t="s">
        <v>3031</v>
      </c>
      <c r="J6" s="3190">
        <v>22500</v>
      </c>
      <c r="K6" s="3190">
        <v>43450</v>
      </c>
      <c r="L6" s="3190">
        <v>3016.19</v>
      </c>
      <c r="M6" s="3190">
        <f t="shared" si="1"/>
        <v>1562</v>
      </c>
      <c r="N6" s="3190">
        <f>ROUND(K6/D6*666.67,0)</f>
        <v>402</v>
      </c>
      <c r="O6" s="3190">
        <v>93.11</v>
      </c>
      <c r="P6" s="3190" t="s">
        <v>3039</v>
      </c>
      <c r="Q6" s="3190" t="s">
        <v>3023</v>
      </c>
    </row>
    <row r="7" spans="1:17" s="3194" customFormat="1" ht="27">
      <c r="A7" s="3192" t="s">
        <v>3040</v>
      </c>
      <c r="B7" s="3192" t="s">
        <v>3017</v>
      </c>
      <c r="C7" s="3192" t="s">
        <v>3018</v>
      </c>
      <c r="D7" s="3192">
        <v>45562</v>
      </c>
      <c r="E7" s="3192">
        <v>100236.4</v>
      </c>
      <c r="F7" s="3192" t="s">
        <v>3034</v>
      </c>
      <c r="G7" s="3192">
        <f t="shared" si="0"/>
        <v>2.2000000000000002</v>
      </c>
      <c r="H7" s="3192" t="s">
        <v>3020</v>
      </c>
      <c r="I7" s="3192" t="s">
        <v>3031</v>
      </c>
      <c r="J7" s="3192">
        <v>8100</v>
      </c>
      <c r="K7" s="3192">
        <v>13740</v>
      </c>
      <c r="L7" s="3192">
        <v>1370.75</v>
      </c>
      <c r="M7" s="3192">
        <f t="shared" si="1"/>
        <v>808</v>
      </c>
      <c r="N7" s="3192"/>
      <c r="O7" s="3192">
        <v>69.63</v>
      </c>
      <c r="P7" s="3192" t="s">
        <v>3035</v>
      </c>
      <c r="Q7" s="3192" t="s">
        <v>3028</v>
      </c>
    </row>
    <row r="8" spans="1:17" s="3191" customFormat="1" ht="27">
      <c r="A8" s="3190" t="s">
        <v>3041</v>
      </c>
      <c r="B8" s="3190" t="s">
        <v>3017</v>
      </c>
      <c r="C8" s="3190" t="s">
        <v>3018</v>
      </c>
      <c r="D8" s="3190">
        <v>67668</v>
      </c>
      <c r="E8" s="3190">
        <v>94735.2</v>
      </c>
      <c r="F8" s="3190" t="s">
        <v>3042</v>
      </c>
      <c r="G8" s="3190">
        <f t="shared" si="0"/>
        <v>1.4</v>
      </c>
      <c r="H8" s="3190" t="s">
        <v>3020</v>
      </c>
      <c r="I8" s="3190" t="s">
        <v>3031</v>
      </c>
      <c r="J8" s="3190">
        <v>22200</v>
      </c>
      <c r="K8" s="3190">
        <v>34310</v>
      </c>
      <c r="L8" s="3190">
        <v>3621.67</v>
      </c>
      <c r="M8" s="3190">
        <f t="shared" si="1"/>
        <v>2343</v>
      </c>
      <c r="N8" s="3190"/>
      <c r="O8" s="3190">
        <v>54.55</v>
      </c>
      <c r="P8" s="3190" t="s">
        <v>3032</v>
      </c>
      <c r="Q8" s="3190" t="s">
        <v>3028</v>
      </c>
    </row>
    <row r="9" spans="1:17" ht="27">
      <c r="A9" s="3188" t="s">
        <v>3043</v>
      </c>
      <c r="B9" s="3188" t="s">
        <v>3017</v>
      </c>
      <c r="C9" s="3188" t="s">
        <v>3018</v>
      </c>
      <c r="D9" s="3188">
        <v>83186</v>
      </c>
      <c r="E9" s="3188">
        <v>191327.8</v>
      </c>
      <c r="F9" s="3188" t="s">
        <v>3044</v>
      </c>
      <c r="G9" s="3188">
        <f t="shared" si="0"/>
        <v>2.2999999999999998</v>
      </c>
      <c r="H9" s="3188" t="s">
        <v>3020</v>
      </c>
      <c r="I9" s="3188" t="s">
        <v>3031</v>
      </c>
      <c r="J9" s="3188">
        <v>28500</v>
      </c>
      <c r="K9" s="3188">
        <v>59800</v>
      </c>
      <c r="L9" s="3188">
        <v>3125.53</v>
      </c>
      <c r="M9" s="3192">
        <f t="shared" si="1"/>
        <v>1490</v>
      </c>
      <c r="N9" s="3192"/>
      <c r="O9" s="3188">
        <v>109.82</v>
      </c>
      <c r="P9" s="3188" t="s">
        <v>3045</v>
      </c>
      <c r="Q9" s="3188" t="s">
        <v>3023</v>
      </c>
    </row>
    <row r="10" spans="1:17" ht="27">
      <c r="A10" s="3188" t="s">
        <v>3046</v>
      </c>
      <c r="B10" s="3188" t="s">
        <v>3017</v>
      </c>
      <c r="C10" s="3188" t="s">
        <v>3047</v>
      </c>
      <c r="D10" s="3188">
        <v>13259</v>
      </c>
      <c r="E10" s="3188">
        <v>26518</v>
      </c>
      <c r="F10" s="3188" t="s">
        <v>3048</v>
      </c>
      <c r="G10" s="3188">
        <f t="shared" si="0"/>
        <v>2</v>
      </c>
      <c r="H10" s="3188" t="s">
        <v>3020</v>
      </c>
      <c r="I10" s="3188" t="s">
        <v>3049</v>
      </c>
      <c r="J10" s="3188">
        <v>610</v>
      </c>
      <c r="K10" s="3188">
        <v>610</v>
      </c>
      <c r="L10" s="3188">
        <v>230.03</v>
      </c>
      <c r="M10" s="3192">
        <f t="shared" si="1"/>
        <v>230</v>
      </c>
      <c r="N10" s="3192"/>
      <c r="O10" s="3188">
        <v>0</v>
      </c>
      <c r="P10" s="3188" t="s">
        <v>3050</v>
      </c>
      <c r="Q10" s="3188" t="s">
        <v>3036</v>
      </c>
    </row>
    <row r="11" spans="1:17" ht="27">
      <c r="A11" s="3188" t="s">
        <v>3051</v>
      </c>
      <c r="B11" s="3188" t="s">
        <v>3017</v>
      </c>
      <c r="C11" s="3188" t="s">
        <v>3047</v>
      </c>
      <c r="D11" s="3188">
        <v>4701</v>
      </c>
      <c r="E11" s="3188">
        <v>7051.5</v>
      </c>
      <c r="F11" s="3188" t="s">
        <v>3052</v>
      </c>
      <c r="G11" s="3188">
        <f t="shared" si="0"/>
        <v>1.5</v>
      </c>
      <c r="H11" s="3188" t="s">
        <v>3020</v>
      </c>
      <c r="I11" s="3188" t="s">
        <v>3049</v>
      </c>
      <c r="J11" s="3188">
        <v>213</v>
      </c>
      <c r="K11" s="3188">
        <v>213</v>
      </c>
      <c r="L11" s="3188">
        <v>302.06</v>
      </c>
      <c r="M11" s="3192">
        <f t="shared" si="1"/>
        <v>302</v>
      </c>
      <c r="N11" s="3192"/>
      <c r="O11" s="3188">
        <v>0</v>
      </c>
      <c r="P11" s="3188" t="s">
        <v>3053</v>
      </c>
      <c r="Q11" s="3188" t="s">
        <v>3028</v>
      </c>
    </row>
    <row r="12" spans="1:17" ht="27">
      <c r="A12" s="3188" t="s">
        <v>3054</v>
      </c>
      <c r="B12" s="3188" t="s">
        <v>3017</v>
      </c>
      <c r="C12" s="3188" t="s">
        <v>3047</v>
      </c>
      <c r="D12" s="3188">
        <v>24013</v>
      </c>
      <c r="E12" s="3188">
        <v>28815.599999999999</v>
      </c>
      <c r="F12" s="3188" t="s">
        <v>3055</v>
      </c>
      <c r="G12" s="3188">
        <f t="shared" si="0"/>
        <v>1.2</v>
      </c>
      <c r="H12" s="3188" t="s">
        <v>3020</v>
      </c>
      <c r="I12" s="3188" t="s">
        <v>3049</v>
      </c>
      <c r="J12" s="3188">
        <v>1393</v>
      </c>
      <c r="K12" s="3188">
        <v>1393</v>
      </c>
      <c r="L12" s="3188">
        <v>483.42</v>
      </c>
      <c r="M12" s="3192">
        <f t="shared" si="1"/>
        <v>483</v>
      </c>
      <c r="N12" s="3192"/>
      <c r="O12" s="3188">
        <v>0</v>
      </c>
      <c r="P12" s="3188" t="s">
        <v>3056</v>
      </c>
      <c r="Q12" s="3188" t="s">
        <v>3028</v>
      </c>
    </row>
    <row r="13" spans="1:17" ht="27">
      <c r="A13" s="3188" t="s">
        <v>3057</v>
      </c>
      <c r="B13" s="3188" t="s">
        <v>3017</v>
      </c>
      <c r="C13" s="3188" t="s">
        <v>3018</v>
      </c>
      <c r="D13" s="3188">
        <v>49652</v>
      </c>
      <c r="E13" s="3188">
        <v>79443.199999999997</v>
      </c>
      <c r="F13" s="3188" t="s">
        <v>3058</v>
      </c>
      <c r="G13" s="3188">
        <f t="shared" si="0"/>
        <v>1.6</v>
      </c>
      <c r="H13" s="3188" t="s">
        <v>3020</v>
      </c>
      <c r="I13" s="3188" t="s">
        <v>3059</v>
      </c>
      <c r="J13" s="3188">
        <v>8069</v>
      </c>
      <c r="K13" s="3188">
        <v>10270</v>
      </c>
      <c r="L13" s="3188">
        <v>1292.75</v>
      </c>
      <c r="M13" s="3192">
        <f t="shared" si="1"/>
        <v>1016</v>
      </c>
      <c r="N13" s="3192"/>
      <c r="O13" s="3188">
        <v>27.28</v>
      </c>
      <c r="P13" s="3188" t="s">
        <v>3060</v>
      </c>
      <c r="Q13" s="3188" t="s">
        <v>3023</v>
      </c>
    </row>
    <row r="14" spans="1:17" ht="27">
      <c r="A14" s="3188" t="s">
        <v>3061</v>
      </c>
      <c r="B14" s="3188" t="s">
        <v>3017</v>
      </c>
      <c r="C14" s="3188" t="s">
        <v>3018</v>
      </c>
      <c r="D14" s="3188">
        <v>17052</v>
      </c>
      <c r="E14" s="3188">
        <v>37514.400000000001</v>
      </c>
      <c r="F14" s="3188" t="s">
        <v>3062</v>
      </c>
      <c r="G14" s="3188">
        <f t="shared" si="0"/>
        <v>2.2000000000000002</v>
      </c>
      <c r="H14" s="3188" t="s">
        <v>3020</v>
      </c>
      <c r="I14" s="3188" t="s">
        <v>3059</v>
      </c>
      <c r="J14" s="3188">
        <v>3334</v>
      </c>
      <c r="K14" s="3188">
        <v>5020</v>
      </c>
      <c r="L14" s="3188">
        <v>1338.15</v>
      </c>
      <c r="M14" s="3192">
        <f t="shared" si="1"/>
        <v>889</v>
      </c>
      <c r="N14" s="3192"/>
      <c r="O14" s="3188">
        <v>50.57</v>
      </c>
      <c r="P14" s="3188" t="s">
        <v>3063</v>
      </c>
      <c r="Q14" s="3188" t="s">
        <v>3023</v>
      </c>
    </row>
    <row r="15" spans="1:17" ht="27">
      <c r="A15" s="3188" t="s">
        <v>3064</v>
      </c>
      <c r="B15" s="3188" t="s">
        <v>3017</v>
      </c>
      <c r="C15" s="3188" t="s">
        <v>3018</v>
      </c>
      <c r="D15" s="3188">
        <v>63215</v>
      </c>
      <c r="E15" s="3188">
        <v>63215</v>
      </c>
      <c r="F15" s="3188" t="s">
        <v>3065</v>
      </c>
      <c r="G15" s="3188">
        <f t="shared" si="0"/>
        <v>1</v>
      </c>
      <c r="H15" s="3188" t="s">
        <v>3020</v>
      </c>
      <c r="I15" s="3188" t="s">
        <v>3066</v>
      </c>
      <c r="J15" s="3188">
        <v>6290</v>
      </c>
      <c r="K15" s="3188">
        <v>6290</v>
      </c>
      <c r="L15" s="3188">
        <v>995.01</v>
      </c>
      <c r="M15" s="3192">
        <f t="shared" si="1"/>
        <v>995</v>
      </c>
      <c r="N15" s="3192"/>
      <c r="O15" s="3188">
        <v>0</v>
      </c>
      <c r="P15" s="3188" t="s">
        <v>3067</v>
      </c>
      <c r="Q15" s="3188" t="s">
        <v>3036</v>
      </c>
    </row>
    <row r="16" spans="1:17" ht="27">
      <c r="A16" s="3188" t="s">
        <v>3068</v>
      </c>
      <c r="B16" s="3188" t="s">
        <v>3017</v>
      </c>
      <c r="C16" s="3188" t="s">
        <v>3018</v>
      </c>
      <c r="D16" s="3188">
        <v>43105</v>
      </c>
      <c r="E16" s="3188">
        <v>77589</v>
      </c>
      <c r="F16" s="3188" t="s">
        <v>3069</v>
      </c>
      <c r="G16" s="3188">
        <f t="shared" si="0"/>
        <v>1.8</v>
      </c>
      <c r="H16" s="3188" t="s">
        <v>3020</v>
      </c>
      <c r="I16" s="3188" t="s">
        <v>3070</v>
      </c>
      <c r="J16" s="3188">
        <v>5820</v>
      </c>
      <c r="K16" s="3188">
        <v>5820</v>
      </c>
      <c r="L16" s="3188">
        <v>750.11</v>
      </c>
      <c r="M16" s="3192">
        <f t="shared" si="1"/>
        <v>750</v>
      </c>
      <c r="N16" s="3192"/>
      <c r="O16" s="3188">
        <v>0</v>
      </c>
      <c r="P16" s="3188" t="s">
        <v>3071</v>
      </c>
      <c r="Q16" s="3188" t="s">
        <v>3072</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2" t="s">
        <v>522</v>
      </c>
      <c r="D6" s="3383"/>
      <c r="E6" s="3406" t="s">
        <v>523</v>
      </c>
      <c r="F6" s="3407"/>
      <c r="G6" s="3382" t="s">
        <v>524</v>
      </c>
      <c r="H6" s="3383"/>
      <c r="I6" s="3382" t="s">
        <v>525</v>
      </c>
      <c r="J6" s="3383"/>
      <c r="K6" s="514" t="s">
        <v>526</v>
      </c>
      <c r="L6" s="2119"/>
      <c r="M6" s="2120"/>
      <c r="N6" s="2120"/>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29" ht="15">
      <c r="A7" s="515"/>
      <c r="B7" s="516"/>
      <c r="C7" s="3393" t="s">
        <v>2931</v>
      </c>
      <c r="D7" s="3394"/>
      <c r="E7" s="3408" t="s">
        <v>2932</v>
      </c>
      <c r="F7" s="3409"/>
      <c r="G7" s="3393" t="s">
        <v>2933</v>
      </c>
      <c r="H7" s="3394"/>
      <c r="I7" s="3393" t="s">
        <v>2934</v>
      </c>
      <c r="J7" s="3394"/>
      <c r="K7" s="514"/>
      <c r="L7" s="2119"/>
      <c r="M7" s="2120"/>
      <c r="N7" s="2120"/>
      <c r="O7" s="2120"/>
      <c r="P7" s="3386"/>
      <c r="Q7" s="3387"/>
      <c r="R7" s="3372"/>
      <c r="S7" s="3373"/>
      <c r="T7" s="3372"/>
      <c r="U7" s="3373"/>
      <c r="V7" s="3390"/>
      <c r="W7" s="3390"/>
      <c r="X7" s="1554"/>
      <c r="Y7" s="3372"/>
      <c r="Z7" s="3373"/>
      <c r="AA7" s="3366"/>
      <c r="AB7" s="3366"/>
      <c r="AC7" s="3366"/>
    </row>
    <row r="8" spans="1:29" ht="15.75" thickBot="1">
      <c r="A8" s="517"/>
      <c r="B8" s="518"/>
      <c r="C8" s="3391" t="s">
        <v>2935</v>
      </c>
      <c r="D8" s="3392"/>
      <c r="E8" s="3410" t="s">
        <v>2935</v>
      </c>
      <c r="F8" s="3411"/>
      <c r="G8" s="3391" t="s">
        <v>2935</v>
      </c>
      <c r="H8" s="3392"/>
      <c r="I8" s="3391" t="s">
        <v>2935</v>
      </c>
      <c r="J8" s="3392"/>
      <c r="K8" s="514" t="s">
        <v>528</v>
      </c>
      <c r="L8" s="2119"/>
      <c r="M8" s="2120"/>
      <c r="N8" s="2120"/>
      <c r="O8" s="2120"/>
      <c r="P8" s="3388"/>
      <c r="Q8" s="3389"/>
      <c r="R8" s="3372"/>
      <c r="S8" s="3373"/>
      <c r="T8" s="3374"/>
      <c r="U8" s="3375"/>
      <c r="V8" s="3390"/>
      <c r="W8" s="3390"/>
      <c r="X8" s="1554"/>
      <c r="Y8" s="3374"/>
      <c r="Z8" s="3375"/>
      <c r="AA8" s="3367"/>
      <c r="AB8" s="3367"/>
      <c r="AC8" s="3367"/>
    </row>
    <row r="9" spans="1:29" s="1216" customFormat="1" ht="15.75" thickBot="1">
      <c r="A9" s="2868"/>
      <c r="B9" s="2875" t="s">
        <v>529</v>
      </c>
      <c r="C9" s="519">
        <f>'数据-取费表'!B2</f>
        <v>43699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8" t="s">
        <v>530</v>
      </c>
      <c r="Q9" s="3377"/>
      <c r="R9" s="1555" t="s">
        <v>8</v>
      </c>
      <c r="S9" s="1556">
        <f t="shared" ref="S9:S17" si="0">F9</f>
        <v>0</v>
      </c>
      <c r="T9" s="1555" t="s">
        <v>8</v>
      </c>
      <c r="U9" s="1556">
        <f t="shared" ref="U9:U17" si="1">H9</f>
        <v>0</v>
      </c>
      <c r="V9" s="1555" t="s">
        <v>8</v>
      </c>
      <c r="W9" s="1556">
        <f t="shared" ref="W9:W17" si="2">J9</f>
        <v>0</v>
      </c>
      <c r="X9" s="1557"/>
      <c r="Y9" s="3368" t="s">
        <v>530</v>
      </c>
      <c r="Z9" s="3369"/>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8" t="s">
        <v>533</v>
      </c>
      <c r="Q10" s="3369"/>
      <c r="R10" s="1555" t="s">
        <v>8</v>
      </c>
      <c r="S10" s="1556">
        <f t="shared" si="0"/>
        <v>0</v>
      </c>
      <c r="T10" s="1555" t="s">
        <v>8</v>
      </c>
      <c r="U10" s="1556">
        <f t="shared" si="1"/>
        <v>0</v>
      </c>
      <c r="V10" s="1555" t="s">
        <v>8</v>
      </c>
      <c r="W10" s="1556">
        <f t="shared" si="2"/>
        <v>0</v>
      </c>
      <c r="X10" s="1557"/>
      <c r="Y10" s="3368" t="s">
        <v>533</v>
      </c>
      <c r="Z10" s="3369"/>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33"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6"/>
      <c r="Q12" s="1147" t="str">
        <f t="shared" si="6"/>
        <v>土地使用年限（年）</v>
      </c>
      <c r="R12" s="1555" t="s">
        <v>8</v>
      </c>
      <c r="S12" s="1556">
        <f t="shared" si="0"/>
        <v>103</v>
      </c>
      <c r="T12" s="1555" t="s">
        <v>8</v>
      </c>
      <c r="U12" s="1556">
        <f t="shared" si="1"/>
        <v>103</v>
      </c>
      <c r="V12" s="1555" t="s">
        <v>8</v>
      </c>
      <c r="W12" s="1556">
        <f t="shared" si="2"/>
        <v>103</v>
      </c>
      <c r="X12" s="1557"/>
      <c r="Y12" s="3333"/>
      <c r="Z12" s="1146" t="str">
        <f t="shared" si="7"/>
        <v>土地使用年限（年）</v>
      </c>
      <c r="AA12" s="1558">
        <f t="shared" si="3"/>
        <v>0.970873786407767</v>
      </c>
      <c r="AB12" s="1558">
        <f t="shared" si="4"/>
        <v>0.970873786407767</v>
      </c>
      <c r="AC12" s="1558">
        <f t="shared" si="5"/>
        <v>0.970873786407767</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6"/>
      <c r="Q13" s="1147" t="str">
        <f t="shared" si="6"/>
        <v>容积率</v>
      </c>
      <c r="R13" s="1555" t="s">
        <v>8</v>
      </c>
      <c r="S13" s="1556" t="e">
        <f t="shared" si="0"/>
        <v>#N/A</v>
      </c>
      <c r="T13" s="1555" t="s">
        <v>8</v>
      </c>
      <c r="U13" s="1556" t="e">
        <f t="shared" si="1"/>
        <v>#N/A</v>
      </c>
      <c r="V13" s="1555" t="s">
        <v>8</v>
      </c>
      <c r="W13" s="1556" t="e">
        <f t="shared" si="2"/>
        <v>#N/A</v>
      </c>
      <c r="X13" s="1557"/>
      <c r="Y13" s="333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8" t="s">
        <v>540</v>
      </c>
      <c r="Q17" s="1559" t="str">
        <f t="shared" si="6"/>
        <v>产业集聚程度</v>
      </c>
      <c r="R17" s="1560" t="s">
        <v>8</v>
      </c>
      <c r="S17" s="1561">
        <f t="shared" si="0"/>
        <v>100</v>
      </c>
      <c r="T17" s="1560" t="s">
        <v>8</v>
      </c>
      <c r="U17" s="1561">
        <f t="shared" si="1"/>
        <v>100</v>
      </c>
      <c r="V17" s="1560" t="s">
        <v>8</v>
      </c>
      <c r="W17" s="1561">
        <f t="shared" si="2"/>
        <v>100</v>
      </c>
      <c r="X17" s="1554"/>
      <c r="Y17" s="337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9"/>
      <c r="Q18" s="1559"/>
      <c r="R18" s="1560"/>
      <c r="S18" s="1561"/>
      <c r="T18" s="1560"/>
      <c r="U18" s="1561"/>
      <c r="V18" s="1560"/>
      <c r="W18" s="1561"/>
      <c r="X18" s="1554"/>
      <c r="Y18" s="337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9"/>
      <c r="Q19" s="1559" t="str">
        <f>B19</f>
        <v>交通便捷度</v>
      </c>
      <c r="R19" s="1560" t="s">
        <v>8</v>
      </c>
      <c r="S19" s="1561">
        <f>F19</f>
        <v>100</v>
      </c>
      <c r="T19" s="1560" t="s">
        <v>8</v>
      </c>
      <c r="U19" s="1561">
        <f>H19</f>
        <v>100</v>
      </c>
      <c r="V19" s="1560" t="s">
        <v>8</v>
      </c>
      <c r="W19" s="1561">
        <f>J19</f>
        <v>100</v>
      </c>
      <c r="X19" s="1554"/>
      <c r="Y19" s="337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9"/>
      <c r="Q21" s="1559" t="str">
        <f t="shared" ref="Q21:Q35" si="8">B21</f>
        <v>区域土地利用方向</v>
      </c>
      <c r="R21" s="1560" t="s">
        <v>8</v>
      </c>
      <c r="S21" s="1561">
        <f>F21</f>
        <v>100</v>
      </c>
      <c r="T21" s="1560" t="s">
        <v>8</v>
      </c>
      <c r="U21" s="1561">
        <f>H21</f>
        <v>100</v>
      </c>
      <c r="V21" s="1560" t="s">
        <v>8</v>
      </c>
      <c r="W21" s="1561">
        <f>J21</f>
        <v>100</v>
      </c>
      <c r="X21" s="1554"/>
      <c r="Y21" s="337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9"/>
      <c r="Q22" s="1559"/>
      <c r="R22" s="1560"/>
      <c r="S22" s="1561"/>
      <c r="T22" s="1560"/>
      <c r="U22" s="1561"/>
      <c r="V22" s="1560"/>
      <c r="W22" s="1561"/>
      <c r="X22" s="1554"/>
      <c r="Y22" s="337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9"/>
      <c r="Q23" s="1559" t="str">
        <f t="shared" si="8"/>
        <v>环境状况</v>
      </c>
      <c r="R23" s="1560" t="s">
        <v>8</v>
      </c>
      <c r="S23" s="1561">
        <f>F23</f>
        <v>100</v>
      </c>
      <c r="T23" s="1560" t="s">
        <v>8</v>
      </c>
      <c r="U23" s="1561">
        <f>H23</f>
        <v>100</v>
      </c>
      <c r="V23" s="1560" t="s">
        <v>8</v>
      </c>
      <c r="W23" s="1561">
        <f>J23</f>
        <v>100</v>
      </c>
      <c r="X23" s="1554"/>
      <c r="Y23" s="337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9"/>
      <c r="Q24" s="1559"/>
      <c r="R24" s="1560"/>
      <c r="S24" s="1561"/>
      <c r="T24" s="1560"/>
      <c r="U24" s="1561"/>
      <c r="V24" s="1560"/>
      <c r="W24" s="1561"/>
      <c r="X24" s="1554"/>
      <c r="Y24" s="3379"/>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9"/>
      <c r="Q25" s="1147" t="str">
        <f t="shared" si="8"/>
        <v>公共配套设施</v>
      </c>
      <c r="R25" s="1555" t="s">
        <v>8</v>
      </c>
      <c r="S25" s="1556">
        <f>F25</f>
        <v>100</v>
      </c>
      <c r="T25" s="1555" t="s">
        <v>8</v>
      </c>
      <c r="U25" s="1556">
        <f>H25</f>
        <v>100</v>
      </c>
      <c r="V25" s="1555" t="s">
        <v>8</v>
      </c>
      <c r="W25" s="1556">
        <f>J25</f>
        <v>100</v>
      </c>
      <c r="X25" s="1557"/>
      <c r="Y25" s="337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9"/>
      <c r="Q26" s="1147"/>
      <c r="R26" s="1555"/>
      <c r="S26" s="1556"/>
      <c r="T26" s="1555"/>
      <c r="U26" s="1556"/>
      <c r="V26" s="1555"/>
      <c r="W26" s="1556"/>
      <c r="X26" s="1557"/>
      <c r="Y26" s="3379"/>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9"/>
      <c r="Q27" s="2543" t="str">
        <f>B27</f>
        <v>基础设施水平</v>
      </c>
      <c r="R27" s="1555" t="s">
        <v>8</v>
      </c>
      <c r="S27" s="1556">
        <f>F27</f>
        <v>100</v>
      </c>
      <c r="T27" s="1555" t="s">
        <v>8</v>
      </c>
      <c r="U27" s="1556">
        <f>H27</f>
        <v>100</v>
      </c>
      <c r="V27" s="1555" t="s">
        <v>8</v>
      </c>
      <c r="W27" s="1556">
        <f>J27</f>
        <v>100</v>
      </c>
      <c r="X27" s="1557"/>
      <c r="Y27" s="337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9"/>
      <c r="Q28" s="2543"/>
      <c r="R28" s="1555"/>
      <c r="S28" s="1556"/>
      <c r="T28" s="1555"/>
      <c r="U28" s="1556"/>
      <c r="V28" s="1555"/>
      <c r="W28" s="1556"/>
      <c r="X28" s="1557"/>
      <c r="Y28" s="337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9"/>
      <c r="Q29" s="1559" t="str">
        <f t="shared" si="8"/>
        <v>临街状况</v>
      </c>
      <c r="R29" s="1560" t="s">
        <v>8</v>
      </c>
      <c r="S29" s="1561">
        <f t="shared" ref="S29:S42" si="9">F29</f>
        <v>100</v>
      </c>
      <c r="T29" s="1560" t="s">
        <v>8</v>
      </c>
      <c r="U29" s="1561">
        <f t="shared" ref="U29:U42" si="10">H29</f>
        <v>100</v>
      </c>
      <c r="V29" s="1560" t="s">
        <v>8</v>
      </c>
      <c r="W29" s="1561">
        <f t="shared" ref="W29:W42" si="11">J29</f>
        <v>100</v>
      </c>
      <c r="X29" s="1554"/>
      <c r="Y29" s="3379"/>
      <c r="Z29" s="1562" t="str">
        <f t="shared" ref="Z29:Z42" si="12">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9"/>
      <c r="Q30" s="1559" t="str">
        <f t="shared" si="8"/>
        <v>毗邻道路的类型与等级</v>
      </c>
      <c r="R30" s="1560" t="s">
        <v>8</v>
      </c>
      <c r="S30" s="1561">
        <f t="shared" si="9"/>
        <v>100</v>
      </c>
      <c r="T30" s="1560" t="s">
        <v>8</v>
      </c>
      <c r="U30" s="1561">
        <f t="shared" si="10"/>
        <v>100</v>
      </c>
      <c r="V30" s="1560" t="s">
        <v>8</v>
      </c>
      <c r="W30" s="1561">
        <f t="shared" si="11"/>
        <v>100</v>
      </c>
      <c r="X30" s="1554"/>
      <c r="Y30" s="3379"/>
      <c r="Z30" s="1562" t="str">
        <f t="shared" si="12"/>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9"/>
      <c r="Q31" s="1559"/>
      <c r="R31" s="1560"/>
      <c r="S31" s="1561"/>
      <c r="T31" s="1560"/>
      <c r="U31" s="1561"/>
      <c r="V31" s="1560"/>
      <c r="W31" s="1561"/>
      <c r="X31" s="1554"/>
      <c r="Y31" s="337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9"/>
      <c r="Q32" s="1559" t="str">
        <f t="shared" si="8"/>
        <v>土地级别</v>
      </c>
      <c r="R32" s="1560" t="s">
        <v>8</v>
      </c>
      <c r="S32" s="1561">
        <f t="shared" si="9"/>
        <v>100</v>
      </c>
      <c r="T32" s="1560" t="s">
        <v>8</v>
      </c>
      <c r="U32" s="1561">
        <f t="shared" si="10"/>
        <v>100</v>
      </c>
      <c r="V32" s="1560" t="s">
        <v>8</v>
      </c>
      <c r="W32" s="1561">
        <f t="shared" si="11"/>
        <v>100</v>
      </c>
      <c r="X32" s="1554"/>
      <c r="Y32" s="3379"/>
      <c r="Z32" s="1562" t="str">
        <f t="shared" si="12"/>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9"/>
      <c r="Q33" s="1559">
        <f t="shared" si="8"/>
        <v>111</v>
      </c>
      <c r="R33" s="1560" t="s">
        <v>8</v>
      </c>
      <c r="S33" s="1561">
        <f t="shared" si="9"/>
        <v>100</v>
      </c>
      <c r="T33" s="1560" t="s">
        <v>8</v>
      </c>
      <c r="U33" s="1561">
        <f t="shared" si="10"/>
        <v>100</v>
      </c>
      <c r="V33" s="1560" t="s">
        <v>8</v>
      </c>
      <c r="W33" s="1561">
        <f t="shared" si="11"/>
        <v>100</v>
      </c>
      <c r="X33" s="1554"/>
      <c r="Y33" s="3379"/>
      <c r="Z33" s="1562">
        <f t="shared" si="12"/>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0" t="s">
        <v>550</v>
      </c>
      <c r="Q34" s="1559">
        <f t="shared" si="8"/>
        <v>111</v>
      </c>
      <c r="R34" s="1560" t="s">
        <v>8</v>
      </c>
      <c r="S34" s="1561">
        <f t="shared" si="9"/>
        <v>100</v>
      </c>
      <c r="T34" s="1560" t="s">
        <v>8</v>
      </c>
      <c r="U34" s="1561">
        <f t="shared" si="10"/>
        <v>100</v>
      </c>
      <c r="V34" s="1560" t="s">
        <v>8</v>
      </c>
      <c r="W34" s="1561">
        <f t="shared" si="11"/>
        <v>100</v>
      </c>
      <c r="X34" s="1554"/>
      <c r="Y34" s="3381" t="s">
        <v>550</v>
      </c>
      <c r="Z34" s="1562">
        <f t="shared" si="12"/>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1"/>
      <c r="Q35" s="1559">
        <f t="shared" si="8"/>
        <v>111</v>
      </c>
      <c r="R35" s="1564" t="s">
        <v>8</v>
      </c>
      <c r="S35" s="1565">
        <f t="shared" si="9"/>
        <v>100</v>
      </c>
      <c r="T35" s="1564" t="s">
        <v>8</v>
      </c>
      <c r="U35" s="1565">
        <f t="shared" si="10"/>
        <v>100</v>
      </c>
      <c r="V35" s="1564" t="s">
        <v>8</v>
      </c>
      <c r="W35" s="1565">
        <f t="shared" si="11"/>
        <v>100</v>
      </c>
      <c r="X35" s="1566"/>
      <c r="Y35" s="3381"/>
      <c r="Z35" s="1567">
        <f t="shared" si="12"/>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1"/>
      <c r="Q36" s="1559" t="str">
        <f>B36</f>
        <v>宗地面积</v>
      </c>
      <c r="R36" s="1560" t="s">
        <v>8</v>
      </c>
      <c r="S36" s="1561" t="e">
        <f t="shared" si="9"/>
        <v>#N/A</v>
      </c>
      <c r="T36" s="1560" t="s">
        <v>8</v>
      </c>
      <c r="U36" s="1561" t="e">
        <f t="shared" si="10"/>
        <v>#N/A</v>
      </c>
      <c r="V36" s="1560" t="s">
        <v>8</v>
      </c>
      <c r="W36" s="1561" t="e">
        <f t="shared" si="11"/>
        <v>#N/A</v>
      </c>
      <c r="X36" s="1554"/>
      <c r="Y36" s="3381"/>
      <c r="Z36" s="1562" t="str">
        <f t="shared" si="12"/>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1"/>
      <c r="Q37" s="1559" t="str">
        <f t="shared" ref="Q37:Q42" si="13">B37</f>
        <v>宗地形状</v>
      </c>
      <c r="R37" s="1560" t="s">
        <v>8</v>
      </c>
      <c r="S37" s="1561">
        <f t="shared" si="9"/>
        <v>100</v>
      </c>
      <c r="T37" s="1560" t="s">
        <v>8</v>
      </c>
      <c r="U37" s="1561">
        <f t="shared" si="10"/>
        <v>100</v>
      </c>
      <c r="V37" s="1560" t="s">
        <v>8</v>
      </c>
      <c r="W37" s="1561">
        <f t="shared" si="11"/>
        <v>100</v>
      </c>
      <c r="X37" s="1554"/>
      <c r="Y37" s="3381"/>
      <c r="Z37" s="1562" t="str">
        <f t="shared" si="12"/>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1"/>
      <c r="Q38" s="1559" t="str">
        <f t="shared" si="13"/>
        <v>宗地开发程度</v>
      </c>
      <c r="R38" s="1555" t="s">
        <v>8</v>
      </c>
      <c r="S38" s="1556">
        <f t="shared" si="9"/>
        <v>100</v>
      </c>
      <c r="T38" s="1555" t="s">
        <v>8</v>
      </c>
      <c r="U38" s="1556">
        <f t="shared" si="10"/>
        <v>100</v>
      </c>
      <c r="V38" s="1555" t="s">
        <v>8</v>
      </c>
      <c r="W38" s="1556">
        <f t="shared" si="11"/>
        <v>100</v>
      </c>
      <c r="X38" s="1557"/>
      <c r="Y38" s="3381"/>
      <c r="Z38" s="1146" t="str">
        <f t="shared" si="12"/>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t="s">
        <v>601</v>
      </c>
      <c r="Q39" s="1559" t="str">
        <f t="shared" si="13"/>
        <v>工程地质条件</v>
      </c>
      <c r="R39" s="1560" t="s">
        <v>8</v>
      </c>
      <c r="S39" s="1561">
        <f t="shared" si="9"/>
        <v>100</v>
      </c>
      <c r="T39" s="1560" t="s">
        <v>8</v>
      </c>
      <c r="U39" s="1561">
        <f t="shared" si="10"/>
        <v>100</v>
      </c>
      <c r="V39" s="1560" t="s">
        <v>8</v>
      </c>
      <c r="W39" s="1561">
        <f t="shared" si="11"/>
        <v>100</v>
      </c>
      <c r="X39" s="1554"/>
      <c r="Y39" s="3381" t="s">
        <v>601</v>
      </c>
      <c r="Z39" s="1562" t="str">
        <f t="shared" si="12"/>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1"/>
      <c r="Q40" s="1559">
        <f t="shared" si="13"/>
        <v>111</v>
      </c>
      <c r="R40" s="1560" t="s">
        <v>8</v>
      </c>
      <c r="S40" s="1561">
        <f t="shared" si="9"/>
        <v>100</v>
      </c>
      <c r="T40" s="1560" t="s">
        <v>8</v>
      </c>
      <c r="U40" s="1561">
        <f t="shared" si="10"/>
        <v>100</v>
      </c>
      <c r="V40" s="1560" t="s">
        <v>8</v>
      </c>
      <c r="W40" s="1561">
        <f t="shared" si="11"/>
        <v>100</v>
      </c>
      <c r="X40" s="1554"/>
      <c r="Y40" s="3381"/>
      <c r="Z40" s="1562">
        <f t="shared" si="12"/>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1"/>
      <c r="Q41" s="1559">
        <f t="shared" si="13"/>
        <v>111</v>
      </c>
      <c r="R41" s="1560" t="s">
        <v>8</v>
      </c>
      <c r="S41" s="1561">
        <f t="shared" si="9"/>
        <v>100</v>
      </c>
      <c r="T41" s="1560" t="s">
        <v>8</v>
      </c>
      <c r="U41" s="1561">
        <f t="shared" si="10"/>
        <v>100</v>
      </c>
      <c r="V41" s="1560" t="s">
        <v>8</v>
      </c>
      <c r="W41" s="1561">
        <f t="shared" si="11"/>
        <v>100</v>
      </c>
      <c r="X41" s="1554"/>
      <c r="Y41" s="3381"/>
      <c r="Z41" s="1562">
        <f t="shared" si="12"/>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1"/>
      <c r="Q42" s="1559">
        <f t="shared" si="13"/>
        <v>111</v>
      </c>
      <c r="R42" s="1564" t="s">
        <v>8</v>
      </c>
      <c r="S42" s="1565">
        <f t="shared" si="9"/>
        <v>100</v>
      </c>
      <c r="T42" s="1564" t="s">
        <v>8</v>
      </c>
      <c r="U42" s="1565">
        <f t="shared" si="10"/>
        <v>100</v>
      </c>
      <c r="V42" s="1564" t="s">
        <v>8</v>
      </c>
      <c r="W42" s="1565">
        <f t="shared" si="11"/>
        <v>100</v>
      </c>
      <c r="X42" s="1566"/>
      <c r="Y42" s="3381"/>
      <c r="Z42" s="1567">
        <f t="shared" si="12"/>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6" t="str">
        <f>A43</f>
        <v>成交单价</v>
      </c>
      <c r="Q43" s="3376"/>
      <c r="R43" s="3390">
        <f>E43</f>
        <v>0</v>
      </c>
      <c r="S43" s="3390"/>
      <c r="T43" s="3390">
        <f>G43</f>
        <v>0</v>
      </c>
      <c r="U43" s="3390"/>
      <c r="V43" s="3390">
        <f>I43</f>
        <v>0</v>
      </c>
      <c r="W43" s="339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6" t="str">
        <f>A44</f>
        <v>比较价格（元/平方米）</v>
      </c>
      <c r="Q44" s="3376"/>
      <c r="R44" s="3400" t="e">
        <f>ROUND(PRODUCT(R43,AA9:AA42),0)</f>
        <v>#DIV/0!</v>
      </c>
      <c r="S44" s="3400"/>
      <c r="T44" s="3400" t="e">
        <f>ROUND(PRODUCT(T43,AB9:AB42),0)</f>
        <v>#DIV/0!</v>
      </c>
      <c r="U44" s="3400"/>
      <c r="V44" s="3400" t="e">
        <f>ROUND(PRODUCT(V43,AC9:AC42),0)</f>
        <v>#DIV/0!</v>
      </c>
      <c r="W44" s="3400"/>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1" t="s">
        <v>2284</v>
      </c>
      <c r="H52" s="3402"/>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28000</v>
      </c>
      <c r="F53" s="1936" t="e">
        <f t="shared" ref="F53:F62" si="14">ROUND(B53*E53/10000,0)</f>
        <v>#DIV/0!</v>
      </c>
      <c r="G53" s="3403"/>
      <c r="H53" s="340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5">IF($C$52="北京市系数",I54,J54)</f>
        <v>0</v>
      </c>
      <c r="D54" s="2215">
        <v>0.25</v>
      </c>
      <c r="E54" s="639"/>
      <c r="F54" s="1936" t="e">
        <f t="shared" si="14"/>
        <v>#DIV/0!</v>
      </c>
      <c r="G54" s="3405"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6">ROUND($C$45*C55*D55,0)</f>
        <v>#DIV/0!</v>
      </c>
      <c r="C55" s="378">
        <f t="shared" si="15"/>
        <v>0</v>
      </c>
      <c r="D55" s="2215">
        <v>0.25</v>
      </c>
      <c r="E55" s="639"/>
      <c r="F55" s="1936" t="e">
        <f t="shared" si="14"/>
        <v>#DIV/0!</v>
      </c>
      <c r="G55" s="340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6"/>
        <v>#DIV/0!</v>
      </c>
      <c r="C56" s="378">
        <f t="shared" si="15"/>
        <v>0</v>
      </c>
      <c r="D56" s="2215">
        <v>0.25</v>
      </c>
      <c r="E56" s="639"/>
      <c r="F56" s="1936" t="e">
        <f t="shared" si="14"/>
        <v>#DIV/0!</v>
      </c>
      <c r="G56" s="340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6"/>
        <v>#DIV/0!</v>
      </c>
      <c r="C57" s="378">
        <f t="shared" si="15"/>
        <v>0</v>
      </c>
      <c r="D57" s="2215">
        <v>0.25</v>
      </c>
      <c r="E57" s="639"/>
      <c r="F57" s="1936" t="e">
        <f t="shared" si="14"/>
        <v>#DIV/0!</v>
      </c>
      <c r="G57" s="340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6"/>
        <v>#DIV/0!</v>
      </c>
      <c r="C58" s="378">
        <f t="shared" si="15"/>
        <v>0</v>
      </c>
      <c r="D58" s="2215">
        <v>0.25</v>
      </c>
      <c r="E58" s="641">
        <f>'数据-汇总表'!E11</f>
        <v>0</v>
      </c>
      <c r="F58" s="1936" t="e">
        <f t="shared" si="14"/>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6"/>
        <v>#DIV/0!</v>
      </c>
      <c r="C59" s="378">
        <f t="shared" si="15"/>
        <v>0</v>
      </c>
      <c r="D59" s="2215">
        <v>0.25</v>
      </c>
      <c r="E59" s="641">
        <f>'数据-汇总表'!E12</f>
        <v>0</v>
      </c>
      <c r="F59" s="1936" t="e">
        <f t="shared" si="14"/>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6"/>
        <v>#DIV/0!</v>
      </c>
      <c r="C60" s="378">
        <f t="shared" si="15"/>
        <v>0</v>
      </c>
      <c r="D60" s="2215">
        <v>0.25</v>
      </c>
      <c r="E60" s="641">
        <f>'数据-汇总表'!E13</f>
        <v>0</v>
      </c>
      <c r="F60" s="1936" t="e">
        <f t="shared" si="14"/>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6"/>
        <v>#DIV/0!</v>
      </c>
      <c r="C61" s="378">
        <f t="shared" si="15"/>
        <v>0</v>
      </c>
      <c r="D61" s="2215">
        <v>0.25</v>
      </c>
      <c r="E61" s="641">
        <f>'数据-汇总表'!E14</f>
        <v>0</v>
      </c>
      <c r="F61" s="1936" t="e">
        <f t="shared" si="14"/>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6"/>
        <v>#DIV/0!</v>
      </c>
      <c r="C62" s="378">
        <f t="shared" si="15"/>
        <v>0</v>
      </c>
      <c r="D62" s="2215">
        <v>0.25</v>
      </c>
      <c r="E62" s="641">
        <f>'数据-汇总表'!E15</f>
        <v>0</v>
      </c>
      <c r="F62" s="1936" t="e">
        <f t="shared" si="14"/>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20000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7">EDATE(D65,-3)</f>
        <v>43497</v>
      </c>
      <c r="F65" s="2755">
        <f t="shared" si="17"/>
        <v>43405</v>
      </c>
      <c r="G65" s="2755">
        <f t="shared" si="17"/>
        <v>43313</v>
      </c>
      <c r="H65" s="2755">
        <f t="shared" si="17"/>
        <v>43221</v>
      </c>
      <c r="I65" s="2755">
        <f t="shared" si="17"/>
        <v>43132</v>
      </c>
      <c r="J65" s="2755">
        <f t="shared" si="17"/>
        <v>43040</v>
      </c>
      <c r="K65" s="2755">
        <f t="shared" si="17"/>
        <v>42948</v>
      </c>
      <c r="L65" s="2755">
        <f t="shared" si="17"/>
        <v>42856</v>
      </c>
      <c r="M65" s="2755">
        <f t="shared" si="17"/>
        <v>42767</v>
      </c>
      <c r="N65" s="2755">
        <f t="shared" si="17"/>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8">YEAR(D65)&amp;"-"&amp;ROUNDUP(MONTH(D65)/3,0)</f>
        <v>2019-2</v>
      </c>
      <c r="E67" s="2757" t="str">
        <f t="shared" si="18"/>
        <v>2019-1</v>
      </c>
      <c r="F67" s="2757" t="str">
        <f t="shared" si="18"/>
        <v>2018-4</v>
      </c>
      <c r="G67" s="2757" t="str">
        <f t="shared" si="18"/>
        <v>2018-3</v>
      </c>
      <c r="H67" s="2757" t="str">
        <f t="shared" si="18"/>
        <v>2018-2</v>
      </c>
      <c r="I67" s="2757" t="str">
        <f t="shared" si="18"/>
        <v>2018-1</v>
      </c>
      <c r="J67" s="2757" t="str">
        <f t="shared" si="18"/>
        <v>2017-4</v>
      </c>
      <c r="K67" s="2757" t="str">
        <f t="shared" si="18"/>
        <v>2017-3</v>
      </c>
      <c r="L67" s="2757" t="str">
        <f t="shared" si="18"/>
        <v>2017-2</v>
      </c>
      <c r="M67" s="2757" t="str">
        <f t="shared" si="18"/>
        <v>2017-1</v>
      </c>
      <c r="N67" s="2757" t="str">
        <f t="shared" si="18"/>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5" t="str">
        <f t="shared" si="24"/>
        <v>(含)-</v>
      </c>
      <c r="L109" s="3046" t="str">
        <f t="shared" si="24"/>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4" t="s">
        <v>2783</v>
      </c>
      <c r="X8" s="3425"/>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3"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3"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3"/>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5"/>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5"/>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6"/>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3" t="s">
        <v>1838</v>
      </c>
      <c r="B16" s="1424" t="s">
        <v>950</v>
      </c>
      <c r="C16" s="1052" t="e">
        <f>ROUND(IF(F17="与级别开发程度一致",0,(G17-E17)/C17),0)</f>
        <v>#DIV/0!</v>
      </c>
      <c r="D16" s="3431" t="s">
        <v>954</v>
      </c>
      <c r="E16" s="3432"/>
      <c r="F16" s="3431" t="s">
        <v>951</v>
      </c>
      <c r="G16" s="3432"/>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7"/>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43699</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0" t="s">
        <v>2962</v>
      </c>
      <c r="B33" s="1512" t="s">
        <v>999</v>
      </c>
      <c r="C33" s="1059" t="e">
        <f>ROUND(D5*C19*C20*C24*F33,0)</f>
        <v>#DIV/0!</v>
      </c>
      <c r="D33" s="1525"/>
      <c r="E33" s="1048" t="e">
        <f>ROUND(C33*D33/10000,0)</f>
        <v>#DIV/0!</v>
      </c>
      <c r="F33" s="1048">
        <f>SUMIF(修正!A45:A56,G2,修正!B45:B56)</f>
        <v>0</v>
      </c>
      <c r="G33" s="1048" t="e">
        <f>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1"/>
      <c r="B34" s="1442" t="s">
        <v>1000</v>
      </c>
      <c r="C34" s="1059" t="e">
        <f>ROUND(D5*C19*C20*C24*F34,0)</f>
        <v>#DIV/0!</v>
      </c>
      <c r="D34" s="1525"/>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1"/>
      <c r="B35" s="1442" t="s">
        <v>1001</v>
      </c>
      <c r="C35" s="1059" t="e">
        <f>ROUND(D5*C19*C20*C24*F35,0)</f>
        <v>#DIV/0!</v>
      </c>
      <c r="D35" s="1525"/>
      <c r="E35" s="1048" t="e">
        <f t="shared" si="6"/>
        <v>#DIV/0!</v>
      </c>
      <c r="F35" s="1048">
        <f>SUMIF(修正!A45:A56,G2,修正!D45:D56)</f>
        <v>0</v>
      </c>
      <c r="G35" s="1048" t="e">
        <f>ROUND(IF(E2="工业",C35*$M$39,C35*$M$38),0)</f>
        <v>#DIV/0!</v>
      </c>
      <c r="H35" s="1048">
        <f t="shared" si="7"/>
        <v>0</v>
      </c>
      <c r="I35" s="1048" t="e">
        <f t="shared" si="8"/>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2"/>
      <c r="B36" s="1442" t="s">
        <v>1002</v>
      </c>
      <c r="C36" s="1059" t="e">
        <f>ROUND(D5*C19*C20*C24*F36,0)</f>
        <v>#DIV/0!</v>
      </c>
      <c r="D36" s="1525"/>
      <c r="E36" s="1048" t="e">
        <f t="shared" si="6"/>
        <v>#DIV/0!</v>
      </c>
      <c r="F36" s="1048">
        <f>SUMIF(修正!A45:A56,G2,修正!E45:E56)</f>
        <v>0</v>
      </c>
      <c r="G36" s="1048" t="e">
        <f>ROUND(IF(E2="工业",C36*$M$39,C36*$M$38),0)</f>
        <v>#DIV/0!</v>
      </c>
      <c r="H36" s="1048">
        <f t="shared" si="7"/>
        <v>0</v>
      </c>
      <c r="I36" s="1048" t="e">
        <f t="shared" si="8"/>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6"/>
        <v>#DIV/0!</v>
      </c>
      <c r="F37" s="1059">
        <f>SUMIF(修正!A45:A56,G2,修正!F45:F56)</f>
        <v>0</v>
      </c>
      <c r="G37" s="1048" t="e">
        <f>ROUND(IF(E2="工业",C37*$M$39,C37*$M$38),0)</f>
        <v>#DIV/0!</v>
      </c>
      <c r="H37" s="1048">
        <f t="shared" si="7"/>
        <v>0</v>
      </c>
      <c r="I37" s="1048" t="e">
        <f t="shared" si="8"/>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6"/>
        <v>#DIV/0!</v>
      </c>
      <c r="F38" s="1059">
        <f>SUMIF(修正!A45:A56,G2,修正!G45:G56)</f>
        <v>0</v>
      </c>
      <c r="G38" s="1048" t="e">
        <f>ROUND(IF(E2="工业",C38*$M$39,C38*$M$38),0)</f>
        <v>#DIV/0!</v>
      </c>
      <c r="H38" s="1048">
        <f t="shared" si="7"/>
        <v>0</v>
      </c>
      <c r="I38" s="1048" t="e">
        <f t="shared" si="8"/>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6"/>
        <v>#DIV/0!</v>
      </c>
      <c r="F39" s="1061">
        <f>SUMIF(修正!A45:A56,G2,修正!H45:H56)</f>
        <v>0</v>
      </c>
      <c r="G39" s="1051" t="e">
        <f>ROUND(IF(E2="工业",C39*$M$39,C39*$M$38),0)</f>
        <v>#DIV/0!</v>
      </c>
      <c r="H39" s="1051">
        <f t="shared" si="7"/>
        <v>0</v>
      </c>
      <c r="I39" s="1051" t="e">
        <f t="shared" si="8"/>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9">SUMIF($J$46:$N$46,C47,J47:N47)</f>
        <v>0</v>
      </c>
      <c r="E47" s="2401">
        <f>ROUND(SUM(D47:D55),4)</f>
        <v>0</v>
      </c>
      <c r="F47" s="2402" t="str">
        <f>IF(E2="商业",SUMIF(L1:L12,G2,N1:N12),"——")</f>
        <v>——</v>
      </c>
      <c r="G47" s="2380"/>
      <c r="H47" s="2426" t="str">
        <f t="shared" ref="H47:H55" si="10">IFERROR(ROUNDDOWN(($F$47*I47/2),4),"——")</f>
        <v>——</v>
      </c>
      <c r="I47" s="2400">
        <v>0.33</v>
      </c>
      <c r="J47" s="2403">
        <f t="shared" ref="J47:J55" si="11">K47+$G47</f>
        <v>0</v>
      </c>
      <c r="K47" s="2403">
        <f t="shared" ref="K47:K55" si="12">$L47+$G47</f>
        <v>0</v>
      </c>
      <c r="L47" s="2403">
        <v>0</v>
      </c>
      <c r="M47" s="2403">
        <f t="shared" ref="M47:N55" si="13">L47-$G47</f>
        <v>0</v>
      </c>
      <c r="N47" s="2403">
        <f t="shared" si="13"/>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9"/>
        <v>0</v>
      </c>
      <c r="E48" s="2404"/>
      <c r="F48" s="2402"/>
      <c r="G48" s="2380"/>
      <c r="H48" s="2426" t="str">
        <f t="shared" si="10"/>
        <v>——</v>
      </c>
      <c r="I48" s="2400">
        <v>0.25</v>
      </c>
      <c r="J48" s="2403">
        <f t="shared" si="11"/>
        <v>0</v>
      </c>
      <c r="K48" s="2403">
        <f t="shared" si="12"/>
        <v>0</v>
      </c>
      <c r="L48" s="2403">
        <v>0</v>
      </c>
      <c r="M48" s="2403">
        <f t="shared" si="13"/>
        <v>0</v>
      </c>
      <c r="N48" s="2403">
        <f t="shared" si="13"/>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9"/>
        <v>0</v>
      </c>
      <c r="E49" s="2404"/>
      <c r="F49" s="2402"/>
      <c r="G49" s="2380"/>
      <c r="H49" s="2426" t="str">
        <f t="shared" si="10"/>
        <v>——</v>
      </c>
      <c r="I49" s="2400">
        <v>0.05</v>
      </c>
      <c r="J49" s="2403">
        <f t="shared" si="11"/>
        <v>0</v>
      </c>
      <c r="K49" s="2403">
        <f t="shared" si="12"/>
        <v>0</v>
      </c>
      <c r="L49" s="2403">
        <v>0</v>
      </c>
      <c r="M49" s="2403">
        <f t="shared" si="13"/>
        <v>0</v>
      </c>
      <c r="N49" s="2403">
        <f t="shared" si="13"/>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9"/>
        <v>0</v>
      </c>
      <c r="E50" s="2404"/>
      <c r="F50" s="2402"/>
      <c r="G50" s="2380"/>
      <c r="H50" s="2426" t="str">
        <f t="shared" si="10"/>
        <v>——</v>
      </c>
      <c r="I50" s="2400">
        <v>0.05</v>
      </c>
      <c r="J50" s="2403">
        <f t="shared" si="11"/>
        <v>0</v>
      </c>
      <c r="K50" s="2403">
        <f t="shared" si="12"/>
        <v>0</v>
      </c>
      <c r="L50" s="2403">
        <v>0</v>
      </c>
      <c r="M50" s="2403">
        <f t="shared" si="13"/>
        <v>0</v>
      </c>
      <c r="N50" s="2403">
        <f t="shared" si="13"/>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9"/>
        <v>0</v>
      </c>
      <c r="E51" s="2404"/>
      <c r="F51" s="2402"/>
      <c r="G51" s="2380"/>
      <c r="H51" s="2426" t="str">
        <f t="shared" si="10"/>
        <v>——</v>
      </c>
      <c r="I51" s="2400">
        <v>0.08</v>
      </c>
      <c r="J51" s="2403">
        <f t="shared" si="11"/>
        <v>0</v>
      </c>
      <c r="K51" s="2403">
        <f t="shared" si="12"/>
        <v>0</v>
      </c>
      <c r="L51" s="2403">
        <v>0</v>
      </c>
      <c r="M51" s="2403">
        <f t="shared" si="13"/>
        <v>0</v>
      </c>
      <c r="N51" s="2403">
        <f t="shared" si="13"/>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9"/>
        <v>0</v>
      </c>
      <c r="E52" s="2404"/>
      <c r="F52" s="2402"/>
      <c r="G52" s="2380"/>
      <c r="H52" s="2426" t="str">
        <f t="shared" si="10"/>
        <v>——</v>
      </c>
      <c r="I52" s="2400">
        <v>0.03</v>
      </c>
      <c r="J52" s="2403">
        <f t="shared" si="11"/>
        <v>0</v>
      </c>
      <c r="K52" s="2403">
        <f t="shared" si="12"/>
        <v>0</v>
      </c>
      <c r="L52" s="2403">
        <v>0</v>
      </c>
      <c r="M52" s="2403">
        <f t="shared" si="13"/>
        <v>0</v>
      </c>
      <c r="N52" s="2403">
        <f t="shared" si="13"/>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9"/>
        <v>0</v>
      </c>
      <c r="E53" s="2404"/>
      <c r="F53" s="2402"/>
      <c r="G53" s="2380"/>
      <c r="H53" s="2426" t="str">
        <f t="shared" si="10"/>
        <v>——</v>
      </c>
      <c r="I53" s="2400">
        <v>0.05</v>
      </c>
      <c r="J53" s="2403">
        <f t="shared" si="11"/>
        <v>0</v>
      </c>
      <c r="K53" s="2403">
        <f t="shared" si="12"/>
        <v>0</v>
      </c>
      <c r="L53" s="2403">
        <v>0</v>
      </c>
      <c r="M53" s="2403">
        <f t="shared" si="13"/>
        <v>0</v>
      </c>
      <c r="N53" s="2403">
        <f t="shared" si="13"/>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9"/>
        <v>0</v>
      </c>
      <c r="E54" s="2404"/>
      <c r="F54" s="2402"/>
      <c r="G54" s="2380"/>
      <c r="H54" s="2426" t="str">
        <f t="shared" si="10"/>
        <v>——</v>
      </c>
      <c r="I54" s="2400">
        <v>0.1</v>
      </c>
      <c r="J54" s="2403">
        <f t="shared" si="11"/>
        <v>0</v>
      </c>
      <c r="K54" s="2403">
        <f t="shared" si="12"/>
        <v>0</v>
      </c>
      <c r="L54" s="2403">
        <v>0</v>
      </c>
      <c r="M54" s="2403">
        <f t="shared" si="13"/>
        <v>0</v>
      </c>
      <c r="N54" s="2403">
        <f t="shared" si="13"/>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9"/>
        <v>0</v>
      </c>
      <c r="E55" s="2408"/>
      <c r="F55" s="2402"/>
      <c r="G55" s="2380"/>
      <c r="H55" s="2426" t="str">
        <f t="shared" si="10"/>
        <v>——</v>
      </c>
      <c r="I55" s="2407">
        <v>0.06</v>
      </c>
      <c r="J55" s="2403">
        <f t="shared" si="11"/>
        <v>0</v>
      </c>
      <c r="K55" s="2403">
        <f t="shared" si="12"/>
        <v>0</v>
      </c>
      <c r="L55" s="2403">
        <v>0</v>
      </c>
      <c r="M55" s="2403">
        <f t="shared" si="13"/>
        <v>0</v>
      </c>
      <c r="N55" s="2403">
        <f t="shared" si="13"/>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4">SUMIF($J$57:$N$57,C58,J58:N58)</f>
        <v>0</v>
      </c>
      <c r="E58" s="2401">
        <f>ROUND(SUM(D58:D66),4)</f>
        <v>0</v>
      </c>
      <c r="F58" s="2402" t="str">
        <f>IF(E2="办公",SUMIF(L1:L12,G2,N1:N12),"——")</f>
        <v>——</v>
      </c>
      <c r="G58" s="2380"/>
      <c r="H58" s="2426" t="str">
        <f>IFERROR(ROUNDDOWN($F$58*I58/2,4),"——")</f>
        <v>——</v>
      </c>
      <c r="I58" s="2400">
        <v>0.24</v>
      </c>
      <c r="J58" s="2403">
        <f t="shared" ref="J58:J66" si="15">K58+$G58</f>
        <v>0</v>
      </c>
      <c r="K58" s="2403">
        <f t="shared" ref="K58:K66" si="16">$L58+$G58</f>
        <v>0</v>
      </c>
      <c r="L58" s="2403">
        <v>0</v>
      </c>
      <c r="M58" s="2403">
        <f t="shared" ref="M58:N66" si="17">L58-$G58</f>
        <v>0</v>
      </c>
      <c r="N58" s="2403">
        <f t="shared" si="17"/>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4"/>
        <v>0</v>
      </c>
      <c r="E59" s="2404"/>
      <c r="F59" s="2402"/>
      <c r="G59" s="2380"/>
      <c r="H59" s="2381" t="str">
        <f t="shared" ref="H59:H66" si="18">IFERROR($F$58*I59/2,"——")</f>
        <v>——</v>
      </c>
      <c r="I59" s="2400">
        <v>0.3</v>
      </c>
      <c r="J59" s="2403">
        <f t="shared" si="15"/>
        <v>0</v>
      </c>
      <c r="K59" s="2403">
        <f t="shared" si="16"/>
        <v>0</v>
      </c>
      <c r="L59" s="2403">
        <v>0</v>
      </c>
      <c r="M59" s="2403">
        <f t="shared" si="17"/>
        <v>0</v>
      </c>
      <c r="N59" s="2403">
        <f t="shared" si="17"/>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4"/>
        <v>0</v>
      </c>
      <c r="E60" s="2404"/>
      <c r="F60" s="2402"/>
      <c r="G60" s="2380"/>
      <c r="H60" s="2381" t="str">
        <f t="shared" si="18"/>
        <v>——</v>
      </c>
      <c r="I60" s="2400">
        <v>0.08</v>
      </c>
      <c r="J60" s="2403">
        <f t="shared" si="15"/>
        <v>0</v>
      </c>
      <c r="K60" s="2403">
        <f t="shared" si="16"/>
        <v>0</v>
      </c>
      <c r="L60" s="2403">
        <v>0</v>
      </c>
      <c r="M60" s="2403">
        <f t="shared" si="17"/>
        <v>0</v>
      </c>
      <c r="N60" s="2403">
        <f t="shared" si="17"/>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4"/>
        <v>0</v>
      </c>
      <c r="E61" s="2404"/>
      <c r="F61" s="2402"/>
      <c r="G61" s="2380"/>
      <c r="H61" s="2381" t="str">
        <f t="shared" si="18"/>
        <v>——</v>
      </c>
      <c r="I61" s="2400">
        <v>0.04</v>
      </c>
      <c r="J61" s="2403">
        <f t="shared" si="15"/>
        <v>0</v>
      </c>
      <c r="K61" s="2403">
        <f t="shared" si="16"/>
        <v>0</v>
      </c>
      <c r="L61" s="2403">
        <v>0</v>
      </c>
      <c r="M61" s="2403">
        <f t="shared" si="17"/>
        <v>0</v>
      </c>
      <c r="N61" s="2403">
        <f t="shared" si="17"/>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4"/>
        <v>0</v>
      </c>
      <c r="E62" s="2404"/>
      <c r="F62" s="2402"/>
      <c r="G62" s="2380"/>
      <c r="H62" s="2381" t="str">
        <f t="shared" si="18"/>
        <v>——</v>
      </c>
      <c r="I62" s="2400">
        <v>0.05</v>
      </c>
      <c r="J62" s="2403">
        <f t="shared" si="15"/>
        <v>0</v>
      </c>
      <c r="K62" s="2403">
        <f t="shared" si="16"/>
        <v>0</v>
      </c>
      <c r="L62" s="2403">
        <v>0</v>
      </c>
      <c r="M62" s="2403">
        <f t="shared" si="17"/>
        <v>0</v>
      </c>
      <c r="N62" s="2403">
        <f t="shared" si="17"/>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4"/>
        <v>0</v>
      </c>
      <c r="E63" s="2404"/>
      <c r="F63" s="2402"/>
      <c r="G63" s="2380"/>
      <c r="H63" s="2381" t="str">
        <f t="shared" si="18"/>
        <v>——</v>
      </c>
      <c r="I63" s="2400">
        <v>0.05</v>
      </c>
      <c r="J63" s="2403">
        <f t="shared" si="15"/>
        <v>0</v>
      </c>
      <c r="K63" s="2403">
        <f t="shared" si="16"/>
        <v>0</v>
      </c>
      <c r="L63" s="2403">
        <v>0</v>
      </c>
      <c r="M63" s="2403">
        <f t="shared" si="17"/>
        <v>0</v>
      </c>
      <c r="N63" s="2403">
        <f t="shared" si="17"/>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4"/>
        <v>0</v>
      </c>
      <c r="E64" s="2404"/>
      <c r="F64" s="2402"/>
      <c r="G64" s="2380"/>
      <c r="H64" s="2381" t="str">
        <f t="shared" si="18"/>
        <v>——</v>
      </c>
      <c r="I64" s="2400">
        <v>0.06</v>
      </c>
      <c r="J64" s="2403">
        <f t="shared" si="15"/>
        <v>0</v>
      </c>
      <c r="K64" s="2403">
        <f t="shared" si="16"/>
        <v>0</v>
      </c>
      <c r="L64" s="2403">
        <v>0</v>
      </c>
      <c r="M64" s="2403">
        <f t="shared" si="17"/>
        <v>0</v>
      </c>
      <c r="N64" s="2403">
        <f t="shared" si="17"/>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4"/>
        <v>0</v>
      </c>
      <c r="E65" s="2404"/>
      <c r="F65" s="2402"/>
      <c r="G65" s="2380"/>
      <c r="H65" s="2381" t="str">
        <f t="shared" si="18"/>
        <v>——</v>
      </c>
      <c r="I65" s="2400">
        <v>0.12</v>
      </c>
      <c r="J65" s="2403">
        <f t="shared" si="15"/>
        <v>0</v>
      </c>
      <c r="K65" s="2403">
        <f t="shared" si="16"/>
        <v>0</v>
      </c>
      <c r="L65" s="2403">
        <v>0</v>
      </c>
      <c r="M65" s="2403">
        <f t="shared" si="17"/>
        <v>0</v>
      </c>
      <c r="N65" s="2403">
        <f t="shared" si="17"/>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4"/>
        <v>0</v>
      </c>
      <c r="E66" s="2408"/>
      <c r="F66" s="2402"/>
      <c r="G66" s="2380"/>
      <c r="H66" s="2381" t="str">
        <f t="shared" si="18"/>
        <v>——</v>
      </c>
      <c r="I66" s="2407">
        <v>0.06</v>
      </c>
      <c r="J66" s="2403">
        <f t="shared" si="15"/>
        <v>0</v>
      </c>
      <c r="K66" s="2403">
        <f t="shared" si="16"/>
        <v>0</v>
      </c>
      <c r="L66" s="2403">
        <v>0</v>
      </c>
      <c r="M66" s="2403">
        <f t="shared" si="17"/>
        <v>0</v>
      </c>
      <c r="N66" s="2403">
        <f t="shared" si="17"/>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19">SUMIF($J$68:$N$68,C69,J69:N69)</f>
        <v>0</v>
      </c>
      <c r="E69" s="2401">
        <f>ROUND(SUM(D69:D77),4)</f>
        <v>0</v>
      </c>
      <c r="F69" s="2402" t="str">
        <f>IF(E2="住宅",SUMIF(L1:L12,G2,N1:N12),"——")</f>
        <v>——</v>
      </c>
      <c r="G69" s="2383"/>
      <c r="H69" s="2427" t="str">
        <f t="shared" ref="H69:H77" si="20">IFERROR(ROUNDDOWN($F$69*I69/2,4),"——")</f>
        <v>——</v>
      </c>
      <c r="I69" s="2400">
        <v>0.14000000000000001</v>
      </c>
      <c r="J69" s="2403">
        <f t="shared" ref="J69:J77" si="21">K69+$G69</f>
        <v>0</v>
      </c>
      <c r="K69" s="2403">
        <f t="shared" ref="K69:K77" si="22">$L69+$G69</f>
        <v>0</v>
      </c>
      <c r="L69" s="2403">
        <v>0</v>
      </c>
      <c r="M69" s="2403">
        <f t="shared" ref="M69:N77" si="23">L69-$G69</f>
        <v>0</v>
      </c>
      <c r="N69" s="2403">
        <f t="shared" si="23"/>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19"/>
        <v>0</v>
      </c>
      <c r="E70" s="2410"/>
      <c r="F70" s="2411"/>
      <c r="G70" s="2383"/>
      <c r="H70" s="2427" t="str">
        <f t="shared" si="20"/>
        <v>——</v>
      </c>
      <c r="I70" s="2400">
        <v>0.3</v>
      </c>
      <c r="J70" s="2403">
        <f t="shared" si="21"/>
        <v>0</v>
      </c>
      <c r="K70" s="2403">
        <f t="shared" si="22"/>
        <v>0</v>
      </c>
      <c r="L70" s="2403">
        <v>0</v>
      </c>
      <c r="M70" s="2403">
        <f t="shared" si="23"/>
        <v>0</v>
      </c>
      <c r="N70" s="2403">
        <f t="shared" si="23"/>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19"/>
        <v>0</v>
      </c>
      <c r="E71" s="2410"/>
      <c r="F71" s="2411"/>
      <c r="G71" s="2383"/>
      <c r="H71" s="2427" t="str">
        <f t="shared" si="20"/>
        <v>——</v>
      </c>
      <c r="I71" s="2400">
        <v>0.08</v>
      </c>
      <c r="J71" s="2403">
        <f t="shared" si="21"/>
        <v>0</v>
      </c>
      <c r="K71" s="2403">
        <f t="shared" si="22"/>
        <v>0</v>
      </c>
      <c r="L71" s="2403">
        <v>0</v>
      </c>
      <c r="M71" s="2403">
        <f t="shared" si="23"/>
        <v>0</v>
      </c>
      <c r="N71" s="2403">
        <f t="shared" si="23"/>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19"/>
        <v>0</v>
      </c>
      <c r="E72" s="2410"/>
      <c r="F72" s="2411"/>
      <c r="G72" s="2383"/>
      <c r="H72" s="2427" t="str">
        <f t="shared" si="20"/>
        <v>——</v>
      </c>
      <c r="I72" s="2400">
        <v>0.04</v>
      </c>
      <c r="J72" s="2403">
        <f t="shared" si="21"/>
        <v>0</v>
      </c>
      <c r="K72" s="2403">
        <f t="shared" si="22"/>
        <v>0</v>
      </c>
      <c r="L72" s="2403">
        <v>0</v>
      </c>
      <c r="M72" s="2403">
        <f t="shared" si="23"/>
        <v>0</v>
      </c>
      <c r="N72" s="2403">
        <f t="shared" si="23"/>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19"/>
        <v>0</v>
      </c>
      <c r="E73" s="2410"/>
      <c r="F73" s="2411"/>
      <c r="G73" s="2383"/>
      <c r="H73" s="2427" t="str">
        <f t="shared" si="20"/>
        <v>——</v>
      </c>
      <c r="I73" s="2400">
        <v>0.08</v>
      </c>
      <c r="J73" s="2403">
        <f t="shared" si="21"/>
        <v>0</v>
      </c>
      <c r="K73" s="2403">
        <f t="shared" si="22"/>
        <v>0</v>
      </c>
      <c r="L73" s="2403">
        <v>0</v>
      </c>
      <c r="M73" s="2403">
        <f t="shared" si="23"/>
        <v>0</v>
      </c>
      <c r="N73" s="2403">
        <f t="shared" si="23"/>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19"/>
        <v>0</v>
      </c>
      <c r="E74" s="2410"/>
      <c r="F74" s="2411"/>
      <c r="G74" s="2383"/>
      <c r="H74" s="2427" t="str">
        <f t="shared" si="20"/>
        <v>——</v>
      </c>
      <c r="I74" s="2400">
        <v>0.12</v>
      </c>
      <c r="J74" s="2403">
        <f t="shared" si="21"/>
        <v>0</v>
      </c>
      <c r="K74" s="2403">
        <f t="shared" si="22"/>
        <v>0</v>
      </c>
      <c r="L74" s="2403">
        <v>0</v>
      </c>
      <c r="M74" s="2403">
        <f t="shared" si="23"/>
        <v>0</v>
      </c>
      <c r="N74" s="2403">
        <f t="shared" si="23"/>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19"/>
        <v>0</v>
      </c>
      <c r="E75" s="2410"/>
      <c r="F75" s="2411"/>
      <c r="G75" s="2383"/>
      <c r="H75" s="2427" t="str">
        <f t="shared" si="20"/>
        <v>——</v>
      </c>
      <c r="I75" s="2400">
        <v>0.05</v>
      </c>
      <c r="J75" s="2403">
        <f t="shared" si="21"/>
        <v>0</v>
      </c>
      <c r="K75" s="2403">
        <f t="shared" si="22"/>
        <v>0</v>
      </c>
      <c r="L75" s="2403">
        <v>0</v>
      </c>
      <c r="M75" s="2403">
        <f t="shared" si="23"/>
        <v>0</v>
      </c>
      <c r="N75" s="2403">
        <f t="shared" si="23"/>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19"/>
        <v>0</v>
      </c>
      <c r="E76" s="2410"/>
      <c r="F76" s="2411"/>
      <c r="G76" s="2383"/>
      <c r="H76" s="2427" t="str">
        <f t="shared" si="20"/>
        <v>——</v>
      </c>
      <c r="I76" s="2400">
        <v>0.15</v>
      </c>
      <c r="J76" s="2403">
        <f t="shared" si="21"/>
        <v>0</v>
      </c>
      <c r="K76" s="2403">
        <f t="shared" si="22"/>
        <v>0</v>
      </c>
      <c r="L76" s="2403">
        <v>0</v>
      </c>
      <c r="M76" s="2403">
        <f t="shared" si="23"/>
        <v>0</v>
      </c>
      <c r="N76" s="2403">
        <f t="shared" si="23"/>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19"/>
        <v>0</v>
      </c>
      <c r="E77" s="2412"/>
      <c r="F77" s="2411"/>
      <c r="G77" s="2383"/>
      <c r="H77" s="2427" t="str">
        <f t="shared" si="20"/>
        <v>——</v>
      </c>
      <c r="I77" s="2407">
        <v>0.04</v>
      </c>
      <c r="J77" s="2403">
        <f t="shared" si="21"/>
        <v>0</v>
      </c>
      <c r="K77" s="2403">
        <f t="shared" si="22"/>
        <v>0</v>
      </c>
      <c r="L77" s="2403">
        <v>0</v>
      </c>
      <c r="M77" s="2403">
        <f t="shared" si="23"/>
        <v>0</v>
      </c>
      <c r="N77" s="2403">
        <f t="shared" si="23"/>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4">SUMIF($J$79:$N$79,C80,J80:N80)</f>
        <v>0</v>
      </c>
      <c r="E80" s="2401">
        <f>ROUND(SUM(D80:D87),4)</f>
        <v>0</v>
      </c>
      <c r="F80" s="2402" t="str">
        <f>IF(E2="工业",SUMIF(L1:L12,G2,N1:N12),"——")</f>
        <v>——</v>
      </c>
      <c r="G80" s="2380"/>
      <c r="H80" s="2426" t="str">
        <f t="shared" ref="H80:H87" si="25">IFERROR(ROUNDDOWN($F$80*I80/2,4),"——")</f>
        <v>——</v>
      </c>
      <c r="I80" s="2400">
        <v>0.26</v>
      </c>
      <c r="J80" s="2403">
        <f t="shared" ref="J80:J87" si="26">K80+$G80</f>
        <v>0</v>
      </c>
      <c r="K80" s="2403">
        <f t="shared" ref="K80:K87" si="27">$L80+$G80</f>
        <v>0</v>
      </c>
      <c r="L80" s="2403">
        <v>0</v>
      </c>
      <c r="M80" s="2403">
        <f t="shared" ref="M80:N87" si="28">L80-$G80</f>
        <v>0</v>
      </c>
      <c r="N80" s="2403">
        <f t="shared" si="28"/>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4"/>
        <v>0</v>
      </c>
      <c r="E81" s="2410"/>
      <c r="F81" s="2411"/>
      <c r="G81" s="2380"/>
      <c r="H81" s="2426" t="str">
        <f t="shared" si="25"/>
        <v>——</v>
      </c>
      <c r="I81" s="2400">
        <v>0.33</v>
      </c>
      <c r="J81" s="2403">
        <f t="shared" si="26"/>
        <v>0</v>
      </c>
      <c r="K81" s="2403">
        <f t="shared" si="27"/>
        <v>0</v>
      </c>
      <c r="L81" s="2403">
        <v>0</v>
      </c>
      <c r="M81" s="2403">
        <f t="shared" si="28"/>
        <v>0</v>
      </c>
      <c r="N81" s="2403">
        <f t="shared" si="28"/>
        <v>0</v>
      </c>
      <c r="AC81" s="1402"/>
      <c r="AD81" s="1401"/>
      <c r="AJ81" s="1400"/>
      <c r="AN81" s="1401"/>
    </row>
    <row r="82" spans="1:40" ht="24">
      <c r="A82" s="1063" t="s">
        <v>1022</v>
      </c>
      <c r="B82" s="2373">
        <f>估价对象房地状况!G17</f>
        <v>0</v>
      </c>
      <c r="C82" s="1050"/>
      <c r="D82" s="2382">
        <f t="shared" si="24"/>
        <v>0</v>
      </c>
      <c r="E82" s="2410"/>
      <c r="F82" s="2411"/>
      <c r="G82" s="2380"/>
      <c r="H82" s="2426" t="str">
        <f t="shared" si="25"/>
        <v>——</v>
      </c>
      <c r="I82" s="2400">
        <v>0.05</v>
      </c>
      <c r="J82" s="2403">
        <f t="shared" si="26"/>
        <v>0</v>
      </c>
      <c r="K82" s="2403">
        <f t="shared" si="27"/>
        <v>0</v>
      </c>
      <c r="L82" s="2403">
        <v>0</v>
      </c>
      <c r="M82" s="2403">
        <f t="shared" si="28"/>
        <v>0</v>
      </c>
      <c r="N82" s="2403">
        <f t="shared" si="28"/>
        <v>0</v>
      </c>
      <c r="AC82" s="1402"/>
      <c r="AD82" s="1401"/>
      <c r="AJ82" s="1400"/>
      <c r="AN82" s="1401"/>
    </row>
    <row r="83" spans="1:40" ht="14.25">
      <c r="A83" s="1063" t="s">
        <v>1034</v>
      </c>
      <c r="B83" s="2373">
        <f>估价对象房地状况!G22</f>
        <v>0</v>
      </c>
      <c r="C83" s="1050"/>
      <c r="D83" s="2382">
        <f t="shared" si="24"/>
        <v>0</v>
      </c>
      <c r="E83" s="2410"/>
      <c r="F83" s="2411"/>
      <c r="G83" s="2380"/>
      <c r="H83" s="2426" t="str">
        <f t="shared" si="25"/>
        <v>——</v>
      </c>
      <c r="I83" s="2400">
        <v>0.04</v>
      </c>
      <c r="J83" s="2403">
        <f t="shared" si="26"/>
        <v>0</v>
      </c>
      <c r="K83" s="2403">
        <f t="shared" si="27"/>
        <v>0</v>
      </c>
      <c r="L83" s="2403">
        <v>0</v>
      </c>
      <c r="M83" s="2403">
        <f t="shared" si="28"/>
        <v>0</v>
      </c>
      <c r="N83" s="2403">
        <f t="shared" si="28"/>
        <v>0</v>
      </c>
      <c r="AC83" s="1402"/>
      <c r="AD83" s="1401"/>
      <c r="AJ83" s="1400"/>
      <c r="AN83" s="1401"/>
    </row>
    <row r="84" spans="1:40" ht="24">
      <c r="A84" s="1063" t="s">
        <v>1026</v>
      </c>
      <c r="B84" s="2374" t="str">
        <f>估价对象房地状况!G19</f>
        <v>估价对象所在区域公共配套设施齐备情况</v>
      </c>
      <c r="C84" s="1050"/>
      <c r="D84" s="2382">
        <f t="shared" si="24"/>
        <v>0</v>
      </c>
      <c r="E84" s="2410"/>
      <c r="F84" s="2411"/>
      <c r="G84" s="2380"/>
      <c r="H84" s="2426" t="str">
        <f t="shared" si="25"/>
        <v>——</v>
      </c>
      <c r="I84" s="2400">
        <v>0.06</v>
      </c>
      <c r="J84" s="2403">
        <f t="shared" si="26"/>
        <v>0</v>
      </c>
      <c r="K84" s="2403">
        <f t="shared" si="27"/>
        <v>0</v>
      </c>
      <c r="L84" s="2403">
        <v>0</v>
      </c>
      <c r="M84" s="2403">
        <f t="shared" si="28"/>
        <v>0</v>
      </c>
      <c r="N84" s="2403">
        <f t="shared" si="28"/>
        <v>0</v>
      </c>
      <c r="AC84" s="1402"/>
      <c r="AD84" s="1401"/>
      <c r="AJ84" s="1400"/>
      <c r="AN84" s="1401"/>
    </row>
    <row r="85" spans="1:40" ht="24">
      <c r="A85" s="1063" t="s">
        <v>1027</v>
      </c>
      <c r="B85" s="2374" t="str">
        <f>估价对象房地状况!G20</f>
        <v>估价对象所在区域基础设施水平</v>
      </c>
      <c r="C85" s="1050"/>
      <c r="D85" s="2382">
        <f t="shared" si="24"/>
        <v>0</v>
      </c>
      <c r="E85" s="2410"/>
      <c r="F85" s="2411"/>
      <c r="G85" s="2380"/>
      <c r="H85" s="2426" t="str">
        <f t="shared" si="25"/>
        <v>——</v>
      </c>
      <c r="I85" s="2400">
        <v>0.15</v>
      </c>
      <c r="J85" s="2403">
        <f t="shared" si="26"/>
        <v>0</v>
      </c>
      <c r="K85" s="2403">
        <f t="shared" si="27"/>
        <v>0</v>
      </c>
      <c r="L85" s="2403">
        <v>0</v>
      </c>
      <c r="M85" s="2403">
        <f t="shared" si="28"/>
        <v>0</v>
      </c>
      <c r="N85" s="2403">
        <f t="shared" si="28"/>
        <v>0</v>
      </c>
      <c r="AC85" s="1402"/>
      <c r="AD85" s="1401"/>
      <c r="AJ85" s="1400"/>
      <c r="AN85" s="1401"/>
    </row>
    <row r="86" spans="1:40" ht="24">
      <c r="A86" s="1063" t="s">
        <v>1025</v>
      </c>
      <c r="B86" s="3049" t="s">
        <v>2938</v>
      </c>
      <c r="C86" s="1050"/>
      <c r="D86" s="2382">
        <f t="shared" si="24"/>
        <v>0</v>
      </c>
      <c r="E86" s="2410"/>
      <c r="F86" s="2411"/>
      <c r="G86" s="2380"/>
      <c r="H86" s="2426" t="str">
        <f t="shared" si="25"/>
        <v>——</v>
      </c>
      <c r="I86" s="2400">
        <v>0.05</v>
      </c>
      <c r="J86" s="2403">
        <f t="shared" si="26"/>
        <v>0</v>
      </c>
      <c r="K86" s="2403">
        <f t="shared" si="27"/>
        <v>0</v>
      </c>
      <c r="L86" s="2403">
        <v>0</v>
      </c>
      <c r="M86" s="2403">
        <f t="shared" si="28"/>
        <v>0</v>
      </c>
      <c r="N86" s="2403">
        <f t="shared" si="28"/>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4"/>
        <v>0</v>
      </c>
      <c r="E87" s="2412"/>
      <c r="F87" s="2411"/>
      <c r="G87" s="2380"/>
      <c r="H87" s="2426" t="str">
        <f t="shared" si="25"/>
        <v>——</v>
      </c>
      <c r="I87" s="2407">
        <v>0.06</v>
      </c>
      <c r="J87" s="2403">
        <f t="shared" si="26"/>
        <v>0</v>
      </c>
      <c r="K87" s="2403">
        <f t="shared" si="27"/>
        <v>0</v>
      </c>
      <c r="L87" s="2403">
        <v>0</v>
      </c>
      <c r="M87" s="2403">
        <f t="shared" si="28"/>
        <v>0</v>
      </c>
      <c r="N87" s="2403">
        <f t="shared" si="28"/>
        <v>0</v>
      </c>
      <c r="AC87" s="1402"/>
      <c r="AD87" s="1401"/>
      <c r="AJ87" s="1400"/>
      <c r="AN87" s="1401"/>
    </row>
    <row r="90" spans="1:40">
      <c r="A90" s="3418" t="s">
        <v>1633</v>
      </c>
      <c r="B90" s="3418"/>
      <c r="C90" s="3418"/>
      <c r="D90" s="3418"/>
      <c r="E90" s="3418"/>
      <c r="F90" s="3418"/>
      <c r="G90" s="3418"/>
      <c r="H90" s="3418"/>
      <c r="I90" s="3418"/>
      <c r="J90" s="3418"/>
      <c r="K90" s="2415"/>
      <c r="L90" s="2415"/>
      <c r="M90" s="2415"/>
      <c r="N90" s="2415"/>
    </row>
    <row r="91" spans="1:40">
      <c r="A91" s="3419" t="s">
        <v>1443</v>
      </c>
      <c r="B91" s="3419" t="s">
        <v>1634</v>
      </c>
      <c r="C91" s="1136" t="s">
        <v>1635</v>
      </c>
      <c r="D91" s="1137"/>
      <c r="E91" s="1137"/>
      <c r="F91" s="1137"/>
      <c r="G91" s="1137"/>
      <c r="H91" s="1137"/>
      <c r="I91" s="1137"/>
      <c r="J91" s="1138"/>
      <c r="K91" s="1130"/>
      <c r="L91" s="1130"/>
      <c r="M91" s="1130"/>
      <c r="N91" s="1130"/>
    </row>
    <row r="92" spans="1:40">
      <c r="A92" s="3419"/>
      <c r="B92" s="341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7"/>
      <c r="B99" s="1139" t="s">
        <v>1636</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2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6" t="s">
        <v>1637</v>
      </c>
      <c r="B101" s="1143" t="s">
        <v>906</v>
      </c>
      <c r="C101" s="1144">
        <f>$G$3</f>
        <v>4</v>
      </c>
      <c r="D101" s="1144">
        <f t="shared" ref="D101:N101" si="30">$G$3</f>
        <v>4</v>
      </c>
      <c r="E101" s="1144">
        <f t="shared" si="30"/>
        <v>4</v>
      </c>
      <c r="F101" s="1144">
        <f t="shared" si="30"/>
        <v>4</v>
      </c>
      <c r="G101" s="1144">
        <f t="shared" si="30"/>
        <v>4</v>
      </c>
      <c r="H101" s="1144">
        <f t="shared" si="30"/>
        <v>4</v>
      </c>
      <c r="I101" s="1144">
        <f t="shared" si="30"/>
        <v>4</v>
      </c>
      <c r="J101" s="1144">
        <f t="shared" si="30"/>
        <v>4</v>
      </c>
      <c r="K101" s="1144">
        <f t="shared" si="30"/>
        <v>4</v>
      </c>
      <c r="L101" s="1144">
        <f t="shared" si="30"/>
        <v>4</v>
      </c>
      <c r="M101" s="1144">
        <f t="shared" si="30"/>
        <v>4</v>
      </c>
      <c r="N101" s="1144">
        <f t="shared" si="30"/>
        <v>4</v>
      </c>
    </row>
    <row r="102" spans="1:14">
      <c r="A102" s="342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7"/>
      <c r="B108" s="3429" t="s">
        <v>1638</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28"/>
      <c r="B109" s="343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2" t="s">
        <v>1639</v>
      </c>
      <c r="B110" s="3412"/>
      <c r="C110" s="3412"/>
      <c r="D110" s="3412"/>
      <c r="E110" s="3412"/>
      <c r="F110" s="3412"/>
      <c r="G110" s="3412"/>
      <c r="H110" s="3412"/>
      <c r="I110" s="3412"/>
      <c r="J110" s="3412"/>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2">I115</f>
        <v>0.627</v>
      </c>
      <c r="K115" s="1030">
        <f t="shared" si="32"/>
        <v>0.627</v>
      </c>
      <c r="L115" s="1030">
        <f t="shared" si="32"/>
        <v>0.627</v>
      </c>
      <c r="M115" s="1031">
        <f t="shared" si="32"/>
        <v>0.627</v>
      </c>
    </row>
    <row r="116" spans="1:13" ht="12.75">
      <c r="A116" s="1029" t="s">
        <v>901</v>
      </c>
      <c r="B116" s="1030">
        <f>ROUND(0.949-0.012*B113,4)</f>
        <v>0.90100000000000002</v>
      </c>
      <c r="C116" s="1030">
        <f>B116</f>
        <v>0.90100000000000002</v>
      </c>
      <c r="D116" s="1030">
        <f>ROUND(0.8567-0.013*B113,4)</f>
        <v>0.80469999999999997</v>
      </c>
      <c r="E116" s="1030">
        <f t="shared" ref="E116:H117" si="33">D116</f>
        <v>0.80469999999999997</v>
      </c>
      <c r="F116" s="1030">
        <f t="shared" si="33"/>
        <v>0.80469999999999997</v>
      </c>
      <c r="G116" s="1030">
        <f t="shared" si="33"/>
        <v>0.80469999999999997</v>
      </c>
      <c r="H116" s="1030">
        <f t="shared" si="33"/>
        <v>0.80469999999999997</v>
      </c>
      <c r="I116" s="1030">
        <f>ROUND(0.7694-0.014*B113,4)</f>
        <v>0.71340000000000003</v>
      </c>
      <c r="J116" s="1030">
        <f t="shared" si="32"/>
        <v>0.71340000000000003</v>
      </c>
      <c r="K116" s="1030">
        <f t="shared" si="32"/>
        <v>0.71340000000000003</v>
      </c>
      <c r="L116" s="1030">
        <f t="shared" si="32"/>
        <v>0.71340000000000003</v>
      </c>
      <c r="M116" s="1031">
        <f t="shared" si="32"/>
        <v>0.71340000000000003</v>
      </c>
    </row>
    <row r="117" spans="1:13" ht="12.75">
      <c r="A117" s="1032" t="s">
        <v>902</v>
      </c>
      <c r="B117" s="1030">
        <f>ROUND(0.8808-0.006*B113,4)</f>
        <v>0.85680000000000001</v>
      </c>
      <c r="C117" s="1030">
        <f>B117</f>
        <v>0.85680000000000001</v>
      </c>
      <c r="D117" s="1030">
        <f>ROUND(0.8748-0.008*B113,4)</f>
        <v>0.84279999999999999</v>
      </c>
      <c r="E117" s="1030">
        <f t="shared" si="33"/>
        <v>0.84279999999999999</v>
      </c>
      <c r="F117" s="1030">
        <f t="shared" si="33"/>
        <v>0.84279999999999999</v>
      </c>
      <c r="G117" s="1030">
        <f t="shared" si="33"/>
        <v>0.84279999999999999</v>
      </c>
      <c r="H117" s="1030">
        <f t="shared" si="33"/>
        <v>0.84279999999999999</v>
      </c>
      <c r="I117" s="1030">
        <f>ROUND(0.7412-0.0095*B113,4)</f>
        <v>0.70320000000000005</v>
      </c>
      <c r="J117" s="1030">
        <f t="shared" si="32"/>
        <v>0.70320000000000005</v>
      </c>
      <c r="K117" s="1030">
        <f t="shared" si="32"/>
        <v>0.70320000000000005</v>
      </c>
      <c r="L117" s="1030">
        <f t="shared" si="32"/>
        <v>0.70320000000000005</v>
      </c>
      <c r="M117" s="1031">
        <f t="shared" si="32"/>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2"/>
        <v>0.51229999999999998</v>
      </c>
      <c r="K118" s="1034">
        <f t="shared" si="32"/>
        <v>0.51229999999999998</v>
      </c>
      <c r="L118" s="1034">
        <f t="shared" si="32"/>
        <v>0.51229999999999998</v>
      </c>
      <c r="M118" s="1035">
        <f t="shared" si="32"/>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SUM(J6:J10,J13)</f>
        <v>155</v>
      </c>
      <c r="K15" s="3064">
        <f>SUM(K6:K10,K13)</f>
        <v>155</v>
      </c>
      <c r="L15" s="3064">
        <f>SUM(L6:L10,L13)</f>
        <v>155</v>
      </c>
      <c r="M15" s="3064">
        <f>SUM(M6:M10,M13)</f>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9" t="s">
        <v>1007</v>
      </c>
      <c r="B18" s="1150" t="s">
        <v>1446</v>
      </c>
      <c r="C18" s="1127" t="s">
        <v>1447</v>
      </c>
      <c r="D18" s="1128"/>
      <c r="E18" s="1150">
        <v>1</v>
      </c>
      <c r="F18" s="1129" t="s">
        <v>1448</v>
      </c>
      <c r="G18" s="1130"/>
      <c r="H18" s="1101"/>
      <c r="I18" s="1101"/>
    </row>
    <row r="19" spans="1:9" s="1585" customFormat="1" ht="19.5" customHeight="1">
      <c r="A19" s="3419"/>
      <c r="B19" s="3419" t="s">
        <v>1449</v>
      </c>
      <c r="C19" s="1127" t="s">
        <v>1450</v>
      </c>
      <c r="D19" s="1128"/>
      <c r="E19" s="1150">
        <v>0.9</v>
      </c>
      <c r="F19" s="1129" t="s">
        <v>1451</v>
      </c>
      <c r="G19" s="1130"/>
      <c r="H19" s="1101"/>
      <c r="I19" s="1101"/>
    </row>
    <row r="20" spans="1:9" s="1585" customFormat="1" ht="19.5" customHeight="1">
      <c r="A20" s="3419"/>
      <c r="B20" s="3419"/>
      <c r="C20" s="1127" t="s">
        <v>1452</v>
      </c>
      <c r="D20" s="1128"/>
      <c r="E20" s="1150">
        <v>1.1000000000000001</v>
      </c>
      <c r="F20" s="1129" t="s">
        <v>1453</v>
      </c>
      <c r="G20" s="1130"/>
      <c r="H20" s="1101"/>
      <c r="I20" s="1101"/>
    </row>
    <row r="21" spans="1:9" s="1585" customFormat="1" ht="19.5" customHeight="1">
      <c r="A21" s="3419"/>
      <c r="B21" s="3419"/>
      <c r="C21" s="1127" t="s">
        <v>1454</v>
      </c>
      <c r="D21" s="1128"/>
      <c r="E21" s="1150">
        <v>0.8</v>
      </c>
      <c r="F21" s="1129" t="s">
        <v>1455</v>
      </c>
      <c r="G21" s="1130"/>
      <c r="H21" s="1101"/>
      <c r="I21" s="1101"/>
    </row>
    <row r="22" spans="1:9" s="1585" customFormat="1" ht="19.5" customHeight="1">
      <c r="A22" s="3419"/>
      <c r="B22" s="3419"/>
      <c r="C22" s="1127" t="s">
        <v>1456</v>
      </c>
      <c r="D22" s="1128"/>
      <c r="E22" s="1150">
        <v>0.5</v>
      </c>
      <c r="F22" s="1129"/>
      <c r="G22" s="1130"/>
      <c r="H22" s="1101"/>
      <c r="I22" s="1101"/>
    </row>
    <row r="23" spans="1:9" s="1585" customFormat="1" ht="19.5" customHeight="1">
      <c r="A23" s="3419" t="s">
        <v>1029</v>
      </c>
      <c r="B23" s="1150" t="s">
        <v>1446</v>
      </c>
      <c r="C23" s="1127" t="s">
        <v>1457</v>
      </c>
      <c r="D23" s="1128"/>
      <c r="E23" s="1150">
        <v>1</v>
      </c>
      <c r="F23" s="1129" t="s">
        <v>1458</v>
      </c>
      <c r="G23" s="1130"/>
      <c r="H23" s="1101"/>
      <c r="I23" s="1101"/>
    </row>
    <row r="24" spans="1:9" s="1585" customFormat="1" ht="19.5" customHeight="1">
      <c r="A24" s="3419"/>
      <c r="B24" s="3419" t="s">
        <v>1449</v>
      </c>
      <c r="C24" s="1127" t="s">
        <v>1459</v>
      </c>
      <c r="D24" s="1128"/>
      <c r="E24" s="1150">
        <v>0.5</v>
      </c>
      <c r="F24" s="1129"/>
      <c r="G24" s="1130"/>
      <c r="H24" s="1101"/>
      <c r="I24" s="1101"/>
    </row>
    <row r="25" spans="1:9" s="1585" customFormat="1" ht="19.5" customHeight="1">
      <c r="A25" s="3419"/>
      <c r="B25" s="3419"/>
      <c r="C25" s="1127" t="s">
        <v>1460</v>
      </c>
      <c r="D25" s="1128"/>
      <c r="E25" s="1150">
        <v>1.1000000000000001</v>
      </c>
      <c r="F25" s="1129"/>
      <c r="G25" s="1130"/>
      <c r="H25" s="1101"/>
      <c r="I25" s="1101"/>
    </row>
    <row r="26" spans="1:9" s="1585" customFormat="1" ht="19.5" customHeight="1">
      <c r="A26" s="3419"/>
      <c r="B26" s="3419"/>
      <c r="C26" s="1127" t="s">
        <v>1461</v>
      </c>
      <c r="D26" s="1128"/>
      <c r="E26" s="1150">
        <v>1.1000000000000001</v>
      </c>
      <c r="F26" s="1129"/>
      <c r="G26" s="1130"/>
      <c r="H26" s="1101"/>
      <c r="I26" s="1101"/>
    </row>
    <row r="27" spans="1:9" s="1585" customFormat="1" ht="19.5" customHeight="1">
      <c r="A27" s="3419"/>
      <c r="B27" s="3419"/>
      <c r="C27" s="1127" t="s">
        <v>1462</v>
      </c>
      <c r="D27" s="1128"/>
      <c r="E27" s="1150">
        <v>0.9</v>
      </c>
      <c r="F27" s="1129" t="s">
        <v>1463</v>
      </c>
      <c r="G27" s="1130"/>
      <c r="H27" s="1101"/>
      <c r="I27" s="1101"/>
    </row>
    <row r="28" spans="1:9" s="1585" customFormat="1" ht="19.5" customHeight="1">
      <c r="A28" s="3419"/>
      <c r="B28" s="3419"/>
      <c r="C28" s="1127" t="s">
        <v>1464</v>
      </c>
      <c r="D28" s="1128"/>
      <c r="E28" s="1150">
        <v>0.9</v>
      </c>
      <c r="F28" s="1129" t="s">
        <v>1465</v>
      </c>
      <c r="G28" s="1130"/>
      <c r="H28" s="1101"/>
      <c r="I28" s="1101"/>
    </row>
    <row r="29" spans="1:9" s="1585" customFormat="1" ht="19.5" customHeight="1">
      <c r="A29" s="3419"/>
      <c r="B29" s="3419"/>
      <c r="C29" s="1127" t="s">
        <v>1466</v>
      </c>
      <c r="D29" s="1128"/>
      <c r="E29" s="1150">
        <v>0.9</v>
      </c>
      <c r="F29" s="1129" t="s">
        <v>1467</v>
      </c>
      <c r="G29" s="1130"/>
      <c r="H29" s="1101"/>
      <c r="I29" s="1101"/>
    </row>
    <row r="30" spans="1:9" s="1585" customFormat="1" ht="19.5" customHeight="1">
      <c r="A30" s="3419"/>
      <c r="B30" s="3419"/>
      <c r="C30" s="1127" t="s">
        <v>1468</v>
      </c>
      <c r="D30" s="1128"/>
      <c r="E30" s="1150">
        <v>0.9</v>
      </c>
      <c r="F30" s="1129" t="s">
        <v>1469</v>
      </c>
      <c r="G30" s="1130"/>
      <c r="H30" s="1101"/>
      <c r="I30" s="1101"/>
    </row>
    <row r="31" spans="1:9" s="1585" customFormat="1" ht="19.5" customHeight="1">
      <c r="A31" s="3419"/>
      <c r="B31" s="3419"/>
      <c r="C31" s="1127" t="s">
        <v>1470</v>
      </c>
      <c r="D31" s="1128"/>
      <c r="E31" s="1150">
        <v>0.8</v>
      </c>
      <c r="F31" s="1129" t="s">
        <v>1471</v>
      </c>
      <c r="G31" s="1130"/>
      <c r="H31" s="1101"/>
      <c r="I31" s="1101"/>
    </row>
    <row r="32" spans="1:9" s="1585" customFormat="1" ht="19.5" customHeight="1">
      <c r="A32" s="3419"/>
      <c r="B32" s="3419"/>
      <c r="C32" s="1127" t="s">
        <v>1472</v>
      </c>
      <c r="D32" s="1128"/>
      <c r="E32" s="1150">
        <v>0.8</v>
      </c>
      <c r="F32" s="1129" t="s">
        <v>1473</v>
      </c>
      <c r="G32" s="1130"/>
      <c r="H32" s="1101"/>
      <c r="I32" s="1101"/>
    </row>
    <row r="33" spans="1:9" s="1585" customFormat="1" ht="19.5" customHeight="1">
      <c r="A33" s="3419" t="s">
        <v>1474</v>
      </c>
      <c r="B33" s="1150" t="s">
        <v>1446</v>
      </c>
      <c r="C33" s="1127" t="s">
        <v>1475</v>
      </c>
      <c r="D33" s="1128"/>
      <c r="E33" s="1150">
        <v>1</v>
      </c>
      <c r="F33" s="1129" t="s">
        <v>1476</v>
      </c>
      <c r="G33" s="1130"/>
      <c r="H33" s="1101"/>
      <c r="I33" s="1101"/>
    </row>
    <row r="34" spans="1:9" s="1585" customFormat="1" ht="19.5" customHeight="1">
      <c r="A34" s="3419"/>
      <c r="B34" s="1150" t="s">
        <v>1449</v>
      </c>
      <c r="C34" s="1127" t="s">
        <v>1477</v>
      </c>
      <c r="D34" s="1128"/>
      <c r="E34" s="1150">
        <v>1.5</v>
      </c>
      <c r="F34" s="1129" t="s">
        <v>1478</v>
      </c>
      <c r="G34" s="1130"/>
      <c r="H34" s="1101"/>
      <c r="I34" s="1101"/>
    </row>
    <row r="35" spans="1:9" s="1585" customFormat="1" ht="19.5" customHeight="1">
      <c r="A35" s="3419" t="s">
        <v>1432</v>
      </c>
      <c r="B35" s="1150" t="s">
        <v>1446</v>
      </c>
      <c r="C35" s="1127" t="s">
        <v>1479</v>
      </c>
      <c r="D35" s="1128"/>
      <c r="E35" s="1150">
        <v>1</v>
      </c>
      <c r="F35" s="1129" t="s">
        <v>1480</v>
      </c>
      <c r="G35" s="1130"/>
      <c r="H35" s="1101"/>
      <c r="I35" s="1101"/>
    </row>
    <row r="36" spans="1:9" s="1585" customFormat="1" ht="19.5" customHeight="1">
      <c r="A36" s="3419"/>
      <c r="B36" s="3419" t="s">
        <v>1449</v>
      </c>
      <c r="C36" s="1127" t="s">
        <v>1481</v>
      </c>
      <c r="D36" s="1128"/>
      <c r="E36" s="1150">
        <v>1</v>
      </c>
      <c r="F36" s="1129" t="s">
        <v>1482</v>
      </c>
      <c r="G36" s="1130"/>
      <c r="H36" s="1101"/>
      <c r="I36" s="1101"/>
    </row>
    <row r="37" spans="1:9" s="1585" customFormat="1" ht="19.5" customHeight="1">
      <c r="A37" s="3419"/>
      <c r="B37" s="3419"/>
      <c r="C37" s="1127" t="s">
        <v>1483</v>
      </c>
      <c r="D37" s="1128"/>
      <c r="E37" s="1150">
        <v>1.5</v>
      </c>
      <c r="F37" s="1129" t="s">
        <v>1484</v>
      </c>
      <c r="G37" s="1130"/>
      <c r="H37" s="1101"/>
      <c r="I37" s="1101"/>
    </row>
    <row r="38" spans="1:9" s="1585" customFormat="1" ht="19.5" customHeight="1">
      <c r="A38" s="3419"/>
      <c r="B38" s="3419"/>
      <c r="C38" s="1127" t="s">
        <v>1485</v>
      </c>
      <c r="D38" s="1128"/>
      <c r="E38" s="1150">
        <v>1</v>
      </c>
      <c r="F38" s="1129" t="s">
        <v>1486</v>
      </c>
      <c r="G38" s="1130"/>
      <c r="H38" s="1101"/>
      <c r="I38" s="1101"/>
    </row>
    <row r="39" spans="1:9" s="1585" customFormat="1" ht="19.5" customHeight="1">
      <c r="A39" s="3419"/>
      <c r="B39" s="341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9" t="s">
        <v>1501</v>
      </c>
      <c r="C61" s="1064" t="s">
        <v>1502</v>
      </c>
      <c r="D61" s="1064" t="s">
        <v>1503</v>
      </c>
      <c r="E61" s="1135">
        <v>0.5</v>
      </c>
      <c r="F61" s="1150">
        <v>80</v>
      </c>
      <c r="H61" s="1101">
        <f>SUMIF(C59:C119,基准地价!C8,E59:E119)</f>
        <v>0</v>
      </c>
    </row>
    <row r="62" spans="1:8" s="1101" customFormat="1" ht="24">
      <c r="A62" s="1150">
        <v>2</v>
      </c>
      <c r="B62" s="3419"/>
      <c r="C62" s="1064" t="s">
        <v>1504</v>
      </c>
      <c r="D62" s="1064" t="s">
        <v>1505</v>
      </c>
      <c r="E62" s="1135">
        <v>0.5</v>
      </c>
      <c r="F62" s="1150">
        <v>80</v>
      </c>
    </row>
    <row r="63" spans="1:8" s="1101" customFormat="1" ht="36">
      <c r="A63" s="1150">
        <v>3</v>
      </c>
      <c r="B63" s="3419"/>
      <c r="C63" s="1064" t="s">
        <v>1506</v>
      </c>
      <c r="D63" s="1064" t="s">
        <v>1507</v>
      </c>
      <c r="E63" s="1135">
        <v>0.5</v>
      </c>
      <c r="F63" s="1150">
        <v>80</v>
      </c>
    </row>
    <row r="64" spans="1:8" s="1101" customFormat="1" ht="36">
      <c r="A64" s="1150">
        <v>4</v>
      </c>
      <c r="B64" s="3419"/>
      <c r="C64" s="1064" t="s">
        <v>1508</v>
      </c>
      <c r="D64" s="1064" t="s">
        <v>1509</v>
      </c>
      <c r="E64" s="1135">
        <v>0.4</v>
      </c>
      <c r="F64" s="1150">
        <v>60</v>
      </c>
    </row>
    <row r="65" spans="1:6" s="1101" customFormat="1" ht="36">
      <c r="A65" s="1150">
        <v>5</v>
      </c>
      <c r="B65" s="3419"/>
      <c r="C65" s="1064" t="s">
        <v>1510</v>
      </c>
      <c r="D65" s="1064" t="s">
        <v>1511</v>
      </c>
      <c r="E65" s="1135">
        <v>0.2</v>
      </c>
      <c r="F65" s="1150">
        <v>30</v>
      </c>
    </row>
    <row r="66" spans="1:6" s="1101" customFormat="1" ht="36">
      <c r="A66" s="1150">
        <v>6</v>
      </c>
      <c r="B66" s="3419"/>
      <c r="C66" s="1064" t="s">
        <v>1512</v>
      </c>
      <c r="D66" s="1064" t="s">
        <v>1513</v>
      </c>
      <c r="E66" s="1135">
        <v>0.3</v>
      </c>
      <c r="F66" s="1150">
        <v>50</v>
      </c>
    </row>
    <row r="67" spans="1:6" s="1101" customFormat="1" ht="36">
      <c r="A67" s="1150">
        <v>7</v>
      </c>
      <c r="B67" s="3419"/>
      <c r="C67" s="1064" t="s">
        <v>1514</v>
      </c>
      <c r="D67" s="1064" t="s">
        <v>1515</v>
      </c>
      <c r="E67" s="1135">
        <v>0.2</v>
      </c>
      <c r="F67" s="1150">
        <v>30</v>
      </c>
    </row>
    <row r="68" spans="1:6" s="1101" customFormat="1" ht="36">
      <c r="A68" s="1150">
        <v>8</v>
      </c>
      <c r="B68" s="3419"/>
      <c r="C68" s="1064" t="s">
        <v>1516</v>
      </c>
      <c r="D68" s="1064" t="s">
        <v>1517</v>
      </c>
      <c r="E68" s="1135">
        <v>0.2</v>
      </c>
      <c r="F68" s="1150">
        <v>30</v>
      </c>
    </row>
    <row r="69" spans="1:6" s="1101" customFormat="1" ht="36">
      <c r="A69" s="1150">
        <v>9</v>
      </c>
      <c r="B69" s="3419"/>
      <c r="C69" s="1064" t="s">
        <v>1518</v>
      </c>
      <c r="D69" s="1064" t="s">
        <v>1519</v>
      </c>
      <c r="E69" s="1135">
        <v>0.2</v>
      </c>
      <c r="F69" s="1150">
        <v>30</v>
      </c>
    </row>
    <row r="70" spans="1:6" s="1101" customFormat="1" ht="48">
      <c r="A70" s="1150">
        <v>10</v>
      </c>
      <c r="B70" s="3419"/>
      <c r="C70" s="1064" t="s">
        <v>1520</v>
      </c>
      <c r="D70" s="1064" t="s">
        <v>1521</v>
      </c>
      <c r="E70" s="1135">
        <v>0.2</v>
      </c>
      <c r="F70" s="1150">
        <v>30</v>
      </c>
    </row>
    <row r="71" spans="1:6" s="1101" customFormat="1" ht="48">
      <c r="A71" s="1150">
        <v>11</v>
      </c>
      <c r="B71" s="3419"/>
      <c r="C71" s="1064" t="s">
        <v>1522</v>
      </c>
      <c r="D71" s="1064" t="s">
        <v>1523</v>
      </c>
      <c r="E71" s="1135">
        <v>0.2</v>
      </c>
      <c r="F71" s="1150">
        <v>30</v>
      </c>
    </row>
    <row r="72" spans="1:6" s="1101" customFormat="1" ht="36">
      <c r="A72" s="1150">
        <v>12</v>
      </c>
      <c r="B72" s="3419"/>
      <c r="C72" s="1064" t="s">
        <v>1524</v>
      </c>
      <c r="D72" s="1064" t="s">
        <v>1525</v>
      </c>
      <c r="E72" s="1135">
        <v>0.5</v>
      </c>
      <c r="F72" s="1150">
        <v>80</v>
      </c>
    </row>
    <row r="73" spans="1:6" s="1101" customFormat="1" ht="24">
      <c r="A73" s="1150">
        <v>13</v>
      </c>
      <c r="B73" s="3419"/>
      <c r="C73" s="1064" t="s">
        <v>1526</v>
      </c>
      <c r="D73" s="1064" t="s">
        <v>1527</v>
      </c>
      <c r="E73" s="1135">
        <v>0.4</v>
      </c>
      <c r="F73" s="1150">
        <v>60</v>
      </c>
    </row>
    <row r="74" spans="1:6" s="1101" customFormat="1" ht="24">
      <c r="A74" s="1150">
        <v>14</v>
      </c>
      <c r="B74" s="3419"/>
      <c r="C74" s="1064" t="s">
        <v>1528</v>
      </c>
      <c r="D74" s="1064" t="s">
        <v>1529</v>
      </c>
      <c r="E74" s="1135">
        <v>0.2</v>
      </c>
      <c r="F74" s="1150">
        <v>30</v>
      </c>
    </row>
    <row r="75" spans="1:6" s="1101" customFormat="1" ht="24">
      <c r="A75" s="1150">
        <v>15</v>
      </c>
      <c r="B75" s="3419"/>
      <c r="C75" s="1064" t="s">
        <v>1530</v>
      </c>
      <c r="D75" s="1064" t="s">
        <v>1531</v>
      </c>
      <c r="E75" s="1135">
        <v>0.2</v>
      </c>
      <c r="F75" s="1150">
        <v>30</v>
      </c>
    </row>
    <row r="76" spans="1:6" s="1101" customFormat="1" ht="24">
      <c r="A76" s="1150">
        <v>16</v>
      </c>
      <c r="B76" s="3419" t="s">
        <v>1532</v>
      </c>
      <c r="C76" s="1064" t="s">
        <v>1533</v>
      </c>
      <c r="D76" s="1064" t="s">
        <v>1534</v>
      </c>
      <c r="E76" s="1135">
        <v>0.5</v>
      </c>
      <c r="F76" s="1150">
        <v>80</v>
      </c>
    </row>
    <row r="77" spans="1:6" s="1101" customFormat="1" ht="24">
      <c r="A77" s="1150">
        <v>17</v>
      </c>
      <c r="B77" s="3419"/>
      <c r="C77" s="1064" t="s">
        <v>1535</v>
      </c>
      <c r="D77" s="1064" t="s">
        <v>1536</v>
      </c>
      <c r="E77" s="1135">
        <v>0.5</v>
      </c>
      <c r="F77" s="1150">
        <v>80</v>
      </c>
    </row>
    <row r="78" spans="1:6" s="1101" customFormat="1" ht="24">
      <c r="A78" s="1150">
        <v>18</v>
      </c>
      <c r="B78" s="3419"/>
      <c r="C78" s="1064" t="s">
        <v>1537</v>
      </c>
      <c r="D78" s="1064" t="s">
        <v>1538</v>
      </c>
      <c r="E78" s="1135">
        <v>0.2</v>
      </c>
      <c r="F78" s="1150">
        <v>30</v>
      </c>
    </row>
    <row r="79" spans="1:6" s="1101" customFormat="1" ht="24">
      <c r="A79" s="1150">
        <v>19</v>
      </c>
      <c r="B79" s="3419"/>
      <c r="C79" s="1064" t="s">
        <v>1539</v>
      </c>
      <c r="D79" s="1064" t="s">
        <v>1540</v>
      </c>
      <c r="E79" s="1135">
        <v>0.5</v>
      </c>
      <c r="F79" s="1150">
        <v>80</v>
      </c>
    </row>
    <row r="80" spans="1:6" s="1101" customFormat="1" ht="36">
      <c r="A80" s="1150">
        <v>20</v>
      </c>
      <c r="B80" s="3419"/>
      <c r="C80" s="1064" t="s">
        <v>1541</v>
      </c>
      <c r="D80" s="1064" t="s">
        <v>1542</v>
      </c>
      <c r="E80" s="1135">
        <v>0.2</v>
      </c>
      <c r="F80" s="1150">
        <v>30</v>
      </c>
    </row>
    <row r="81" spans="1:6" s="1101" customFormat="1" ht="36">
      <c r="A81" s="1150">
        <v>21</v>
      </c>
      <c r="B81" s="3419"/>
      <c r="C81" s="1064" t="s">
        <v>1543</v>
      </c>
      <c r="D81" s="1064" t="s">
        <v>1544</v>
      </c>
      <c r="E81" s="1135">
        <v>0.2</v>
      </c>
      <c r="F81" s="1150">
        <v>30</v>
      </c>
    </row>
    <row r="82" spans="1:6" s="1101" customFormat="1" ht="48">
      <c r="A82" s="1150">
        <v>22</v>
      </c>
      <c r="B82" s="3419"/>
      <c r="C82" s="1064" t="s">
        <v>1545</v>
      </c>
      <c r="D82" s="1064" t="s">
        <v>1546</v>
      </c>
      <c r="E82" s="1135">
        <v>0.2</v>
      </c>
      <c r="F82" s="1150">
        <v>30</v>
      </c>
    </row>
    <row r="83" spans="1:6" s="1101" customFormat="1" ht="48">
      <c r="A83" s="1150">
        <v>23</v>
      </c>
      <c r="B83" s="3419"/>
      <c r="C83" s="1064" t="s">
        <v>1547</v>
      </c>
      <c r="D83" s="1064" t="s">
        <v>1548</v>
      </c>
      <c r="E83" s="1135">
        <v>0.2</v>
      </c>
      <c r="F83" s="1150">
        <v>30</v>
      </c>
    </row>
    <row r="84" spans="1:6" s="1101" customFormat="1" ht="36">
      <c r="A84" s="1150">
        <v>24</v>
      </c>
      <c r="B84" s="3419"/>
      <c r="C84" s="1064" t="s">
        <v>1549</v>
      </c>
      <c r="D84" s="1064" t="s">
        <v>1550</v>
      </c>
      <c r="E84" s="1135">
        <v>0.2</v>
      </c>
      <c r="F84" s="1150">
        <v>30</v>
      </c>
    </row>
    <row r="85" spans="1:6" s="1101" customFormat="1" ht="36">
      <c r="A85" s="1150">
        <v>25</v>
      </c>
      <c r="B85" s="3419"/>
      <c r="C85" s="1064" t="s">
        <v>1551</v>
      </c>
      <c r="D85" s="1064" t="s">
        <v>1552</v>
      </c>
      <c r="E85" s="1135">
        <v>0.5</v>
      </c>
      <c r="F85" s="1150">
        <v>80</v>
      </c>
    </row>
    <row r="86" spans="1:6" s="1101" customFormat="1" ht="36">
      <c r="A86" s="1150">
        <v>26</v>
      </c>
      <c r="B86" s="3419"/>
      <c r="C86" s="1064" t="s">
        <v>1553</v>
      </c>
      <c r="D86" s="1064" t="s">
        <v>1554</v>
      </c>
      <c r="E86" s="1135">
        <v>0.2</v>
      </c>
      <c r="F86" s="1150">
        <v>30</v>
      </c>
    </row>
    <row r="87" spans="1:6" s="1101" customFormat="1" ht="36">
      <c r="A87" s="1150">
        <v>27</v>
      </c>
      <c r="B87" s="3419"/>
      <c r="C87" s="1064" t="s">
        <v>1555</v>
      </c>
      <c r="D87" s="1064" t="s">
        <v>1556</v>
      </c>
      <c r="E87" s="1135">
        <v>0.2</v>
      </c>
      <c r="F87" s="1150">
        <v>30</v>
      </c>
    </row>
    <row r="88" spans="1:6" s="1101" customFormat="1" ht="36">
      <c r="A88" s="1150">
        <v>28</v>
      </c>
      <c r="B88" s="3419"/>
      <c r="C88" s="1064" t="s">
        <v>1557</v>
      </c>
      <c r="D88" s="1064" t="s">
        <v>1558</v>
      </c>
      <c r="E88" s="1135">
        <v>0.2</v>
      </c>
      <c r="F88" s="1150">
        <v>30</v>
      </c>
    </row>
    <row r="89" spans="1:6" s="1101" customFormat="1" ht="24">
      <c r="A89" s="1150">
        <v>29</v>
      </c>
      <c r="B89" s="3419"/>
      <c r="C89" s="1064" t="s">
        <v>1559</v>
      </c>
      <c r="D89" s="1064" t="s">
        <v>1560</v>
      </c>
      <c r="E89" s="1135">
        <v>0.2</v>
      </c>
      <c r="F89" s="1150">
        <v>30</v>
      </c>
    </row>
    <row r="90" spans="1:6" s="1101" customFormat="1" ht="24">
      <c r="A90" s="1150">
        <v>30</v>
      </c>
      <c r="B90" s="3419"/>
      <c r="C90" s="1064" t="s">
        <v>1561</v>
      </c>
      <c r="D90" s="1064" t="s">
        <v>1562</v>
      </c>
      <c r="E90" s="1135">
        <v>0.2</v>
      </c>
      <c r="F90" s="1150">
        <v>30</v>
      </c>
    </row>
    <row r="91" spans="1:6" s="1101" customFormat="1" ht="36">
      <c r="A91" s="1150">
        <v>31</v>
      </c>
      <c r="B91" s="3419"/>
      <c r="C91" s="1064" t="s">
        <v>1563</v>
      </c>
      <c r="D91" s="1064" t="s">
        <v>1564</v>
      </c>
      <c r="E91" s="1135">
        <v>0.2</v>
      </c>
      <c r="F91" s="1150">
        <v>30</v>
      </c>
    </row>
    <row r="92" spans="1:6" s="1101" customFormat="1" ht="24">
      <c r="A92" s="1150">
        <v>32</v>
      </c>
      <c r="B92" s="3419" t="s">
        <v>1565</v>
      </c>
      <c r="C92" s="1150" t="s">
        <v>1566</v>
      </c>
      <c r="D92" s="1064" t="s">
        <v>1567</v>
      </c>
      <c r="E92" s="1135">
        <v>0.2</v>
      </c>
      <c r="F92" s="1150">
        <v>30</v>
      </c>
    </row>
    <row r="93" spans="1:6" s="1101" customFormat="1" ht="36">
      <c r="A93" s="1150">
        <v>33</v>
      </c>
      <c r="B93" s="3419"/>
      <c r="C93" s="1150" t="s">
        <v>1568</v>
      </c>
      <c r="D93" s="1064" t="s">
        <v>1569</v>
      </c>
      <c r="E93" s="1135">
        <v>0.2</v>
      </c>
      <c r="F93" s="1150">
        <v>30</v>
      </c>
    </row>
    <row r="94" spans="1:6" s="1101" customFormat="1" ht="48">
      <c r="A94" s="1150">
        <v>34</v>
      </c>
      <c r="B94" s="3419"/>
      <c r="C94" s="1150" t="s">
        <v>1570</v>
      </c>
      <c r="D94" s="1064" t="s">
        <v>1571</v>
      </c>
      <c r="E94" s="1135">
        <v>0.2</v>
      </c>
      <c r="F94" s="1150">
        <v>30</v>
      </c>
    </row>
    <row r="95" spans="1:6" s="1101" customFormat="1" ht="36">
      <c r="A95" s="1150">
        <v>35</v>
      </c>
      <c r="B95" s="3419"/>
      <c r="C95" s="1150" t="s">
        <v>1572</v>
      </c>
      <c r="D95" s="1064" t="s">
        <v>1573</v>
      </c>
      <c r="E95" s="1135">
        <v>0.2</v>
      </c>
      <c r="F95" s="1150">
        <v>30</v>
      </c>
    </row>
    <row r="96" spans="1:6" s="1101" customFormat="1" ht="48">
      <c r="A96" s="1150">
        <v>36</v>
      </c>
      <c r="B96" s="3419"/>
      <c r="C96" s="1064" t="s">
        <v>1574</v>
      </c>
      <c r="D96" s="1064" t="s">
        <v>1575</v>
      </c>
      <c r="E96" s="1135">
        <v>0.2</v>
      </c>
      <c r="F96" s="1150">
        <v>30</v>
      </c>
    </row>
    <row r="97" spans="1:6" s="1101" customFormat="1" ht="36">
      <c r="A97" s="1150">
        <v>37</v>
      </c>
      <c r="B97" s="3419"/>
      <c r="C97" s="1150" t="s">
        <v>1576</v>
      </c>
      <c r="D97" s="1064" t="s">
        <v>1577</v>
      </c>
      <c r="E97" s="1135">
        <v>0.2</v>
      </c>
      <c r="F97" s="1150">
        <v>30</v>
      </c>
    </row>
    <row r="98" spans="1:6" s="1101" customFormat="1" ht="36">
      <c r="A98" s="1150">
        <v>38</v>
      </c>
      <c r="B98" s="3419"/>
      <c r="C98" s="1150" t="s">
        <v>1578</v>
      </c>
      <c r="D98" s="1064" t="s">
        <v>1579</v>
      </c>
      <c r="E98" s="1135">
        <v>0.2</v>
      </c>
      <c r="F98" s="1150">
        <v>30</v>
      </c>
    </row>
    <row r="99" spans="1:6" s="1101" customFormat="1" ht="36">
      <c r="A99" s="1150">
        <v>39</v>
      </c>
      <c r="B99" s="3419" t="s">
        <v>1580</v>
      </c>
      <c r="C99" s="1150" t="s">
        <v>1581</v>
      </c>
      <c r="D99" s="1064" t="s">
        <v>1582</v>
      </c>
      <c r="E99" s="1135">
        <v>0.3</v>
      </c>
      <c r="F99" s="1150">
        <v>50</v>
      </c>
    </row>
    <row r="100" spans="1:6" s="1101" customFormat="1" ht="24">
      <c r="A100" s="1150">
        <v>40</v>
      </c>
      <c r="B100" s="3419"/>
      <c r="C100" s="1150" t="s">
        <v>1583</v>
      </c>
      <c r="D100" s="1064" t="s">
        <v>1584</v>
      </c>
      <c r="E100" s="1135">
        <v>0.2</v>
      </c>
      <c r="F100" s="1150">
        <v>30</v>
      </c>
    </row>
    <row r="101" spans="1:6" s="1101" customFormat="1" ht="36">
      <c r="A101" s="1150">
        <v>41</v>
      </c>
      <c r="B101" s="341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9" t="s">
        <v>1595</v>
      </c>
      <c r="C105" s="1150" t="s">
        <v>1596</v>
      </c>
      <c r="D105" s="1064" t="s">
        <v>1597</v>
      </c>
      <c r="E105" s="1135">
        <v>0.2</v>
      </c>
      <c r="F105" s="1150">
        <v>30</v>
      </c>
    </row>
    <row r="106" spans="1:6" s="1101" customFormat="1" ht="36">
      <c r="A106" s="1150">
        <v>46</v>
      </c>
      <c r="B106" s="3419"/>
      <c r="C106" s="1150" t="s">
        <v>1598</v>
      </c>
      <c r="D106" s="1064" t="s">
        <v>1599</v>
      </c>
      <c r="E106" s="1135">
        <v>0.2</v>
      </c>
      <c r="F106" s="1150">
        <v>30</v>
      </c>
    </row>
    <row r="107" spans="1:6" s="1101" customFormat="1" ht="36">
      <c r="A107" s="1150">
        <v>47</v>
      </c>
      <c r="B107" s="3419" t="s">
        <v>1600</v>
      </c>
      <c r="C107" s="1150" t="s">
        <v>1601</v>
      </c>
      <c r="D107" s="1064" t="s">
        <v>1602</v>
      </c>
      <c r="E107" s="1135">
        <v>0.3</v>
      </c>
      <c r="F107" s="1150">
        <v>50</v>
      </c>
    </row>
    <row r="108" spans="1:6" s="1101" customFormat="1" ht="36">
      <c r="A108" s="1150">
        <v>48</v>
      </c>
      <c r="B108" s="341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9" t="s">
        <v>1611</v>
      </c>
      <c r="C111" s="1150" t="s">
        <v>1612</v>
      </c>
      <c r="D111" s="1064" t="s">
        <v>1613</v>
      </c>
      <c r="E111" s="1135">
        <v>0.2</v>
      </c>
      <c r="F111" s="1150">
        <v>30</v>
      </c>
    </row>
    <row r="112" spans="1:6" s="1101" customFormat="1" ht="24">
      <c r="A112" s="1150">
        <v>52</v>
      </c>
      <c r="B112" s="3419"/>
      <c r="C112" s="1150" t="s">
        <v>1614</v>
      </c>
      <c r="D112" s="1064" t="s">
        <v>1615</v>
      </c>
      <c r="E112" s="1135">
        <v>0.2</v>
      </c>
      <c r="F112" s="1150">
        <v>30</v>
      </c>
    </row>
    <row r="113" spans="1:14" s="1101" customFormat="1" ht="24">
      <c r="A113" s="1150">
        <v>53</v>
      </c>
      <c r="B113" s="341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9" t="s">
        <v>1624</v>
      </c>
      <c r="C116" s="1150" t="s">
        <v>1625</v>
      </c>
      <c r="D116" s="1064" t="s">
        <v>1626</v>
      </c>
      <c r="E116" s="1135">
        <v>0.2</v>
      </c>
      <c r="F116" s="1150">
        <v>30</v>
      </c>
    </row>
    <row r="117" spans="1:14" ht="36">
      <c r="A117" s="1150">
        <v>57</v>
      </c>
      <c r="B117" s="341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8" t="s">
        <v>1633</v>
      </c>
      <c r="B121" s="3418"/>
      <c r="C121" s="3418"/>
      <c r="D121" s="3418"/>
      <c r="E121" s="3418"/>
      <c r="F121" s="3418"/>
      <c r="G121" s="3418"/>
      <c r="H121" s="3418"/>
      <c r="I121" s="3418"/>
      <c r="J121" s="341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7" t="s">
        <v>2079</v>
      </c>
      <c r="B1" s="3437"/>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0" t="s">
        <v>2576</v>
      </c>
      <c r="C1" s="3440"/>
      <c r="D1" s="3440"/>
      <c r="E1" s="3440"/>
      <c r="F1" s="3440"/>
      <c r="G1" s="3439" t="s">
        <v>2577</v>
      </c>
      <c r="H1" s="3439"/>
      <c r="I1" s="3439"/>
      <c r="J1" s="3439"/>
      <c r="K1" s="3439"/>
      <c r="L1" s="3439"/>
      <c r="N1" s="3439" t="s">
        <v>2578</v>
      </c>
      <c r="O1" s="3439"/>
      <c r="P1" s="3439"/>
      <c r="Q1" s="3439"/>
      <c r="R1" s="2619"/>
      <c r="S1" s="3439" t="s">
        <v>2579</v>
      </c>
      <c r="T1" s="3439"/>
      <c r="U1" s="3439"/>
      <c r="V1" s="3439"/>
      <c r="X1" s="3438" t="s">
        <v>2639</v>
      </c>
      <c r="Y1" s="3439"/>
      <c r="Z1" s="3439"/>
      <c r="AA1" s="3439"/>
      <c r="AB1" s="3439"/>
      <c r="AD1" s="3438" t="s">
        <v>2643</v>
      </c>
      <c r="AE1" s="3439"/>
      <c r="AF1" s="3439"/>
      <c r="AG1" s="3439"/>
      <c r="AH1" s="3439"/>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B6*(1+N5)</f>
        <v>474.30670301923408</v>
      </c>
      <c r="C5" s="2752">
        <f>C6*(1+O5)</f>
        <v>349.50705005996491</v>
      </c>
      <c r="D5" s="2752">
        <f t="shared" ref="D5:D10" si="2">C5</f>
        <v>349.50705005996491</v>
      </c>
      <c r="E5" s="2752">
        <f t="shared" ref="E5:F11" si="3">E6*(1+P5)</f>
        <v>678.22831959706957</v>
      </c>
      <c r="F5" s="2752">
        <f t="shared" si="3"/>
        <v>312.0556832169558</v>
      </c>
      <c r="G5" s="2719">
        <v>2019</v>
      </c>
      <c r="H5" s="3067">
        <v>3</v>
      </c>
      <c r="I5" s="3081">
        <v>0</v>
      </c>
      <c r="J5" s="3081">
        <v>0</v>
      </c>
      <c r="K5" s="3081">
        <v>0</v>
      </c>
      <c r="L5" s="3081">
        <v>0</v>
      </c>
      <c r="N5" s="2726">
        <f t="shared" ref="N5:Q10" si="4">I5/100</f>
        <v>0</v>
      </c>
      <c r="O5" s="2726">
        <f t="shared" si="4"/>
        <v>0</v>
      </c>
      <c r="P5" s="2726">
        <f t="shared" si="4"/>
        <v>0</v>
      </c>
      <c r="Q5" s="2726">
        <f t="shared" si="4"/>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Z11" si="5">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AF11" si="6">AE5</f>
        <v>1.44E-2</v>
      </c>
      <c r="AG5" s="3072">
        <f>ROUND(AVERAGE(K5:K$27)/100,4)</f>
        <v>2.23E-2</v>
      </c>
      <c r="AH5" s="3072">
        <f>ROUND(AVERAGE(L5:L$27)/100,4)</f>
        <v>1.4E-2</v>
      </c>
    </row>
    <row r="6" spans="1:34" s="2725" customFormat="1">
      <c r="A6" s="2620" t="s">
        <v>2995</v>
      </c>
      <c r="B6" s="2633">
        <f t="shared" ref="B6:B11" si="7">B7*(1+N6)</f>
        <v>474.30670301923408</v>
      </c>
      <c r="C6" s="2633">
        <f t="shared" ref="C6:C11" si="8">C7*(1+O6)</f>
        <v>349.50705005996491</v>
      </c>
      <c r="D6" s="2633">
        <f t="shared" si="2"/>
        <v>349.50705005996491</v>
      </c>
      <c r="E6" s="2633">
        <f t="shared" si="3"/>
        <v>678.22831959706957</v>
      </c>
      <c r="F6" s="2633">
        <f t="shared" si="3"/>
        <v>312.0556832169558</v>
      </c>
      <c r="G6" s="2719">
        <v>2019</v>
      </c>
      <c r="H6" s="2621">
        <v>2</v>
      </c>
      <c r="I6" s="3183">
        <v>1.53</v>
      </c>
      <c r="J6" s="3183">
        <v>1.01</v>
      </c>
      <c r="K6" s="3183">
        <v>1.62</v>
      </c>
      <c r="L6" s="3184">
        <v>1.25</v>
      </c>
      <c r="M6" s="2627"/>
      <c r="N6" s="2628">
        <f t="shared" si="4"/>
        <v>1.5300000000000001E-2</v>
      </c>
      <c r="O6" s="2629">
        <f t="shared" si="4"/>
        <v>1.01E-2</v>
      </c>
      <c r="P6" s="2629">
        <f t="shared" si="4"/>
        <v>1.6200000000000003E-2</v>
      </c>
      <c r="Q6" s="2629">
        <f t="shared" si="4"/>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si="5"/>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si="6"/>
        <v>1.4999999999999999E-2</v>
      </c>
      <c r="AG6" s="2638">
        <f>ROUND(AVERAGE(K6:K$27)/100,4)</f>
        <v>2.3300000000000001E-2</v>
      </c>
      <c r="AH6" s="2638">
        <f>ROUND(AVERAGE(L6:L$27)/100,4)</f>
        <v>1.46E-2</v>
      </c>
    </row>
    <row r="7" spans="1:34" s="2725" customFormat="1" ht="13.5" thickBot="1">
      <c r="A7" s="2620" t="s">
        <v>2993</v>
      </c>
      <c r="B7" s="2633">
        <f t="shared" si="7"/>
        <v>467.15916775261894</v>
      </c>
      <c r="C7" s="2633">
        <f t="shared" si="8"/>
        <v>346.01232557169084</v>
      </c>
      <c r="D7" s="2633">
        <f t="shared" si="2"/>
        <v>346.01232557169084</v>
      </c>
      <c r="E7" s="2633">
        <f t="shared" si="3"/>
        <v>667.41617752122568</v>
      </c>
      <c r="F7" s="2633">
        <f t="shared" si="3"/>
        <v>308.20314391798104</v>
      </c>
      <c r="G7" s="2719">
        <v>2019</v>
      </c>
      <c r="H7" s="2623">
        <v>1</v>
      </c>
      <c r="I7" s="2623">
        <v>0.6</v>
      </c>
      <c r="J7" s="2623">
        <v>0.37</v>
      </c>
      <c r="K7" s="2623">
        <v>0.63</v>
      </c>
      <c r="L7" s="2634">
        <v>1.1299999999999999</v>
      </c>
      <c r="M7" s="2627"/>
      <c r="N7" s="2628">
        <f t="shared" si="4"/>
        <v>6.0000000000000001E-3</v>
      </c>
      <c r="O7" s="2629">
        <f t="shared" si="4"/>
        <v>3.7000000000000002E-3</v>
      </c>
      <c r="P7" s="2629">
        <f t="shared" si="4"/>
        <v>6.3E-3</v>
      </c>
      <c r="Q7" s="2629">
        <f t="shared" si="4"/>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si="5"/>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si="6"/>
        <v>1.5299999999999999E-2</v>
      </c>
      <c r="AG7" s="2638">
        <f>ROUND(AVERAGE(K7:K$27)/100,4)</f>
        <v>2.3699999999999999E-2</v>
      </c>
      <c r="AH7" s="2638">
        <f>ROUND(AVERAGE(L7:L$27)/100,4)</f>
        <v>1.47E-2</v>
      </c>
    </row>
    <row r="8" spans="1:34" s="2725" customFormat="1">
      <c r="A8" s="2620" t="s">
        <v>2990</v>
      </c>
      <c r="B8" s="3180">
        <f t="shared" si="7"/>
        <v>464.37293017158942</v>
      </c>
      <c r="C8" s="3180">
        <f t="shared" si="8"/>
        <v>344.73679941385956</v>
      </c>
      <c r="D8" s="3180">
        <f t="shared" si="2"/>
        <v>344.73679941385956</v>
      </c>
      <c r="E8" s="3180">
        <f t="shared" si="3"/>
        <v>663.2377795103107</v>
      </c>
      <c r="F8" s="3181">
        <f t="shared" si="3"/>
        <v>304.75936311478398</v>
      </c>
      <c r="G8" s="3442">
        <v>2018</v>
      </c>
      <c r="H8" s="2621">
        <v>4</v>
      </c>
      <c r="I8" s="2621">
        <v>0.96</v>
      </c>
      <c r="J8" s="2621">
        <v>1.03</v>
      </c>
      <c r="K8" s="2621">
        <v>0.92</v>
      </c>
      <c r="L8" s="2622">
        <v>1.29</v>
      </c>
      <c r="M8" s="2627"/>
      <c r="N8" s="2628">
        <f t="shared" si="4"/>
        <v>9.5999999999999992E-3</v>
      </c>
      <c r="O8" s="2629">
        <f t="shared" si="4"/>
        <v>1.03E-2</v>
      </c>
      <c r="P8" s="2629">
        <f t="shared" si="4"/>
        <v>9.1999999999999998E-3</v>
      </c>
      <c r="Q8" s="2629">
        <f t="shared" si="4"/>
        <v>1.29E-2</v>
      </c>
      <c r="R8" s="2630"/>
      <c r="S8" s="2631"/>
      <c r="T8" s="2632"/>
      <c r="U8" s="2632"/>
      <c r="V8" s="2632"/>
      <c r="W8" s="2627"/>
      <c r="X8" s="2718">
        <f>ROUND(SUMPRODUCT(PRODUCT(1+N8:N$26)),4)</f>
        <v>1.5099</v>
      </c>
      <c r="Y8" s="2718">
        <f>ROUND(SUMPRODUCT(PRODUCT(1+O8:O$26)),4)</f>
        <v>1.3372999999999999</v>
      </c>
      <c r="Z8" s="2718">
        <f t="shared" si="5"/>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si="6"/>
        <v>1.5800000000000002E-2</v>
      </c>
      <c r="AG8" s="2638">
        <f>ROUND(AVERAGE(K8:K$27)/100,4)</f>
        <v>2.4500000000000001E-2</v>
      </c>
      <c r="AH8" s="2638">
        <f>ROUND(AVERAGE(L8:L$27)/100,4)</f>
        <v>1.49E-2</v>
      </c>
    </row>
    <row r="9" spans="1:34" s="2725" customFormat="1" ht="14.45" customHeight="1">
      <c r="A9" s="2620" t="s">
        <v>2980</v>
      </c>
      <c r="B9" s="2633">
        <f t="shared" si="7"/>
        <v>459.95733971036987</v>
      </c>
      <c r="C9" s="2633">
        <f t="shared" si="8"/>
        <v>341.22221064422405</v>
      </c>
      <c r="D9" s="2633">
        <f t="shared" si="2"/>
        <v>341.22221064422405</v>
      </c>
      <c r="E9" s="2633">
        <f t="shared" si="3"/>
        <v>657.19161663724799</v>
      </c>
      <c r="F9" s="2633">
        <f t="shared" si="3"/>
        <v>300.87803644464805</v>
      </c>
      <c r="G9" s="3442"/>
      <c r="H9" s="2623">
        <v>3</v>
      </c>
      <c r="I9" s="2623">
        <v>1.51</v>
      </c>
      <c r="J9" s="2623">
        <v>1.41</v>
      </c>
      <c r="K9" s="2623">
        <v>1.52</v>
      </c>
      <c r="L9" s="2634">
        <v>1.74</v>
      </c>
      <c r="M9" s="2627"/>
      <c r="N9" s="2628">
        <f t="shared" si="4"/>
        <v>1.5100000000000001E-2</v>
      </c>
      <c r="O9" s="2629">
        <f t="shared" si="4"/>
        <v>1.41E-2</v>
      </c>
      <c r="P9" s="2629">
        <f t="shared" si="4"/>
        <v>1.52E-2</v>
      </c>
      <c r="Q9" s="2629">
        <f t="shared" si="4"/>
        <v>1.7399999999999999E-2</v>
      </c>
      <c r="R9" s="2630"/>
      <c r="S9" s="2628"/>
      <c r="T9" s="2629"/>
      <c r="U9" s="2629"/>
      <c r="V9" s="2629"/>
      <c r="W9" s="2627"/>
      <c r="X9" s="2718">
        <f>ROUND(SUMPRODUCT(PRODUCT(1+N9:N$26)),4)</f>
        <v>1.4956</v>
      </c>
      <c r="Y9" s="2718">
        <f>ROUND(SUMPRODUCT(PRODUCT(1+O9:O$26)),4)</f>
        <v>1.3237000000000001</v>
      </c>
      <c r="Z9" s="2718">
        <f t="shared" si="5"/>
        <v>1.3237000000000001</v>
      </c>
      <c r="AA9" s="2718">
        <f>ROUND(SUMPRODUCT(PRODUCT(1+P9:P$26)),4)</f>
        <v>1.554</v>
      </c>
      <c r="AB9" s="2718">
        <f>ROUND(SUMPRODUCT(PRODUCT(1+Q9:Q$26)),4)</f>
        <v>1.3087</v>
      </c>
      <c r="AC9" s="2627"/>
      <c r="AD9" s="2638">
        <f>ROUND(AVERAGE(I9:I$27)/100,4)</f>
        <v>2.3099999999999999E-2</v>
      </c>
      <c r="AE9" s="2638">
        <f>ROUND(AVERAGE(J9:J$27)/100,4)</f>
        <v>1.61E-2</v>
      </c>
      <c r="AF9" s="2638">
        <f t="shared" si="6"/>
        <v>1.61E-2</v>
      </c>
      <c r="AG9" s="2638">
        <f>ROUND(AVERAGE(K9:K$27)/100,4)</f>
        <v>2.53E-2</v>
      </c>
      <c r="AH9" s="2638">
        <f>ROUND(AVERAGE(L9:L$27)/100,4)</f>
        <v>1.4999999999999999E-2</v>
      </c>
    </row>
    <row r="10" spans="1:34" s="2725" customFormat="1" ht="14.45" customHeight="1">
      <c r="A10" s="2620" t="s">
        <v>2981</v>
      </c>
      <c r="B10" s="2633">
        <f t="shared" si="7"/>
        <v>453.11529869999993</v>
      </c>
      <c r="C10" s="2633">
        <f t="shared" si="8"/>
        <v>336.47787264000004</v>
      </c>
      <c r="D10" s="2633">
        <f t="shared" si="2"/>
        <v>336.47787264000004</v>
      </c>
      <c r="E10" s="2633">
        <f t="shared" si="3"/>
        <v>647.35186823999993</v>
      </c>
      <c r="F10" s="2633">
        <f t="shared" si="3"/>
        <v>295.73229452000004</v>
      </c>
      <c r="G10" s="3442"/>
      <c r="H10" s="2624">
        <v>2</v>
      </c>
      <c r="I10" s="2624">
        <v>1.49</v>
      </c>
      <c r="J10" s="2624">
        <v>0.96</v>
      </c>
      <c r="K10" s="2624">
        <v>1.58</v>
      </c>
      <c r="L10" s="2635">
        <v>2.44</v>
      </c>
      <c r="M10" s="2627"/>
      <c r="N10" s="2628">
        <f t="shared" si="4"/>
        <v>1.49E-2</v>
      </c>
      <c r="O10" s="2629">
        <f t="shared" si="4"/>
        <v>9.5999999999999992E-3</v>
      </c>
      <c r="P10" s="2629">
        <f t="shared" si="4"/>
        <v>1.5800000000000002E-2</v>
      </c>
      <c r="Q10" s="2629">
        <f t="shared" si="4"/>
        <v>2.4399999999999998E-2</v>
      </c>
      <c r="R10" s="2630"/>
      <c r="S10" s="2628"/>
      <c r="T10" s="2629"/>
      <c r="U10" s="2629"/>
      <c r="V10" s="2629"/>
      <c r="W10" s="2627"/>
      <c r="X10" s="2718">
        <f>ROUND(SUMPRODUCT(PRODUCT(1+N10:N$26)),4)</f>
        <v>1.4733000000000001</v>
      </c>
      <c r="Y10" s="2718">
        <f>ROUND(SUMPRODUCT(PRODUCT(1+O10:O$26)),4)</f>
        <v>1.3052999999999999</v>
      </c>
      <c r="Z10" s="2718">
        <f t="shared" si="5"/>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si="6"/>
        <v>1.6199999999999999E-2</v>
      </c>
      <c r="AG10" s="2638">
        <f>ROUND(AVERAGE(K10:K$27)/100,4)</f>
        <v>2.5899999999999999E-2</v>
      </c>
      <c r="AH10" s="2638">
        <f>ROUND(AVERAGE(L10:L$27)/100,4)</f>
        <v>1.49E-2</v>
      </c>
    </row>
    <row r="11" spans="1:34" s="2725" customFormat="1" ht="15" customHeight="1" thickBot="1">
      <c r="A11" s="2620" t="s">
        <v>2977</v>
      </c>
      <c r="B11" s="2633">
        <f t="shared" si="7"/>
        <v>446.46299999999997</v>
      </c>
      <c r="C11" s="2633">
        <f t="shared" si="8"/>
        <v>333.27840000000003</v>
      </c>
      <c r="D11" s="2633">
        <f t="shared" ref="D11:D16" si="9">C11</f>
        <v>333.27840000000003</v>
      </c>
      <c r="E11" s="2633">
        <f t="shared" si="3"/>
        <v>637.28279999999995</v>
      </c>
      <c r="F11" s="2633">
        <f t="shared" si="3"/>
        <v>288.68830000000003</v>
      </c>
      <c r="G11" s="3448"/>
      <c r="H11" s="2623">
        <v>1</v>
      </c>
      <c r="I11" s="2623">
        <v>1.7</v>
      </c>
      <c r="J11" s="2623">
        <v>1.92</v>
      </c>
      <c r="K11" s="2623">
        <v>1.64</v>
      </c>
      <c r="L11" s="2634">
        <v>2.0099999999999998</v>
      </c>
      <c r="M11" s="2627"/>
      <c r="N11" s="2628">
        <f t="shared" ref="N11:N16" si="10">I11/100</f>
        <v>1.7000000000000001E-2</v>
      </c>
      <c r="O11" s="2629">
        <f t="shared" ref="O11:Q15" si="11">J11/100</f>
        <v>1.9199999999999998E-2</v>
      </c>
      <c r="P11" s="2629">
        <f t="shared" si="11"/>
        <v>1.6399999999999998E-2</v>
      </c>
      <c r="Q11" s="2629">
        <f t="shared" si="11"/>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si="5"/>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si="6"/>
        <v>1.66E-2</v>
      </c>
      <c r="AG11" s="2638">
        <f>ROUND(AVERAGE(K11:K$27)/100,4)</f>
        <v>2.6499999999999999E-2</v>
      </c>
      <c r="AH11" s="2638">
        <f>ROUND(AVERAGE(L11:L$27)/100,4)</f>
        <v>1.43E-2</v>
      </c>
    </row>
    <row r="12" spans="1:34">
      <c r="A12" s="2620" t="s">
        <v>2968</v>
      </c>
      <c r="B12" s="3098">
        <v>439</v>
      </c>
      <c r="C12" s="3098">
        <v>327</v>
      </c>
      <c r="D12" s="3098">
        <f t="shared" si="9"/>
        <v>327</v>
      </c>
      <c r="E12" s="3098">
        <v>627</v>
      </c>
      <c r="F12" s="3099">
        <v>283</v>
      </c>
      <c r="G12" s="3447">
        <v>2017</v>
      </c>
      <c r="H12" s="2621">
        <v>4</v>
      </c>
      <c r="I12" s="2621">
        <v>1.71</v>
      </c>
      <c r="J12" s="2621">
        <v>1.78</v>
      </c>
      <c r="K12" s="2621">
        <v>1.71</v>
      </c>
      <c r="L12" s="2622">
        <v>1.43</v>
      </c>
      <c r="N12" s="2641">
        <f t="shared" si="10"/>
        <v>1.7100000000000001E-2</v>
      </c>
      <c r="O12" s="2642">
        <f t="shared" si="11"/>
        <v>1.78E-2</v>
      </c>
      <c r="P12" s="2642">
        <f t="shared" si="11"/>
        <v>1.7100000000000001E-2</v>
      </c>
      <c r="Q12" s="2642">
        <f t="shared" si="11"/>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12">B14*(1+N13)</f>
        <v>431.80730811680002</v>
      </c>
      <c r="C13" s="2633">
        <f t="shared" si="12"/>
        <v>320.57880516480003</v>
      </c>
      <c r="D13" s="2633">
        <f t="shared" si="9"/>
        <v>320.57880516480003</v>
      </c>
      <c r="E13" s="2633">
        <f t="shared" ref="E13:F15" si="13">E14*(1+P13)</f>
        <v>615.96110553196797</v>
      </c>
      <c r="F13" s="2633">
        <f t="shared" si="13"/>
        <v>279.46777300108801</v>
      </c>
      <c r="G13" s="3442"/>
      <c r="H13" s="2623">
        <v>3</v>
      </c>
      <c r="I13" s="2623">
        <v>2.98</v>
      </c>
      <c r="J13" s="2623">
        <v>2.11</v>
      </c>
      <c r="K13" s="2623">
        <v>3.24</v>
      </c>
      <c r="L13" s="2634">
        <v>1.72</v>
      </c>
      <c r="M13" s="2627"/>
      <c r="N13" s="2628">
        <f t="shared" si="10"/>
        <v>2.98E-2</v>
      </c>
      <c r="O13" s="2646">
        <f t="shared" si="11"/>
        <v>2.1099999999999997E-2</v>
      </c>
      <c r="P13" s="2646">
        <f t="shared" si="11"/>
        <v>3.2400000000000005E-2</v>
      </c>
      <c r="Q13" s="2646">
        <f t="shared" si="11"/>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12"/>
        <v>419.31181600000002</v>
      </c>
      <c r="C14" s="2633">
        <f t="shared" si="12"/>
        <v>313.95436800000004</v>
      </c>
      <c r="D14" s="2633">
        <f t="shared" si="9"/>
        <v>313.95436800000004</v>
      </c>
      <c r="E14" s="2633">
        <f t="shared" si="13"/>
        <v>596.63028431999999</v>
      </c>
      <c r="F14" s="2633">
        <f t="shared" si="13"/>
        <v>274.74220703999998</v>
      </c>
      <c r="G14" s="3442"/>
      <c r="H14" s="2624">
        <v>2</v>
      </c>
      <c r="I14" s="2624">
        <v>3.4</v>
      </c>
      <c r="J14" s="2624">
        <v>2</v>
      </c>
      <c r="K14" s="2624">
        <v>3.82</v>
      </c>
      <c r="L14" s="2635">
        <v>1.68</v>
      </c>
      <c r="N14" s="2628">
        <f t="shared" si="10"/>
        <v>3.4000000000000002E-2</v>
      </c>
      <c r="O14" s="2646">
        <f t="shared" si="11"/>
        <v>0.02</v>
      </c>
      <c r="P14" s="2646">
        <f t="shared" si="11"/>
        <v>3.8199999999999998E-2</v>
      </c>
      <c r="Q14" s="2646">
        <f t="shared" si="1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12"/>
        <v>405.524</v>
      </c>
      <c r="C15" s="2633">
        <f t="shared" si="12"/>
        <v>307.79840000000002</v>
      </c>
      <c r="D15" s="2633">
        <f t="shared" si="9"/>
        <v>307.79840000000002</v>
      </c>
      <c r="E15" s="2633">
        <f t="shared" si="13"/>
        <v>574.67759999999998</v>
      </c>
      <c r="F15" s="2633">
        <f t="shared" si="13"/>
        <v>270.20280000000002</v>
      </c>
      <c r="G15" s="3448"/>
      <c r="H15" s="2623">
        <v>1</v>
      </c>
      <c r="I15" s="2623">
        <v>3.45</v>
      </c>
      <c r="J15" s="2623">
        <v>1.92</v>
      </c>
      <c r="K15" s="2623">
        <v>3.92</v>
      </c>
      <c r="L15" s="2634">
        <v>1.58</v>
      </c>
      <c r="M15" s="2627"/>
      <c r="N15" s="2636">
        <f t="shared" si="10"/>
        <v>3.4500000000000003E-2</v>
      </c>
      <c r="O15" s="2637">
        <f t="shared" si="11"/>
        <v>1.9199999999999998E-2</v>
      </c>
      <c r="P15" s="2637">
        <f t="shared" si="11"/>
        <v>3.9199999999999999E-2</v>
      </c>
      <c r="Q15" s="2637">
        <f t="shared" si="11"/>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9"/>
        <v>302</v>
      </c>
      <c r="E16" s="2625">
        <v>553</v>
      </c>
      <c r="F16" s="2626">
        <v>266</v>
      </c>
      <c r="G16" s="3447">
        <v>2016</v>
      </c>
      <c r="H16" s="2621">
        <v>4</v>
      </c>
      <c r="I16" s="2621">
        <v>4.5599999999999996</v>
      </c>
      <c r="J16" s="2621">
        <v>2.15</v>
      </c>
      <c r="K16" s="2621">
        <v>5.32</v>
      </c>
      <c r="L16" s="2622">
        <v>1.57</v>
      </c>
      <c r="N16" s="2628">
        <f t="shared" si="10"/>
        <v>4.5599999999999995E-2</v>
      </c>
      <c r="O16" s="2629">
        <f t="shared" ref="O16:Q31" si="14">J16/100</f>
        <v>2.1499999999999998E-2</v>
      </c>
      <c r="P16" s="2629">
        <f t="shared" si="14"/>
        <v>5.3200000000000004E-2</v>
      </c>
      <c r="Q16" s="2629">
        <f t="shared" si="14"/>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15">B16/(1+N16)</f>
        <v>374.90436113236416</v>
      </c>
      <c r="C17" s="2633">
        <f t="shared" si="15"/>
        <v>295.64366128242779</v>
      </c>
      <c r="D17" s="2633">
        <f t="shared" ref="D17:D76" si="16">C17</f>
        <v>295.64366128242779</v>
      </c>
      <c r="E17" s="2633">
        <f t="shared" ref="E17:F19" si="17">E16/(1+P16)</f>
        <v>525.06646410938095</v>
      </c>
      <c r="F17" s="2633">
        <f t="shared" si="17"/>
        <v>261.88835286009646</v>
      </c>
      <c r="G17" s="3442"/>
      <c r="H17" s="2623">
        <v>3</v>
      </c>
      <c r="I17" s="2623">
        <v>4.12</v>
      </c>
      <c r="J17" s="2623">
        <v>2</v>
      </c>
      <c r="K17" s="2623">
        <v>4.79</v>
      </c>
      <c r="L17" s="2634">
        <v>1.97</v>
      </c>
      <c r="N17" s="2628">
        <f t="shared" ref="N17:Q51" si="18">I17/100</f>
        <v>4.1200000000000001E-2</v>
      </c>
      <c r="O17" s="2629">
        <f t="shared" si="14"/>
        <v>0.02</v>
      </c>
      <c r="P17" s="2629">
        <f t="shared" si="14"/>
        <v>4.7899999999999998E-2</v>
      </c>
      <c r="Q17" s="2629">
        <f t="shared" si="14"/>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15"/>
        <v>360.06949782209392</v>
      </c>
      <c r="C18" s="2633">
        <f t="shared" si="15"/>
        <v>289.84672674747821</v>
      </c>
      <c r="D18" s="2633">
        <f t="shared" si="16"/>
        <v>289.84672674747821</v>
      </c>
      <c r="E18" s="2633">
        <f t="shared" si="17"/>
        <v>501.06543001181495</v>
      </c>
      <c r="F18" s="2633">
        <f t="shared" si="17"/>
        <v>256.82882500744967</v>
      </c>
      <c r="G18" s="3442"/>
      <c r="H18" s="2624">
        <v>2</v>
      </c>
      <c r="I18" s="2624">
        <v>3.85</v>
      </c>
      <c r="J18" s="2624">
        <v>1.95</v>
      </c>
      <c r="K18" s="2624">
        <v>4.4800000000000004</v>
      </c>
      <c r="L18" s="2635">
        <v>1.41</v>
      </c>
      <c r="N18" s="2628">
        <f t="shared" si="18"/>
        <v>3.85E-2</v>
      </c>
      <c r="O18" s="2629">
        <f t="shared" si="14"/>
        <v>1.95E-2</v>
      </c>
      <c r="P18" s="2629">
        <f t="shared" si="14"/>
        <v>4.4800000000000006E-2</v>
      </c>
      <c r="Q18" s="2629">
        <f t="shared" si="14"/>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15"/>
        <v>346.720748986128</v>
      </c>
      <c r="C19" s="2633">
        <f t="shared" si="15"/>
        <v>284.30282172386285</v>
      </c>
      <c r="D19" s="2633">
        <f t="shared" si="16"/>
        <v>284.30282172386285</v>
      </c>
      <c r="E19" s="2633">
        <f t="shared" si="17"/>
        <v>479.58023546306947</v>
      </c>
      <c r="F19" s="2633">
        <f t="shared" si="17"/>
        <v>253.25788877571213</v>
      </c>
      <c r="G19" s="3443"/>
      <c r="H19" s="2623">
        <v>1</v>
      </c>
      <c r="I19" s="2623">
        <v>4.09</v>
      </c>
      <c r="J19" s="2623">
        <v>2.93</v>
      </c>
      <c r="K19" s="2623">
        <v>4.54</v>
      </c>
      <c r="L19" s="2634">
        <v>1.48</v>
      </c>
      <c r="N19" s="2628">
        <f t="shared" si="18"/>
        <v>4.0899999999999999E-2</v>
      </c>
      <c r="O19" s="2629">
        <f t="shared" si="14"/>
        <v>2.9300000000000003E-2</v>
      </c>
      <c r="P19" s="2629">
        <f t="shared" si="14"/>
        <v>4.5400000000000003E-2</v>
      </c>
      <c r="Q19" s="2629">
        <f t="shared" si="14"/>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16"/>
        <v>277</v>
      </c>
      <c r="E20" s="2625">
        <v>459</v>
      </c>
      <c r="F20" s="2626">
        <v>249</v>
      </c>
      <c r="G20" s="3441">
        <v>2015</v>
      </c>
      <c r="H20" s="2639">
        <v>4</v>
      </c>
      <c r="I20" s="2639">
        <v>1.63</v>
      </c>
      <c r="J20" s="2639">
        <v>1.1100000000000001</v>
      </c>
      <c r="K20" s="2639">
        <v>1.77</v>
      </c>
      <c r="L20" s="2640">
        <v>1.89</v>
      </c>
      <c r="N20" s="2641">
        <f t="shared" si="18"/>
        <v>1.6299999999999999E-2</v>
      </c>
      <c r="O20" s="2642">
        <f t="shared" si="14"/>
        <v>1.11E-2</v>
      </c>
      <c r="P20" s="2642">
        <f t="shared" si="14"/>
        <v>1.77E-2</v>
      </c>
      <c r="Q20" s="2642">
        <f t="shared" si="14"/>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19">B20/(1+N20)</f>
        <v>327.65915576109415</v>
      </c>
      <c r="C21" s="2633">
        <f t="shared" si="19"/>
        <v>273.95905449510434</v>
      </c>
      <c r="D21" s="2633">
        <f t="shared" si="16"/>
        <v>273.95905449510434</v>
      </c>
      <c r="E21" s="2633">
        <f t="shared" ref="E21:F23" si="20">E20/(1+P20)</f>
        <v>451.01699911565294</v>
      </c>
      <c r="F21" s="2633">
        <f t="shared" si="20"/>
        <v>244.38119540681129</v>
      </c>
      <c r="G21" s="3442"/>
      <c r="H21" s="2644">
        <v>3</v>
      </c>
      <c r="I21" s="2644">
        <v>1.65</v>
      </c>
      <c r="J21" s="2644">
        <v>0.92</v>
      </c>
      <c r="K21" s="2644">
        <v>1.88</v>
      </c>
      <c r="L21" s="2645">
        <v>1.26</v>
      </c>
      <c r="N21" s="2628">
        <f t="shared" si="18"/>
        <v>1.6500000000000001E-2</v>
      </c>
      <c r="O21" s="2646">
        <f t="shared" si="14"/>
        <v>9.1999999999999998E-3</v>
      </c>
      <c r="P21" s="2646">
        <f t="shared" si="14"/>
        <v>1.8799999999999997E-2</v>
      </c>
      <c r="Q21" s="2646">
        <f t="shared" si="14"/>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19"/>
        <v>322.34053690220776</v>
      </c>
      <c r="C22" s="2633">
        <f t="shared" si="19"/>
        <v>271.46160770422546</v>
      </c>
      <c r="D22" s="2633">
        <f t="shared" si="16"/>
        <v>271.46160770422546</v>
      </c>
      <c r="E22" s="2633">
        <f t="shared" si="20"/>
        <v>442.69434542172456</v>
      </c>
      <c r="F22" s="2633">
        <f t="shared" si="20"/>
        <v>241.34030753190925</v>
      </c>
      <c r="G22" s="3442"/>
      <c r="H22" s="2624">
        <v>2</v>
      </c>
      <c r="I22" s="2624">
        <v>0.77</v>
      </c>
      <c r="J22" s="2624">
        <v>0.69</v>
      </c>
      <c r="K22" s="2624">
        <v>0.8</v>
      </c>
      <c r="L22" s="2635">
        <v>0.88</v>
      </c>
      <c r="N22" s="2628">
        <f t="shared" si="18"/>
        <v>7.7000000000000002E-3</v>
      </c>
      <c r="O22" s="2646">
        <f t="shared" si="14"/>
        <v>6.8999999999999999E-3</v>
      </c>
      <c r="P22" s="2646">
        <f t="shared" si="14"/>
        <v>8.0000000000000002E-3</v>
      </c>
      <c r="Q22" s="2646">
        <f t="shared" si="14"/>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19"/>
        <v>319.87748030386797</v>
      </c>
      <c r="C23" s="2633">
        <f t="shared" si="19"/>
        <v>269.60135833173649</v>
      </c>
      <c r="D23" s="2633">
        <f t="shared" si="16"/>
        <v>269.60135833173649</v>
      </c>
      <c r="E23" s="2633">
        <f t="shared" si="20"/>
        <v>439.18089823583784</v>
      </c>
      <c r="F23" s="2633">
        <f t="shared" si="20"/>
        <v>239.23503918706311</v>
      </c>
      <c r="G23" s="3443"/>
      <c r="H23" s="2623">
        <v>1</v>
      </c>
      <c r="I23" s="2623">
        <v>0.51</v>
      </c>
      <c r="J23" s="2623">
        <v>0.54</v>
      </c>
      <c r="K23" s="2623">
        <v>0.48</v>
      </c>
      <c r="L23" s="2634">
        <v>0.93</v>
      </c>
      <c r="N23" s="2636">
        <f t="shared" si="18"/>
        <v>5.1000000000000004E-3</v>
      </c>
      <c r="O23" s="2637">
        <f t="shared" si="14"/>
        <v>5.4000000000000003E-3</v>
      </c>
      <c r="P23" s="2637">
        <f t="shared" si="14"/>
        <v>4.7999999999999996E-3</v>
      </c>
      <c r="Q23" s="2637">
        <f t="shared" si="14"/>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16"/>
        <v>268</v>
      </c>
      <c r="E24" s="2647">
        <v>437</v>
      </c>
      <c r="F24" s="2648">
        <v>237</v>
      </c>
      <c r="G24" s="3441">
        <v>2014</v>
      </c>
      <c r="H24" s="2639">
        <v>4</v>
      </c>
      <c r="I24" s="2639">
        <v>0.21</v>
      </c>
      <c r="J24" s="2639">
        <v>0.41</v>
      </c>
      <c r="K24" s="2639">
        <v>0.12</v>
      </c>
      <c r="L24" s="2640">
        <v>0.89</v>
      </c>
      <c r="N24" s="2628">
        <f t="shared" si="18"/>
        <v>2.0999999999999999E-3</v>
      </c>
      <c r="O24" s="2629">
        <f t="shared" si="14"/>
        <v>4.0999999999999995E-3</v>
      </c>
      <c r="P24" s="2629">
        <f t="shared" si="14"/>
        <v>1.1999999999999999E-3</v>
      </c>
      <c r="Q24" s="2629">
        <f t="shared" si="14"/>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21">B24/(1+N24)</f>
        <v>317.33359944117353</v>
      </c>
      <c r="C25" s="2633">
        <f t="shared" si="21"/>
        <v>266.90568668459315</v>
      </c>
      <c r="D25" s="2633">
        <f t="shared" si="16"/>
        <v>266.90568668459315</v>
      </c>
      <c r="E25" s="2633">
        <f t="shared" ref="E25:F27" si="22">E24/(1+P24)</f>
        <v>436.47622852576905</v>
      </c>
      <c r="F25" s="2633">
        <f t="shared" si="22"/>
        <v>234.90930716622066</v>
      </c>
      <c r="G25" s="3442"/>
      <c r="H25" s="2649">
        <v>3</v>
      </c>
      <c r="I25" s="2649">
        <v>0.83</v>
      </c>
      <c r="J25" s="2649">
        <v>1.47</v>
      </c>
      <c r="K25" s="2649">
        <v>0.65</v>
      </c>
      <c r="L25" s="2650">
        <v>0.72</v>
      </c>
      <c r="N25" s="2628">
        <f t="shared" si="18"/>
        <v>8.3000000000000001E-3</v>
      </c>
      <c r="O25" s="2629">
        <f t="shared" si="14"/>
        <v>1.47E-2</v>
      </c>
      <c r="P25" s="2629">
        <f t="shared" si="14"/>
        <v>6.5000000000000006E-3</v>
      </c>
      <c r="Q25" s="2629">
        <f t="shared" si="14"/>
        <v>7.1999999999999998E-3</v>
      </c>
      <c r="R25" s="2630"/>
      <c r="S25" s="2628"/>
      <c r="T25" s="2629"/>
      <c r="U25" s="2629"/>
      <c r="V25" s="2629"/>
      <c r="X25" s="2718">
        <f>ROUND(SUMPRODUCT(PRODUCT(1+N25:N$26)),4)</f>
        <v>1.0325</v>
      </c>
      <c r="Y25" s="2718">
        <f>ROUND(SUMPRODUCT(PRODUCT(1+O25:O$26)),4)</f>
        <v>1.0353000000000001</v>
      </c>
      <c r="Z25" s="2718">
        <f>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21"/>
        <v>314.72141172386546</v>
      </c>
      <c r="C26" s="2633">
        <f t="shared" si="21"/>
        <v>263.03901319069001</v>
      </c>
      <c r="D26" s="2633">
        <f t="shared" si="16"/>
        <v>263.03901319069001</v>
      </c>
      <c r="E26" s="2633">
        <f t="shared" si="22"/>
        <v>433.65745506782821</v>
      </c>
      <c r="F26" s="2633">
        <f t="shared" si="22"/>
        <v>233.23005080045735</v>
      </c>
      <c r="G26" s="3442"/>
      <c r="H26" s="2639">
        <v>2</v>
      </c>
      <c r="I26" s="2639">
        <v>2.4</v>
      </c>
      <c r="J26" s="2639">
        <v>2.0299999999999998</v>
      </c>
      <c r="K26" s="2639">
        <v>2.59</v>
      </c>
      <c r="L26" s="2640">
        <v>1.52</v>
      </c>
      <c r="N26" s="2628">
        <f t="shared" si="18"/>
        <v>2.4E-2</v>
      </c>
      <c r="O26" s="2629">
        <f t="shared" si="14"/>
        <v>2.0299999999999999E-2</v>
      </c>
      <c r="P26" s="2629">
        <f t="shared" si="14"/>
        <v>2.5899999999999999E-2</v>
      </c>
      <c r="Q26" s="2629">
        <f t="shared" si="14"/>
        <v>1.52E-2</v>
      </c>
      <c r="R26" s="2630"/>
      <c r="S26" s="2628"/>
      <c r="T26" s="2629"/>
      <c r="U26" s="2629"/>
      <c r="V26" s="2629"/>
      <c r="X26" s="2718">
        <f>1+N26</f>
        <v>1.024</v>
      </c>
      <c r="Y26" s="2718">
        <f>1+O26</f>
        <v>1.0203</v>
      </c>
      <c r="Z26" s="2718">
        <f>Y26</f>
        <v>1.0203</v>
      </c>
      <c r="AA26" s="2718">
        <f>1+P26</f>
        <v>1.0259</v>
      </c>
      <c r="AB26" s="2718">
        <f>1+Q26</f>
        <v>1.0152000000000001</v>
      </c>
      <c r="AD26" s="2638">
        <f>ROUND(AVERAGE(I26:I$27)/100,4)</f>
        <v>2.69E-2</v>
      </c>
      <c r="AE26" s="2638">
        <f>ROUND(AVERAGE(J26:J$27)/100,4)</f>
        <v>2.1899999999999999E-2</v>
      </c>
      <c r="AF26" s="2638">
        <f>AE26</f>
        <v>2.1899999999999999E-2</v>
      </c>
      <c r="AG26" s="2638">
        <f>ROUND(AVERAGE(K26:K$27)/100,4)</f>
        <v>2.9399999999999999E-2</v>
      </c>
      <c r="AH26" s="2638">
        <f>ROUND(AVERAGE(L26:L$27)/100,4)</f>
        <v>1.44E-2</v>
      </c>
    </row>
    <row r="27" spans="1:34" s="2655" customFormat="1" ht="13.5" thickBot="1">
      <c r="A27" s="2651" t="s">
        <v>960</v>
      </c>
      <c r="B27" s="2652">
        <f t="shared" si="21"/>
        <v>307.34512863658733</v>
      </c>
      <c r="C27" s="2652">
        <f t="shared" si="21"/>
        <v>257.80556031626975</v>
      </c>
      <c r="D27" s="2652">
        <f t="shared" si="16"/>
        <v>257.80556031626975</v>
      </c>
      <c r="E27" s="2652">
        <f t="shared" si="22"/>
        <v>422.70928459677179</v>
      </c>
      <c r="F27" s="2652">
        <f t="shared" si="22"/>
        <v>229.73803270336617</v>
      </c>
      <c r="G27" s="3443"/>
      <c r="H27" s="2653">
        <v>1</v>
      </c>
      <c r="I27" s="2653">
        <v>2.97</v>
      </c>
      <c r="J27" s="2653">
        <v>2.34</v>
      </c>
      <c r="K27" s="2653">
        <v>3.28</v>
      </c>
      <c r="L27" s="2654">
        <v>1.36</v>
      </c>
      <c r="N27" s="2656">
        <f t="shared" si="18"/>
        <v>2.9700000000000001E-2</v>
      </c>
      <c r="O27" s="2657">
        <f t="shared" si="14"/>
        <v>2.3399999999999997E-2</v>
      </c>
      <c r="P27" s="2657">
        <f t="shared" si="14"/>
        <v>3.2799999999999996E-2</v>
      </c>
      <c r="Q27" s="2657">
        <f t="shared" si="14"/>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16"/>
        <v>252</v>
      </c>
      <c r="E28" s="2625">
        <v>409</v>
      </c>
      <c r="F28" s="2626">
        <v>227</v>
      </c>
      <c r="G28" s="3444">
        <v>2013</v>
      </c>
      <c r="H28" s="2661">
        <v>4</v>
      </c>
      <c r="I28" s="2661">
        <v>1.83</v>
      </c>
      <c r="J28" s="2661">
        <v>1.68</v>
      </c>
      <c r="K28" s="2661">
        <v>1.97</v>
      </c>
      <c r="L28" s="2662">
        <v>0.87</v>
      </c>
      <c r="N28" s="2641">
        <f t="shared" si="18"/>
        <v>1.83E-2</v>
      </c>
      <c r="O28" s="2642">
        <f t="shared" si="14"/>
        <v>1.6799999999999999E-2</v>
      </c>
      <c r="P28" s="2642">
        <f t="shared" si="14"/>
        <v>1.9699999999999999E-2</v>
      </c>
      <c r="Q28" s="2642">
        <f t="shared" si="14"/>
        <v>8.6999999999999994E-3</v>
      </c>
      <c r="R28" s="2630"/>
      <c r="S28" s="2631"/>
      <c r="T28" s="2632"/>
      <c r="U28" s="2632"/>
      <c r="V28" s="2632"/>
      <c r="X28" s="2632"/>
      <c r="Y28" s="2632"/>
      <c r="Z28" s="2632"/>
    </row>
    <row r="29" spans="1:34">
      <c r="A29" s="2620" t="s">
        <v>2584</v>
      </c>
      <c r="B29" s="2633">
        <f t="shared" ref="B29:C31" si="23">B28/(1+N28)</f>
        <v>293.62663262299913</v>
      </c>
      <c r="C29" s="2633">
        <f t="shared" si="23"/>
        <v>247.83634933123525</v>
      </c>
      <c r="D29" s="2633">
        <f t="shared" si="16"/>
        <v>247.83634933123525</v>
      </c>
      <c r="E29" s="2633">
        <f t="shared" ref="E29:F31" si="24">E28/(1+P28)</f>
        <v>401.09836226341076</v>
      </c>
      <c r="F29" s="2633">
        <f t="shared" si="24"/>
        <v>225.04213343908003</v>
      </c>
      <c r="G29" s="3445"/>
      <c r="H29" s="2644">
        <v>3</v>
      </c>
      <c r="I29" s="2644">
        <v>1.86</v>
      </c>
      <c r="J29" s="2644">
        <v>1.72</v>
      </c>
      <c r="K29" s="2644">
        <v>1.98</v>
      </c>
      <c r="L29" s="2645">
        <v>0.88</v>
      </c>
      <c r="N29" s="2628">
        <f t="shared" si="18"/>
        <v>1.8600000000000002E-2</v>
      </c>
      <c r="O29" s="2646">
        <f t="shared" si="14"/>
        <v>1.72E-2</v>
      </c>
      <c r="P29" s="2646">
        <f t="shared" si="14"/>
        <v>1.9799999999999998E-2</v>
      </c>
      <c r="Q29" s="2646">
        <f t="shared" si="14"/>
        <v>8.8000000000000005E-3</v>
      </c>
      <c r="R29" s="2630"/>
      <c r="S29" s="2628"/>
      <c r="T29" s="2629"/>
      <c r="U29" s="2629"/>
      <c r="V29" s="2629"/>
    </row>
    <row r="30" spans="1:34">
      <c r="A30" s="2620" t="s">
        <v>2585</v>
      </c>
      <c r="B30" s="2633">
        <f t="shared" si="23"/>
        <v>288.2649053828776</v>
      </c>
      <c r="C30" s="2633">
        <f t="shared" si="23"/>
        <v>243.64564425013293</v>
      </c>
      <c r="D30" s="2633">
        <f t="shared" si="16"/>
        <v>243.64564425013293</v>
      </c>
      <c r="E30" s="2633">
        <f t="shared" si="24"/>
        <v>393.31080825986544</v>
      </c>
      <c r="F30" s="2633">
        <f t="shared" si="24"/>
        <v>223.07903790551154</v>
      </c>
      <c r="G30" s="3445"/>
      <c r="H30" s="2624">
        <v>2</v>
      </c>
      <c r="I30" s="2624">
        <v>2.04</v>
      </c>
      <c r="J30" s="2624">
        <v>2.33</v>
      </c>
      <c r="K30" s="2624">
        <v>2.0699999999999998</v>
      </c>
      <c r="L30" s="2635">
        <v>0.69</v>
      </c>
      <c r="N30" s="2628">
        <f t="shared" si="18"/>
        <v>2.0400000000000001E-2</v>
      </c>
      <c r="O30" s="2646">
        <f t="shared" si="14"/>
        <v>2.3300000000000001E-2</v>
      </c>
      <c r="P30" s="2646">
        <f t="shared" si="14"/>
        <v>2.07E-2</v>
      </c>
      <c r="Q30" s="2646">
        <f t="shared" si="14"/>
        <v>6.8999999999999999E-3</v>
      </c>
      <c r="R30" s="2630"/>
      <c r="S30" s="2628"/>
      <c r="T30" s="2629"/>
      <c r="U30" s="2629"/>
      <c r="V30" s="2629"/>
      <c r="X30" s="2730"/>
      <c r="Y30" s="2732"/>
    </row>
    <row r="31" spans="1:34">
      <c r="A31" s="2620" t="s">
        <v>2586</v>
      </c>
      <c r="B31" s="2633">
        <f t="shared" si="23"/>
        <v>282.50186729015837</v>
      </c>
      <c r="C31" s="2633">
        <f t="shared" si="23"/>
        <v>238.09796174155468</v>
      </c>
      <c r="D31" s="2633">
        <f t="shared" si="16"/>
        <v>238.09796174155468</v>
      </c>
      <c r="E31" s="2633">
        <f t="shared" si="24"/>
        <v>385.33438646014054</v>
      </c>
      <c r="F31" s="2633">
        <f t="shared" si="24"/>
        <v>221.55034055567739</v>
      </c>
      <c r="G31" s="3446"/>
      <c r="H31" s="2623">
        <v>1</v>
      </c>
      <c r="I31" s="2623">
        <v>1.67</v>
      </c>
      <c r="J31" s="2623">
        <v>1.31</v>
      </c>
      <c r="K31" s="2623">
        <v>1.85</v>
      </c>
      <c r="L31" s="2634">
        <v>0.96</v>
      </c>
      <c r="N31" s="2636">
        <f t="shared" si="18"/>
        <v>1.67E-2</v>
      </c>
      <c r="O31" s="2637">
        <f t="shared" si="14"/>
        <v>1.3100000000000001E-2</v>
      </c>
      <c r="P31" s="2637">
        <f t="shared" si="14"/>
        <v>1.8500000000000003E-2</v>
      </c>
      <c r="Q31" s="2637">
        <f t="shared" si="14"/>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16"/>
        <v>234</v>
      </c>
      <c r="E32" s="2663">
        <v>379</v>
      </c>
      <c r="F32" s="2664">
        <v>220</v>
      </c>
      <c r="G32" s="3441">
        <v>2012</v>
      </c>
      <c r="H32" s="2639">
        <v>4</v>
      </c>
      <c r="I32" s="2639">
        <v>0.91</v>
      </c>
      <c r="J32" s="2639">
        <v>0.68</v>
      </c>
      <c r="K32" s="2639">
        <v>0.98</v>
      </c>
      <c r="L32" s="2640">
        <v>0.9</v>
      </c>
      <c r="N32" s="2628">
        <f t="shared" si="18"/>
        <v>9.1000000000000004E-3</v>
      </c>
      <c r="O32" s="2629">
        <f t="shared" si="18"/>
        <v>6.8000000000000005E-3</v>
      </c>
      <c r="P32" s="2629">
        <f t="shared" si="18"/>
        <v>9.7999999999999997E-3</v>
      </c>
      <c r="Q32" s="2629">
        <f t="shared" si="18"/>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16"/>
        <v>232.41954707985698</v>
      </c>
      <c r="E33" s="2633">
        <f t="shared" ref="E33:F35" si="25">E32/(1+P32)</f>
        <v>375.32184591008121</v>
      </c>
      <c r="F33" s="2633">
        <f t="shared" si="25"/>
        <v>218.03766105054513</v>
      </c>
      <c r="G33" s="3442"/>
      <c r="H33" s="2644">
        <v>3</v>
      </c>
      <c r="I33" s="2644">
        <v>0.09</v>
      </c>
      <c r="J33" s="2644">
        <v>0.28999999999999998</v>
      </c>
      <c r="K33" s="2644">
        <v>-0.01</v>
      </c>
      <c r="L33" s="2645">
        <v>0.57999999999999996</v>
      </c>
      <c r="N33" s="2628">
        <f t="shared" si="18"/>
        <v>8.9999999999999998E-4</v>
      </c>
      <c r="O33" s="2629">
        <f t="shared" si="18"/>
        <v>2.8999999999999998E-3</v>
      </c>
      <c r="P33" s="2629">
        <f t="shared" si="18"/>
        <v>-1E-4</v>
      </c>
      <c r="Q33" s="2629">
        <f t="shared" si="18"/>
        <v>5.7999999999999996E-3</v>
      </c>
      <c r="R33" s="2630"/>
      <c r="S33" s="2628"/>
      <c r="T33" s="2629"/>
      <c r="U33" s="2629"/>
      <c r="V33" s="2629"/>
    </row>
    <row r="34" spans="1:26">
      <c r="A34" s="2620" t="s">
        <v>2589</v>
      </c>
      <c r="B34" s="2633">
        <f>B33/(1+N33)</f>
        <v>275.24529281292263</v>
      </c>
      <c r="C34" s="2633">
        <f>C33/(1+O33)</f>
        <v>231.74747938962707</v>
      </c>
      <c r="D34" s="2633">
        <f t="shared" si="16"/>
        <v>231.74747938962707</v>
      </c>
      <c r="E34" s="2633">
        <f t="shared" si="25"/>
        <v>375.35938184826603</v>
      </c>
      <c r="F34" s="2633">
        <f t="shared" si="25"/>
        <v>216.78033510692495</v>
      </c>
      <c r="G34" s="3442"/>
      <c r="H34" s="2624">
        <v>2</v>
      </c>
      <c r="I34" s="2624">
        <v>0.02</v>
      </c>
      <c r="J34" s="2624">
        <v>0.12</v>
      </c>
      <c r="K34" s="2624">
        <v>-0.08</v>
      </c>
      <c r="L34" s="2635">
        <v>1.24</v>
      </c>
      <c r="N34" s="2628">
        <f t="shared" si="18"/>
        <v>2.0000000000000001E-4</v>
      </c>
      <c r="O34" s="2629">
        <f t="shared" si="18"/>
        <v>1.1999999999999999E-3</v>
      </c>
      <c r="P34" s="2629">
        <f t="shared" si="18"/>
        <v>-8.0000000000000004E-4</v>
      </c>
      <c r="Q34" s="2629">
        <f t="shared" si="18"/>
        <v>1.24E-2</v>
      </c>
      <c r="R34" s="2630"/>
      <c r="S34" s="2628"/>
      <c r="T34" s="2629"/>
      <c r="U34" s="2629"/>
      <c r="V34" s="2629"/>
    </row>
    <row r="35" spans="1:26" ht="13.5" thickBot="1">
      <c r="A35" s="2620" t="s">
        <v>2590</v>
      </c>
      <c r="B35" s="2633">
        <f>B34/(1+N34)</f>
        <v>275.19025476197027</v>
      </c>
      <c r="C35" s="2665">
        <v>232</v>
      </c>
      <c r="D35" s="2665">
        <f t="shared" si="16"/>
        <v>232</v>
      </c>
      <c r="E35" s="2633">
        <f t="shared" si="25"/>
        <v>375.65990977608692</v>
      </c>
      <c r="F35" s="2633">
        <f t="shared" si="25"/>
        <v>214.12518283971252</v>
      </c>
      <c r="G35" s="3443"/>
      <c r="H35" s="2623">
        <v>1</v>
      </c>
      <c r="I35" s="2623">
        <v>0.02</v>
      </c>
      <c r="J35" s="2623">
        <v>0.13</v>
      </c>
      <c r="K35" s="2623">
        <v>-0.04</v>
      </c>
      <c r="L35" s="2634">
        <v>0.46</v>
      </c>
      <c r="N35" s="2628">
        <f t="shared" si="18"/>
        <v>2.0000000000000001E-4</v>
      </c>
      <c r="O35" s="2629">
        <f t="shared" si="18"/>
        <v>1.2999999999999999E-3</v>
      </c>
      <c r="P35" s="2629">
        <f t="shared" si="18"/>
        <v>-4.0000000000000002E-4</v>
      </c>
      <c r="Q35" s="2629">
        <f t="shared" si="18"/>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16"/>
        <v>232</v>
      </c>
      <c r="E36" s="2625">
        <v>376</v>
      </c>
      <c r="F36" s="2626">
        <v>213</v>
      </c>
      <c r="G36" s="3441">
        <v>2011</v>
      </c>
      <c r="H36" s="2639">
        <v>4</v>
      </c>
      <c r="I36" s="2639">
        <v>-0.2</v>
      </c>
      <c r="J36" s="2639">
        <v>0.04</v>
      </c>
      <c r="K36" s="2639">
        <v>-0.34</v>
      </c>
      <c r="L36" s="2640">
        <v>0.46</v>
      </c>
      <c r="N36" s="2641">
        <f t="shared" si="18"/>
        <v>-2E-3</v>
      </c>
      <c r="O36" s="2642">
        <f t="shared" si="18"/>
        <v>4.0000000000000002E-4</v>
      </c>
      <c r="P36" s="2642">
        <f t="shared" si="18"/>
        <v>-3.4000000000000002E-3</v>
      </c>
      <c r="Q36" s="2642">
        <f t="shared" si="18"/>
        <v>4.5999999999999999E-3</v>
      </c>
      <c r="R36" s="2630"/>
      <c r="S36" s="2631"/>
      <c r="T36" s="2632"/>
      <c r="U36" s="2632"/>
      <c r="V36" s="2632"/>
      <c r="X36" s="2632"/>
      <c r="Y36" s="2632"/>
      <c r="Z36" s="2632"/>
    </row>
    <row r="37" spans="1:26">
      <c r="A37" s="2620" t="s">
        <v>2592</v>
      </c>
      <c r="B37" s="2633">
        <f t="shared" ref="B37:C39" si="26">B36/(1+N36)</f>
        <v>275.55110220440883</v>
      </c>
      <c r="C37" s="2633">
        <f t="shared" si="26"/>
        <v>231.90723710515795</v>
      </c>
      <c r="D37" s="2633">
        <f t="shared" si="16"/>
        <v>231.90723710515795</v>
      </c>
      <c r="E37" s="2633">
        <f t="shared" ref="E37:F39" si="27">E36/(1+P36)</f>
        <v>377.28276138872161</v>
      </c>
      <c r="F37" s="2633">
        <f t="shared" si="27"/>
        <v>212.02468644236512</v>
      </c>
      <c r="G37" s="3442">
        <v>2011</v>
      </c>
      <c r="H37" s="2644">
        <v>3</v>
      </c>
      <c r="I37" s="2644">
        <v>0.13</v>
      </c>
      <c r="J37" s="2644">
        <v>0.75</v>
      </c>
      <c r="K37" s="2644">
        <v>-0.08</v>
      </c>
      <c r="L37" s="2645">
        <v>0.53</v>
      </c>
      <c r="N37" s="2628">
        <f t="shared" si="18"/>
        <v>1.2999999999999999E-3</v>
      </c>
      <c r="O37" s="2646">
        <f t="shared" si="18"/>
        <v>7.4999999999999997E-3</v>
      </c>
      <c r="P37" s="2646">
        <f t="shared" si="18"/>
        <v>-8.0000000000000004E-4</v>
      </c>
      <c r="Q37" s="2646">
        <f t="shared" si="18"/>
        <v>5.3E-3</v>
      </c>
      <c r="R37" s="2630"/>
      <c r="S37" s="2628"/>
      <c r="T37" s="2629"/>
      <c r="U37" s="2629"/>
      <c r="V37" s="2629"/>
    </row>
    <row r="38" spans="1:26">
      <c r="A38" s="2620" t="s">
        <v>2593</v>
      </c>
      <c r="B38" s="2633">
        <f t="shared" si="26"/>
        <v>275.19335084830601</v>
      </c>
      <c r="C38" s="2633">
        <f t="shared" si="26"/>
        <v>230.18088050139744</v>
      </c>
      <c r="D38" s="2633">
        <f t="shared" si="16"/>
        <v>230.18088050139744</v>
      </c>
      <c r="E38" s="2633">
        <f t="shared" si="27"/>
        <v>377.58482925212331</v>
      </c>
      <c r="F38" s="2633">
        <f t="shared" si="27"/>
        <v>210.90687997847917</v>
      </c>
      <c r="G38" s="3442">
        <v>2011</v>
      </c>
      <c r="H38" s="2624">
        <v>2</v>
      </c>
      <c r="I38" s="2624">
        <v>-0.4</v>
      </c>
      <c r="J38" s="2624">
        <v>0.17</v>
      </c>
      <c r="K38" s="2624">
        <v>-0.57999999999999996</v>
      </c>
      <c r="L38" s="2635">
        <v>-0.2</v>
      </c>
      <c r="N38" s="2628">
        <f t="shared" si="18"/>
        <v>-4.0000000000000001E-3</v>
      </c>
      <c r="O38" s="2646">
        <f t="shared" si="18"/>
        <v>1.7000000000000001E-3</v>
      </c>
      <c r="P38" s="2646">
        <f t="shared" si="18"/>
        <v>-5.7999999999999996E-3</v>
      </c>
      <c r="Q38" s="2646">
        <f t="shared" si="18"/>
        <v>-2E-3</v>
      </c>
      <c r="R38" s="2630"/>
      <c r="S38" s="2628"/>
      <c r="T38" s="2629"/>
      <c r="U38" s="2629"/>
      <c r="V38" s="2629"/>
    </row>
    <row r="39" spans="1:26" ht="13.5" thickBot="1">
      <c r="A39" s="2620" t="s">
        <v>2594</v>
      </c>
      <c r="B39" s="2633">
        <f t="shared" si="26"/>
        <v>276.29854502841971</v>
      </c>
      <c r="C39" s="2633">
        <f t="shared" si="26"/>
        <v>229.79023709833027</v>
      </c>
      <c r="D39" s="2633">
        <f t="shared" si="16"/>
        <v>229.79023709833027</v>
      </c>
      <c r="E39" s="2633">
        <f t="shared" si="27"/>
        <v>379.78759731655936</v>
      </c>
      <c r="F39" s="2633">
        <f t="shared" si="27"/>
        <v>211.32953905659235</v>
      </c>
      <c r="G39" s="3443">
        <v>2011</v>
      </c>
      <c r="H39" s="2623">
        <v>1</v>
      </c>
      <c r="I39" s="2623">
        <v>2.65</v>
      </c>
      <c r="J39" s="2623">
        <v>3.76</v>
      </c>
      <c r="K39" s="2623">
        <v>1.89</v>
      </c>
      <c r="L39" s="2634">
        <v>7.95</v>
      </c>
      <c r="N39" s="2636">
        <f t="shared" si="18"/>
        <v>2.6499999999999999E-2</v>
      </c>
      <c r="O39" s="2637">
        <f t="shared" si="18"/>
        <v>3.7599999999999995E-2</v>
      </c>
      <c r="P39" s="2637">
        <f t="shared" si="18"/>
        <v>1.89E-2</v>
      </c>
      <c r="Q39" s="2637">
        <f t="shared" si="18"/>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16"/>
        <v>221</v>
      </c>
      <c r="E40" s="2625">
        <v>373</v>
      </c>
      <c r="F40" s="2626">
        <v>196</v>
      </c>
      <c r="G40" s="3441">
        <v>2010</v>
      </c>
      <c r="H40" s="2639">
        <v>4</v>
      </c>
      <c r="I40" s="2639">
        <v>5.72</v>
      </c>
      <c r="J40" s="2639">
        <v>6.57</v>
      </c>
      <c r="K40" s="2639">
        <v>5.72</v>
      </c>
      <c r="L40" s="2640">
        <v>2.72</v>
      </c>
      <c r="N40" s="2628">
        <f t="shared" si="18"/>
        <v>5.7200000000000001E-2</v>
      </c>
      <c r="O40" s="2629">
        <f t="shared" si="18"/>
        <v>6.5700000000000008E-2</v>
      </c>
      <c r="P40" s="2629">
        <f t="shared" si="18"/>
        <v>5.7200000000000001E-2</v>
      </c>
      <c r="Q40" s="2629">
        <f t="shared" si="18"/>
        <v>2.7200000000000002E-2</v>
      </c>
      <c r="R40" s="2630"/>
      <c r="S40" s="2631"/>
      <c r="T40" s="2632"/>
      <c r="U40" s="2632"/>
      <c r="V40" s="2632"/>
      <c r="X40" s="2632"/>
      <c r="Y40" s="2632"/>
      <c r="Z40" s="2632"/>
    </row>
    <row r="41" spans="1:26">
      <c r="A41" s="2620" t="s">
        <v>2596</v>
      </c>
      <c r="B41" s="2633">
        <f t="shared" ref="B41:C43" si="28">B40/(1+N40)</f>
        <v>254.44570563753314</v>
      </c>
      <c r="C41" s="2633">
        <f t="shared" si="28"/>
        <v>207.37543398705074</v>
      </c>
      <c r="D41" s="2633">
        <f t="shared" si="16"/>
        <v>207.37543398705074</v>
      </c>
      <c r="E41" s="2633">
        <f t="shared" ref="E41:F43" si="29">E40/(1+P40)</f>
        <v>352.81876655315932</v>
      </c>
      <c r="F41" s="2633">
        <f t="shared" si="29"/>
        <v>190.809968847352</v>
      </c>
      <c r="G41" s="3442">
        <v>2010</v>
      </c>
      <c r="H41" s="2644">
        <v>3</v>
      </c>
      <c r="I41" s="2644">
        <v>4.7300000000000004</v>
      </c>
      <c r="J41" s="2644">
        <v>3.9</v>
      </c>
      <c r="K41" s="2644">
        <v>5.03</v>
      </c>
      <c r="L41" s="2645">
        <v>4.21</v>
      </c>
      <c r="N41" s="2628">
        <f t="shared" si="18"/>
        <v>4.7300000000000002E-2</v>
      </c>
      <c r="O41" s="2629">
        <f t="shared" si="18"/>
        <v>3.9E-2</v>
      </c>
      <c r="P41" s="2629">
        <f t="shared" si="18"/>
        <v>5.0300000000000004E-2</v>
      </c>
      <c r="Q41" s="2629">
        <f t="shared" si="18"/>
        <v>4.2099999999999999E-2</v>
      </c>
      <c r="R41" s="2630"/>
      <c r="S41" s="2628"/>
      <c r="T41" s="2629"/>
      <c r="U41" s="2629"/>
      <c r="V41" s="2629"/>
    </row>
    <row r="42" spans="1:26">
      <c r="A42" s="2620" t="s">
        <v>2597</v>
      </c>
      <c r="B42" s="2633">
        <f t="shared" si="28"/>
        <v>242.95398227588385</v>
      </c>
      <c r="C42" s="2633">
        <f t="shared" si="28"/>
        <v>199.59137053614126</v>
      </c>
      <c r="D42" s="2633">
        <f t="shared" si="16"/>
        <v>199.59137053614126</v>
      </c>
      <c r="E42" s="2633">
        <f t="shared" si="29"/>
        <v>335.92189522342125</v>
      </c>
      <c r="F42" s="2633">
        <f t="shared" si="29"/>
        <v>183.10139991109489</v>
      </c>
      <c r="G42" s="3442">
        <v>2010</v>
      </c>
      <c r="H42" s="2624">
        <v>2</v>
      </c>
      <c r="I42" s="2624">
        <v>4.6900000000000004</v>
      </c>
      <c r="J42" s="2624">
        <v>3.55</v>
      </c>
      <c r="K42" s="2624">
        <v>5.07</v>
      </c>
      <c r="L42" s="2635">
        <v>4.2300000000000004</v>
      </c>
      <c r="N42" s="2628">
        <f t="shared" si="18"/>
        <v>4.6900000000000004E-2</v>
      </c>
      <c r="O42" s="2629">
        <f t="shared" si="18"/>
        <v>3.5499999999999997E-2</v>
      </c>
      <c r="P42" s="2629">
        <f t="shared" si="18"/>
        <v>5.0700000000000002E-2</v>
      </c>
      <c r="Q42" s="2629">
        <f t="shared" si="18"/>
        <v>4.2300000000000004E-2</v>
      </c>
      <c r="R42" s="2630"/>
      <c r="S42" s="2628"/>
      <c r="T42" s="2629"/>
      <c r="U42" s="2629"/>
      <c r="V42" s="2629"/>
    </row>
    <row r="43" spans="1:26" ht="13.5" thickBot="1">
      <c r="A43" s="2620" t="s">
        <v>2598</v>
      </c>
      <c r="B43" s="2633">
        <f t="shared" si="28"/>
        <v>232.06990378821649</v>
      </c>
      <c r="C43" s="2633">
        <f t="shared" si="28"/>
        <v>192.74878854286936</v>
      </c>
      <c r="D43" s="2633">
        <f t="shared" si="16"/>
        <v>192.74878854286936</v>
      </c>
      <c r="E43" s="2633">
        <f t="shared" si="29"/>
        <v>319.71247284992984</v>
      </c>
      <c r="F43" s="2633">
        <f t="shared" si="29"/>
        <v>175.67053622862409</v>
      </c>
      <c r="G43" s="3443">
        <v>2010</v>
      </c>
      <c r="H43" s="2623">
        <v>1</v>
      </c>
      <c r="I43" s="2623">
        <v>5.4</v>
      </c>
      <c r="J43" s="2623">
        <v>3.2</v>
      </c>
      <c r="K43" s="2623">
        <v>6.16</v>
      </c>
      <c r="L43" s="2634">
        <v>4.51</v>
      </c>
      <c r="N43" s="2628">
        <f t="shared" si="18"/>
        <v>5.4000000000000006E-2</v>
      </c>
      <c r="O43" s="2629">
        <f t="shared" si="18"/>
        <v>3.2000000000000001E-2</v>
      </c>
      <c r="P43" s="2629">
        <f t="shared" si="18"/>
        <v>6.1600000000000002E-2</v>
      </c>
      <c r="Q43" s="2629">
        <f t="shared" si="18"/>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16"/>
        <v>187</v>
      </c>
      <c r="E44" s="2625">
        <v>301</v>
      </c>
      <c r="F44" s="2626">
        <v>168</v>
      </c>
      <c r="G44" s="3441">
        <v>2009</v>
      </c>
      <c r="H44" s="2639">
        <v>4</v>
      </c>
      <c r="I44" s="2639">
        <v>2.2999999999999998</v>
      </c>
      <c r="J44" s="2639">
        <v>1.04</v>
      </c>
      <c r="K44" s="2639">
        <v>2.84</v>
      </c>
      <c r="L44" s="2640">
        <v>0.67</v>
      </c>
      <c r="N44" s="2641">
        <f t="shared" si="18"/>
        <v>2.3E-2</v>
      </c>
      <c r="O44" s="2642">
        <f t="shared" si="18"/>
        <v>1.04E-2</v>
      </c>
      <c r="P44" s="2642">
        <f t="shared" si="18"/>
        <v>2.8399999999999998E-2</v>
      </c>
      <c r="Q44" s="2642">
        <f t="shared" si="18"/>
        <v>6.7000000000000002E-3</v>
      </c>
      <c r="R44" s="2630"/>
      <c r="S44" s="2631"/>
      <c r="T44" s="2632"/>
      <c r="U44" s="2632"/>
      <c r="V44" s="2632"/>
      <c r="X44" s="2632"/>
      <c r="Y44" s="2632"/>
      <c r="Z44" s="2632"/>
    </row>
    <row r="45" spans="1:26">
      <c r="A45" s="2620" t="s">
        <v>2600</v>
      </c>
      <c r="B45" s="2633">
        <f t="shared" ref="B45:C47" si="30">B44/(1+N44)</f>
        <v>215.05376344086022</v>
      </c>
      <c r="C45" s="2633">
        <f t="shared" si="30"/>
        <v>185.0752177355503</v>
      </c>
      <c r="D45" s="2633">
        <f t="shared" si="16"/>
        <v>185.0752177355503</v>
      </c>
      <c r="E45" s="2633">
        <f t="shared" ref="E45:F47" si="31">E44/(1+P44)</f>
        <v>292.68767016725008</v>
      </c>
      <c r="F45" s="2633">
        <f t="shared" si="31"/>
        <v>166.88189132810174</v>
      </c>
      <c r="G45" s="3442">
        <v>2009</v>
      </c>
      <c r="H45" s="2644">
        <v>3</v>
      </c>
      <c r="I45" s="2644">
        <v>2.1</v>
      </c>
      <c r="J45" s="2644">
        <v>1.86</v>
      </c>
      <c r="K45" s="2644">
        <v>2.29</v>
      </c>
      <c r="L45" s="2645">
        <v>0.85</v>
      </c>
      <c r="N45" s="2628">
        <f t="shared" si="18"/>
        <v>2.1000000000000001E-2</v>
      </c>
      <c r="O45" s="2646">
        <f t="shared" si="18"/>
        <v>1.8600000000000002E-2</v>
      </c>
      <c r="P45" s="2646">
        <f t="shared" si="18"/>
        <v>2.29E-2</v>
      </c>
      <c r="Q45" s="2646">
        <f t="shared" si="18"/>
        <v>8.5000000000000006E-3</v>
      </c>
      <c r="R45" s="2630"/>
      <c r="S45" s="2628"/>
      <c r="T45" s="2629"/>
      <c r="U45" s="2629"/>
      <c r="V45" s="2629"/>
    </row>
    <row r="46" spans="1:26">
      <c r="A46" s="2620" t="s">
        <v>2601</v>
      </c>
      <c r="B46" s="2633">
        <f t="shared" si="30"/>
        <v>210.630522469011</v>
      </c>
      <c r="C46" s="2633">
        <f t="shared" si="30"/>
        <v>181.69567812247232</v>
      </c>
      <c r="D46" s="2633">
        <f t="shared" si="16"/>
        <v>181.69567812247232</v>
      </c>
      <c r="E46" s="2633">
        <f t="shared" si="31"/>
        <v>286.13517466736738</v>
      </c>
      <c r="F46" s="2633">
        <f t="shared" si="31"/>
        <v>165.47535084591149</v>
      </c>
      <c r="G46" s="3442">
        <v>2009</v>
      </c>
      <c r="H46" s="2624">
        <v>2</v>
      </c>
      <c r="I46" s="2624">
        <v>0.86</v>
      </c>
      <c r="J46" s="2624">
        <v>-1.1299999999999999</v>
      </c>
      <c r="K46" s="2624">
        <v>1.79</v>
      </c>
      <c r="L46" s="2635">
        <v>-2.0699999999999998</v>
      </c>
      <c r="N46" s="2628">
        <f t="shared" si="18"/>
        <v>8.6E-3</v>
      </c>
      <c r="O46" s="2646">
        <f t="shared" si="18"/>
        <v>-1.1299999999999999E-2</v>
      </c>
      <c r="P46" s="2646">
        <f t="shared" si="18"/>
        <v>1.7899999999999999E-2</v>
      </c>
      <c r="Q46" s="2646">
        <f t="shared" si="18"/>
        <v>-2.07E-2</v>
      </c>
      <c r="R46" s="2630"/>
      <c r="S46" s="2628"/>
      <c r="T46" s="2629"/>
      <c r="U46" s="2629"/>
      <c r="V46" s="2629"/>
    </row>
    <row r="47" spans="1:26">
      <c r="A47" s="2620" t="s">
        <v>2602</v>
      </c>
      <c r="B47" s="2633">
        <f t="shared" si="30"/>
        <v>208.83454537875372</v>
      </c>
      <c r="C47" s="2633">
        <f t="shared" si="30"/>
        <v>183.77230517090351</v>
      </c>
      <c r="D47" s="2633">
        <f t="shared" si="16"/>
        <v>183.77230517090351</v>
      </c>
      <c r="E47" s="2633">
        <f t="shared" si="31"/>
        <v>281.10342338870947</v>
      </c>
      <c r="F47" s="2633">
        <f t="shared" si="31"/>
        <v>168.97309388942256</v>
      </c>
      <c r="G47" s="3443">
        <v>2009</v>
      </c>
      <c r="H47" s="2623">
        <v>1</v>
      </c>
      <c r="I47" s="2623">
        <v>-2.64</v>
      </c>
      <c r="J47" s="2623">
        <v>-2.5299999999999998</v>
      </c>
      <c r="K47" s="2623">
        <v>-3.02</v>
      </c>
      <c r="L47" s="2634">
        <v>1.52</v>
      </c>
      <c r="N47" s="2636">
        <f t="shared" si="18"/>
        <v>-2.64E-2</v>
      </c>
      <c r="O47" s="2637">
        <f t="shared" si="18"/>
        <v>-2.53E-2</v>
      </c>
      <c r="P47" s="2637">
        <f t="shared" si="18"/>
        <v>-3.0200000000000001E-2</v>
      </c>
      <c r="Q47" s="2637">
        <f t="shared" si="18"/>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16"/>
        <v>188</v>
      </c>
      <c r="E48" s="2663">
        <v>289</v>
      </c>
      <c r="F48" s="2664">
        <v>166</v>
      </c>
      <c r="G48" s="3441">
        <v>2008</v>
      </c>
      <c r="H48" s="2639">
        <v>4</v>
      </c>
      <c r="I48" s="2639">
        <v>1.73</v>
      </c>
      <c r="J48" s="2639">
        <v>0.03</v>
      </c>
      <c r="K48" s="2639">
        <v>2.59</v>
      </c>
      <c r="L48" s="2640">
        <v>-1.66</v>
      </c>
      <c r="N48" s="2628">
        <f t="shared" si="18"/>
        <v>1.7299999999999999E-2</v>
      </c>
      <c r="O48" s="2629">
        <f t="shared" si="18"/>
        <v>2.9999999999999997E-4</v>
      </c>
      <c r="P48" s="2629">
        <f t="shared" si="18"/>
        <v>2.5899999999999999E-2</v>
      </c>
      <c r="Q48" s="2629">
        <f t="shared" si="18"/>
        <v>-1.66E-2</v>
      </c>
      <c r="R48" s="2630"/>
      <c r="S48" s="2631"/>
      <c r="T48" s="2632"/>
      <c r="U48" s="2632"/>
      <c r="V48" s="2632"/>
      <c r="X48" s="2632"/>
      <c r="Y48" s="2632"/>
      <c r="Z48" s="2632"/>
    </row>
    <row r="49" spans="1:26">
      <c r="A49" s="2620" t="s">
        <v>2604</v>
      </c>
      <c r="B49" s="2633">
        <f t="shared" ref="B49:C51" si="32">B48/(1+N48)</f>
        <v>210.36075887152265</v>
      </c>
      <c r="C49" s="2633">
        <f t="shared" si="32"/>
        <v>187.94361691492554</v>
      </c>
      <c r="D49" s="2633">
        <f t="shared" si="16"/>
        <v>187.94361691492554</v>
      </c>
      <c r="E49" s="2633">
        <f t="shared" ref="E49:F51" si="33">E48/(1+P48)</f>
        <v>281.70386977288234</v>
      </c>
      <c r="F49" s="2633">
        <f t="shared" si="33"/>
        <v>168.80211511083994</v>
      </c>
      <c r="G49" s="3442">
        <v>2008</v>
      </c>
      <c r="H49" s="2644">
        <v>3</v>
      </c>
      <c r="I49" s="2644">
        <v>1.96</v>
      </c>
      <c r="J49" s="2644">
        <v>2.36</v>
      </c>
      <c r="K49" s="2644">
        <v>1.82</v>
      </c>
      <c r="L49" s="2645">
        <v>2.2200000000000002</v>
      </c>
      <c r="N49" s="2628">
        <f t="shared" si="18"/>
        <v>1.9599999999999999E-2</v>
      </c>
      <c r="O49" s="2629">
        <f t="shared" si="18"/>
        <v>2.3599999999999999E-2</v>
      </c>
      <c r="P49" s="2629">
        <f t="shared" si="18"/>
        <v>1.8200000000000001E-2</v>
      </c>
      <c r="Q49" s="2629">
        <f t="shared" si="18"/>
        <v>2.2200000000000001E-2</v>
      </c>
      <c r="R49" s="2630"/>
      <c r="S49" s="2628"/>
      <c r="T49" s="2629"/>
      <c r="U49" s="2629"/>
      <c r="V49" s="2629"/>
    </row>
    <row r="50" spans="1:26">
      <c r="A50" s="2620" t="s">
        <v>2605</v>
      </c>
      <c r="B50" s="2633">
        <f t="shared" si="32"/>
        <v>206.31694671589116</v>
      </c>
      <c r="C50" s="2633">
        <f t="shared" si="32"/>
        <v>183.61041121036101</v>
      </c>
      <c r="D50" s="2633">
        <f t="shared" si="16"/>
        <v>183.61041121036101</v>
      </c>
      <c r="E50" s="2633">
        <f t="shared" si="33"/>
        <v>276.66850301795557</v>
      </c>
      <c r="F50" s="2633">
        <f t="shared" si="33"/>
        <v>165.1360938278614</v>
      </c>
      <c r="G50" s="3442">
        <v>2008</v>
      </c>
      <c r="H50" s="2624">
        <v>2</v>
      </c>
      <c r="I50" s="2624">
        <v>4.93</v>
      </c>
      <c r="J50" s="2624">
        <v>7.38</v>
      </c>
      <c r="K50" s="2624">
        <v>3.98</v>
      </c>
      <c r="L50" s="2635">
        <v>6.86</v>
      </c>
      <c r="N50" s="2628">
        <f t="shared" si="18"/>
        <v>4.9299999999999997E-2</v>
      </c>
      <c r="O50" s="2629">
        <f t="shared" si="18"/>
        <v>7.3800000000000004E-2</v>
      </c>
      <c r="P50" s="2629">
        <f t="shared" si="18"/>
        <v>3.9800000000000002E-2</v>
      </c>
      <c r="Q50" s="2629">
        <f t="shared" si="18"/>
        <v>6.8600000000000008E-2</v>
      </c>
      <c r="R50" s="2630"/>
      <c r="S50" s="2628"/>
      <c r="T50" s="2629"/>
      <c r="U50" s="2629"/>
      <c r="V50" s="2629"/>
    </row>
    <row r="51" spans="1:26" s="2669" customFormat="1" ht="13.5" thickBot="1">
      <c r="A51" s="2620" t="s">
        <v>2606</v>
      </c>
      <c r="B51" s="2666">
        <f t="shared" si="32"/>
        <v>196.62341248059772</v>
      </c>
      <c r="C51" s="2666">
        <f t="shared" si="32"/>
        <v>170.99125648199012</v>
      </c>
      <c r="D51" s="2666">
        <f t="shared" si="16"/>
        <v>170.99125648199012</v>
      </c>
      <c r="E51" s="2666">
        <f t="shared" si="33"/>
        <v>266.07857570490052</v>
      </c>
      <c r="F51" s="2666">
        <f t="shared" si="33"/>
        <v>154.53499328828505</v>
      </c>
      <c r="G51" s="3443">
        <v>2008</v>
      </c>
      <c r="H51" s="2667">
        <v>1</v>
      </c>
      <c r="I51" s="2667">
        <v>4.1399999999999997</v>
      </c>
      <c r="J51" s="2667">
        <v>3.45</v>
      </c>
      <c r="K51" s="2667">
        <v>4.95</v>
      </c>
      <c r="L51" s="2668">
        <v>4.82</v>
      </c>
      <c r="N51" s="2670">
        <f t="shared" si="18"/>
        <v>4.1399999999999999E-2</v>
      </c>
      <c r="O51" s="2671">
        <f t="shared" si="18"/>
        <v>3.4500000000000003E-2</v>
      </c>
      <c r="P51" s="2671">
        <f t="shared" si="18"/>
        <v>4.9500000000000002E-2</v>
      </c>
      <c r="Q51" s="2671">
        <f t="shared" si="18"/>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16"/>
        <v>165</v>
      </c>
      <c r="E52" s="2625">
        <v>254</v>
      </c>
      <c r="F52" s="2626">
        <v>148</v>
      </c>
      <c r="G52" s="3441">
        <v>2007</v>
      </c>
      <c r="H52" s="2674">
        <v>4</v>
      </c>
      <c r="I52" s="2674">
        <v>5.51</v>
      </c>
      <c r="J52" s="2674">
        <v>4.8899999999999997</v>
      </c>
      <c r="K52" s="2674">
        <v>6.43</v>
      </c>
      <c r="L52" s="2675">
        <v>5.36</v>
      </c>
      <c r="N52" s="2676">
        <f t="shared" ref="N52:O55" si="34">B52/B53-1</f>
        <v>4.1339718365245526E-2</v>
      </c>
      <c r="O52" s="2677">
        <f t="shared" si="34"/>
        <v>4.0324492593776018E-2</v>
      </c>
      <c r="P52" s="2677">
        <f t="shared" ref="P52:Q55" si="35">E52/E53-1</f>
        <v>6.1625555347990968E-2</v>
      </c>
      <c r="Q52" s="2677">
        <f t="shared" si="35"/>
        <v>4.6757569250590603E-2</v>
      </c>
      <c r="R52" s="2630"/>
      <c r="S52" s="2631"/>
      <c r="T52" s="2632"/>
      <c r="U52" s="2632"/>
      <c r="V52" s="2632"/>
      <c r="X52" s="2632"/>
      <c r="Y52" s="2632"/>
      <c r="Z52" s="2632"/>
    </row>
    <row r="53" spans="1:26">
      <c r="A53" s="2620" t="s">
        <v>2608</v>
      </c>
      <c r="B53" s="2633">
        <f t="shared" ref="B53:C55" si="36">B54+(B$52-B$56)*I53/SUM(I$52:I$55)</f>
        <v>180.5366651097618</v>
      </c>
      <c r="C53" s="2633">
        <f t="shared" si="36"/>
        <v>158.60435967302453</v>
      </c>
      <c r="D53" s="2633">
        <f t="shared" si="16"/>
        <v>158.60435967302453</v>
      </c>
      <c r="E53" s="2633">
        <f t="shared" ref="E53:F55" si="37">E54+(E$52-E$56)*K53/SUM(K$52:K$55)</f>
        <v>239.25573260785075</v>
      </c>
      <c r="F53" s="2633">
        <f t="shared" si="37"/>
        <v>141.38899430740037</v>
      </c>
      <c r="G53" s="3442">
        <v>2007</v>
      </c>
      <c r="H53" s="2644">
        <v>3</v>
      </c>
      <c r="I53" s="2644">
        <v>8.65</v>
      </c>
      <c r="J53" s="2644">
        <v>8.06</v>
      </c>
      <c r="K53" s="2644">
        <v>9.94</v>
      </c>
      <c r="L53" s="2645">
        <v>5.8</v>
      </c>
      <c r="N53" s="2676">
        <f t="shared" si="34"/>
        <v>6.940217571740015E-2</v>
      </c>
      <c r="O53" s="2677">
        <f t="shared" si="34"/>
        <v>7.1197482471153428E-2</v>
      </c>
      <c r="P53" s="2677">
        <f t="shared" si="35"/>
        <v>0.10529679922579582</v>
      </c>
      <c r="Q53" s="2677">
        <f t="shared" si="35"/>
        <v>5.3292245059512133E-2</v>
      </c>
      <c r="R53" s="2630"/>
      <c r="S53" s="2628"/>
      <c r="T53" s="2629"/>
      <c r="U53" s="2629"/>
      <c r="V53" s="2629"/>
      <c r="X53" s="2678"/>
      <c r="Y53" s="2678"/>
      <c r="Z53" s="2678"/>
    </row>
    <row r="54" spans="1:26">
      <c r="A54" s="2620" t="s">
        <v>2609</v>
      </c>
      <c r="B54" s="2633">
        <f t="shared" si="36"/>
        <v>168.82017748715555</v>
      </c>
      <c r="C54" s="2633">
        <f t="shared" si="36"/>
        <v>148.06267029972753</v>
      </c>
      <c r="D54" s="2633">
        <f t="shared" si="16"/>
        <v>148.06267029972753</v>
      </c>
      <c r="E54" s="2633">
        <f t="shared" si="37"/>
        <v>216.46288379323747</v>
      </c>
      <c r="F54" s="2633">
        <f t="shared" si="37"/>
        <v>134.23529411764704</v>
      </c>
      <c r="G54" s="3442">
        <v>2007</v>
      </c>
      <c r="H54" s="2624">
        <v>2</v>
      </c>
      <c r="I54" s="2624">
        <v>3.67</v>
      </c>
      <c r="J54" s="2624">
        <v>2.3199999999999998</v>
      </c>
      <c r="K54" s="2624">
        <v>5.0199999999999996</v>
      </c>
      <c r="L54" s="2635">
        <v>6.71</v>
      </c>
      <c r="N54" s="2676">
        <f t="shared" si="34"/>
        <v>3.0339138143848032E-2</v>
      </c>
      <c r="O54" s="2677">
        <f t="shared" si="34"/>
        <v>2.0922341588790472E-2</v>
      </c>
      <c r="P54" s="2677">
        <f t="shared" si="35"/>
        <v>5.6164796592717003E-2</v>
      </c>
      <c r="Q54" s="2677">
        <f t="shared" si="35"/>
        <v>6.5704536723887319E-2</v>
      </c>
      <c r="R54" s="2630"/>
      <c r="S54" s="2628"/>
      <c r="T54" s="2629"/>
      <c r="U54" s="2629"/>
      <c r="V54" s="2629"/>
      <c r="X54" s="2678"/>
      <c r="Y54" s="2678"/>
      <c r="Z54" s="2678"/>
    </row>
    <row r="55" spans="1:26">
      <c r="A55" s="2620" t="s">
        <v>2610</v>
      </c>
      <c r="B55" s="2633">
        <f t="shared" si="36"/>
        <v>163.84913591779542</v>
      </c>
      <c r="C55" s="2633">
        <f t="shared" si="36"/>
        <v>145.0283378746594</v>
      </c>
      <c r="D55" s="2633">
        <f t="shared" si="16"/>
        <v>145.0283378746594</v>
      </c>
      <c r="E55" s="2633">
        <f t="shared" si="37"/>
        <v>204.95180722891567</v>
      </c>
      <c r="F55" s="2633">
        <f t="shared" si="37"/>
        <v>125.95920303605313</v>
      </c>
      <c r="G55" s="3443">
        <v>2007</v>
      </c>
      <c r="H55" s="2623">
        <v>1</v>
      </c>
      <c r="I55" s="2623">
        <v>3.58</v>
      </c>
      <c r="J55" s="2623">
        <v>3.08</v>
      </c>
      <c r="K55" s="2623">
        <v>4.34</v>
      </c>
      <c r="L55" s="2634">
        <v>3.21</v>
      </c>
      <c r="N55" s="2679">
        <f t="shared" si="34"/>
        <v>3.0497710174814063E-2</v>
      </c>
      <c r="O55" s="2680">
        <f t="shared" si="34"/>
        <v>2.8569772160704998E-2</v>
      </c>
      <c r="P55" s="2680">
        <f t="shared" si="35"/>
        <v>5.1034908866234296E-2</v>
      </c>
      <c r="Q55" s="2680">
        <f t="shared" si="35"/>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16"/>
        <v>141</v>
      </c>
      <c r="E56" s="2647">
        <v>195</v>
      </c>
      <c r="F56" s="2648">
        <v>122</v>
      </c>
      <c r="G56" s="3441">
        <v>2006</v>
      </c>
      <c r="H56" s="2639">
        <v>4</v>
      </c>
      <c r="I56" s="2639">
        <v>3.79</v>
      </c>
      <c r="J56" s="2639">
        <v>2.21</v>
      </c>
      <c r="K56" s="2639">
        <v>5.65</v>
      </c>
      <c r="L56" s="2640">
        <v>5.41</v>
      </c>
      <c r="N56" s="2676">
        <f t="shared" ref="N56:O59" si="38">I56/SUM(I$56:I$59)*(B$56/B$60-1)</f>
        <v>7.245466462748526E-2</v>
      </c>
      <c r="O56" s="2677">
        <f t="shared" si="38"/>
        <v>2.3237230038062766E-2</v>
      </c>
      <c r="P56" s="2677">
        <f t="shared" ref="P56:Q59" si="39">K56/SUM(K$56:K$59)*(E$56/E$60-1)</f>
        <v>0.16146893866323722</v>
      </c>
      <c r="Q56" s="2677">
        <f t="shared" si="39"/>
        <v>5.0755230321793784E-2</v>
      </c>
      <c r="R56" s="2630"/>
      <c r="S56" s="2631"/>
      <c r="T56" s="2632"/>
      <c r="U56" s="2632"/>
      <c r="V56" s="2632"/>
      <c r="X56" s="2678"/>
      <c r="Y56" s="2678"/>
      <c r="Z56" s="2678"/>
    </row>
    <row r="57" spans="1:26">
      <c r="A57" s="2620" t="s">
        <v>2612</v>
      </c>
      <c r="B57" s="2633">
        <f t="shared" ref="B57:C59" si="40">B58+(B$56-B$60)*I57/SUM(I$56:I$59)</f>
        <v>149.00125628140702</v>
      </c>
      <c r="C57" s="2633">
        <f t="shared" si="40"/>
        <v>137.95592286501378</v>
      </c>
      <c r="D57" s="2633">
        <f t="shared" si="16"/>
        <v>137.95592286501378</v>
      </c>
      <c r="E57" s="2633">
        <f t="shared" ref="E57:F59" si="41">E58+(E$56-E$60)*K57/SUM(K$56:K$59)</f>
        <v>169.97231450719823</v>
      </c>
      <c r="F57" s="2633">
        <f t="shared" si="41"/>
        <v>116.21390374331551</v>
      </c>
      <c r="G57" s="3442">
        <v>2006</v>
      </c>
      <c r="H57" s="2644">
        <v>3</v>
      </c>
      <c r="I57" s="2644">
        <v>0.92</v>
      </c>
      <c r="J57" s="2644">
        <v>1.08</v>
      </c>
      <c r="K57" s="2644">
        <v>0.73</v>
      </c>
      <c r="L57" s="2645">
        <v>1.08</v>
      </c>
      <c r="N57" s="2676">
        <f t="shared" si="38"/>
        <v>1.7587939698492462E-2</v>
      </c>
      <c r="O57" s="2677">
        <f t="shared" si="38"/>
        <v>1.1355750425840628E-2</v>
      </c>
      <c r="P57" s="2677">
        <f t="shared" si="39"/>
        <v>2.0862358446754544E-2</v>
      </c>
      <c r="Q57" s="2677">
        <f t="shared" si="39"/>
        <v>1.0132282578103011E-2</v>
      </c>
      <c r="R57" s="2630"/>
      <c r="S57" s="2628"/>
      <c r="T57" s="2629"/>
      <c r="U57" s="2629"/>
      <c r="V57" s="2629"/>
      <c r="X57" s="2678"/>
      <c r="Y57" s="2678"/>
      <c r="Z57" s="2678"/>
    </row>
    <row r="58" spans="1:26">
      <c r="A58" s="2620" t="s">
        <v>2613</v>
      </c>
      <c r="B58" s="2633">
        <f t="shared" si="40"/>
        <v>146.57412060301507</v>
      </c>
      <c r="C58" s="2633">
        <f t="shared" si="40"/>
        <v>136.46831955922866</v>
      </c>
      <c r="D58" s="2633">
        <f t="shared" si="16"/>
        <v>136.46831955922866</v>
      </c>
      <c r="E58" s="2633">
        <f t="shared" si="41"/>
        <v>166.73864894795128</v>
      </c>
      <c r="F58" s="2633">
        <f t="shared" si="41"/>
        <v>115.05882352941177</v>
      </c>
      <c r="G58" s="3442">
        <v>2006</v>
      </c>
      <c r="H58" s="2624">
        <v>2</v>
      </c>
      <c r="I58" s="2624">
        <v>0.96</v>
      </c>
      <c r="J58" s="2624">
        <v>0.25</v>
      </c>
      <c r="K58" s="2624">
        <v>1.9</v>
      </c>
      <c r="L58" s="2635">
        <v>0.95</v>
      </c>
      <c r="N58" s="2676">
        <f t="shared" si="38"/>
        <v>1.8352632728861701E-2</v>
      </c>
      <c r="O58" s="2677">
        <f t="shared" si="38"/>
        <v>2.6286459319075526E-3</v>
      </c>
      <c r="P58" s="2677">
        <f t="shared" si="39"/>
        <v>5.4299289107991269E-2</v>
      </c>
      <c r="Q58" s="2677">
        <f t="shared" si="39"/>
        <v>8.9126559714794995E-3</v>
      </c>
      <c r="R58" s="2630"/>
      <c r="S58" s="2628"/>
      <c r="T58" s="2629"/>
      <c r="U58" s="2629"/>
      <c r="V58" s="2629"/>
      <c r="X58" s="2678"/>
      <c r="Y58" s="2678"/>
      <c r="Z58" s="2678"/>
    </row>
    <row r="59" spans="1:26">
      <c r="A59" s="2620" t="s">
        <v>2614</v>
      </c>
      <c r="B59" s="2633">
        <f t="shared" si="40"/>
        <v>144.04145728643215</v>
      </c>
      <c r="C59" s="2633">
        <f t="shared" si="40"/>
        <v>136.12396694214877</v>
      </c>
      <c r="D59" s="2633">
        <f t="shared" si="16"/>
        <v>136.12396694214877</v>
      </c>
      <c r="E59" s="2633">
        <f t="shared" si="41"/>
        <v>158.32225913621264</v>
      </c>
      <c r="F59" s="2633">
        <f t="shared" si="41"/>
        <v>114.04278074866311</v>
      </c>
      <c r="G59" s="3443">
        <v>2006</v>
      </c>
      <c r="H59" s="2623">
        <v>1</v>
      </c>
      <c r="I59" s="2623">
        <v>2.29</v>
      </c>
      <c r="J59" s="2623">
        <v>3.72</v>
      </c>
      <c r="K59" s="2623">
        <v>0.75</v>
      </c>
      <c r="L59" s="2634">
        <v>0.04</v>
      </c>
      <c r="N59" s="2679">
        <f t="shared" si="38"/>
        <v>4.3778675988638847E-2</v>
      </c>
      <c r="O59" s="2680">
        <f t="shared" si="38"/>
        <v>3.9114251466784385E-2</v>
      </c>
      <c r="P59" s="2680">
        <f t="shared" si="39"/>
        <v>2.1433929911049188E-2</v>
      </c>
      <c r="Q59" s="2680">
        <f t="shared" si="39"/>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16"/>
        <v>131</v>
      </c>
      <c r="E60" s="2647">
        <v>155</v>
      </c>
      <c r="F60" s="2648">
        <v>114</v>
      </c>
      <c r="G60" s="3441">
        <v>2005</v>
      </c>
      <c r="H60" s="2639">
        <v>4</v>
      </c>
      <c r="I60" s="2639">
        <v>3.29</v>
      </c>
      <c r="J60" s="2639">
        <v>1.44</v>
      </c>
      <c r="K60" s="2639">
        <v>0.66</v>
      </c>
      <c r="L60" s="2640">
        <v>7.78</v>
      </c>
      <c r="N60" s="2676">
        <f t="shared" ref="N60:O63" si="42">I60/SUM(I$60:I$63)*(B$60/B$64-1)</f>
        <v>9.9404603216919935E-2</v>
      </c>
      <c r="O60" s="2677">
        <f t="shared" si="42"/>
        <v>4.7636550760861554E-2</v>
      </c>
      <c r="P60" s="2677">
        <f t="shared" ref="P60:Q63" si="43">K60/SUM(K$60:K$63)*(E$60/E$64-1)</f>
        <v>8.3756345177664976E-2</v>
      </c>
      <c r="Q60" s="2677">
        <f t="shared" si="43"/>
        <v>5.2148766661559584E-2</v>
      </c>
      <c r="R60" s="2630"/>
      <c r="S60" s="2631"/>
      <c r="T60" s="2632"/>
      <c r="U60" s="2632"/>
      <c r="V60" s="2632"/>
      <c r="X60" s="2678"/>
      <c r="Y60" s="2678"/>
      <c r="Z60" s="2678"/>
    </row>
    <row r="61" spans="1:26">
      <c r="A61" s="2620" t="s">
        <v>2616</v>
      </c>
      <c r="B61" s="2633">
        <f t="shared" ref="B61:C63" si="44">B62+(B$60-B$64)*I61/SUM(I$60:I$63)</f>
        <v>125.9720430107527</v>
      </c>
      <c r="C61" s="2633">
        <f t="shared" si="44"/>
        <v>125.1883408071749</v>
      </c>
      <c r="D61" s="2633">
        <f t="shared" si="16"/>
        <v>125.1883408071749</v>
      </c>
      <c r="E61" s="2633">
        <f t="shared" ref="E61:F63" si="45">E62+(E$60-E$64)*K61/SUM(K$60:K$63)</f>
        <v>144.61421319796952</v>
      </c>
      <c r="F61" s="2633">
        <f t="shared" si="45"/>
        <v>108.42008196721311</v>
      </c>
      <c r="G61" s="3442">
        <v>2005</v>
      </c>
      <c r="H61" s="2644">
        <v>3</v>
      </c>
      <c r="I61" s="2644">
        <v>0.46</v>
      </c>
      <c r="J61" s="2644">
        <v>0.32</v>
      </c>
      <c r="K61" s="2644">
        <v>0.42</v>
      </c>
      <c r="L61" s="2645">
        <v>0.64</v>
      </c>
      <c r="N61" s="2676">
        <f t="shared" si="42"/>
        <v>1.3898515951301874E-2</v>
      </c>
      <c r="O61" s="2677">
        <f t="shared" si="42"/>
        <v>1.0585900169080346E-2</v>
      </c>
      <c r="P61" s="2677">
        <f t="shared" si="43"/>
        <v>5.3299492385786795E-2</v>
      </c>
      <c r="Q61" s="2677">
        <f t="shared" si="43"/>
        <v>4.2898728359123568E-3</v>
      </c>
      <c r="R61" s="2630"/>
      <c r="S61" s="2628"/>
      <c r="T61" s="2629"/>
      <c r="U61" s="2629"/>
      <c r="V61" s="2629"/>
      <c r="X61" s="2678"/>
      <c r="Y61" s="2678"/>
      <c r="Z61" s="2678"/>
    </row>
    <row r="62" spans="1:26">
      <c r="A62" s="2620" t="s">
        <v>2617</v>
      </c>
      <c r="B62" s="2633">
        <f t="shared" si="44"/>
        <v>124.29032258064517</v>
      </c>
      <c r="C62" s="2633">
        <f t="shared" si="44"/>
        <v>123.8968609865471</v>
      </c>
      <c r="D62" s="2633">
        <f t="shared" si="16"/>
        <v>123.8968609865471</v>
      </c>
      <c r="E62" s="2633">
        <f t="shared" si="45"/>
        <v>138.00507614213197</v>
      </c>
      <c r="F62" s="2633">
        <f t="shared" si="45"/>
        <v>107.96106557377048</v>
      </c>
      <c r="G62" s="3442">
        <v>2005</v>
      </c>
      <c r="H62" s="2624">
        <v>2</v>
      </c>
      <c r="I62" s="2624">
        <v>0.47</v>
      </c>
      <c r="J62" s="2624">
        <v>0.1</v>
      </c>
      <c r="K62" s="2624">
        <v>0.52</v>
      </c>
      <c r="L62" s="2635">
        <v>0.79</v>
      </c>
      <c r="N62" s="2676">
        <f t="shared" si="42"/>
        <v>1.420065760241713E-2</v>
      </c>
      <c r="O62" s="2677">
        <f t="shared" si="42"/>
        <v>3.3080938028376083E-3</v>
      </c>
      <c r="P62" s="2677">
        <f t="shared" si="43"/>
        <v>6.598984771573603E-2</v>
      </c>
      <c r="Q62" s="2677">
        <f t="shared" si="43"/>
        <v>5.2953117818293153E-3</v>
      </c>
      <c r="R62" s="2630"/>
      <c r="S62" s="2628"/>
      <c r="T62" s="2629"/>
      <c r="U62" s="2629"/>
      <c r="V62" s="2629"/>
      <c r="X62" s="2678"/>
      <c r="Y62" s="2678"/>
      <c r="Z62" s="2678"/>
    </row>
    <row r="63" spans="1:26">
      <c r="A63" s="2620" t="s">
        <v>2618</v>
      </c>
      <c r="B63" s="2633">
        <f t="shared" si="44"/>
        <v>122.57204301075269</v>
      </c>
      <c r="C63" s="2633">
        <f t="shared" si="44"/>
        <v>123.4932735426009</v>
      </c>
      <c r="D63" s="2633">
        <f t="shared" si="16"/>
        <v>123.4932735426009</v>
      </c>
      <c r="E63" s="2633">
        <f t="shared" si="45"/>
        <v>129.82233502538071</v>
      </c>
      <c r="F63" s="2633">
        <f t="shared" si="45"/>
        <v>107.39446721311475</v>
      </c>
      <c r="G63" s="3443">
        <v>2005</v>
      </c>
      <c r="H63" s="2623">
        <v>1</v>
      </c>
      <c r="I63" s="2623">
        <v>0.43</v>
      </c>
      <c r="J63" s="2623">
        <v>0.37</v>
      </c>
      <c r="K63" s="2623">
        <v>0.37</v>
      </c>
      <c r="L63" s="2634">
        <v>0.55000000000000004</v>
      </c>
      <c r="N63" s="2679">
        <f t="shared" si="42"/>
        <v>1.2992090997956099E-2</v>
      </c>
      <c r="O63" s="2680">
        <f t="shared" si="42"/>
        <v>1.2239947070499151E-2</v>
      </c>
      <c r="P63" s="2680">
        <f t="shared" si="43"/>
        <v>4.6954314720812178E-2</v>
      </c>
      <c r="Q63" s="2680">
        <f t="shared" si="43"/>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16"/>
        <v>122</v>
      </c>
      <c r="E64" s="2663">
        <v>124</v>
      </c>
      <c r="F64" s="2664">
        <v>107</v>
      </c>
      <c r="G64" s="3441">
        <v>2004</v>
      </c>
      <c r="H64" s="2639">
        <v>4</v>
      </c>
      <c r="I64" s="2639">
        <v>0.33</v>
      </c>
      <c r="J64" s="2639">
        <v>0.5</v>
      </c>
      <c r="K64" s="2639">
        <v>0.5</v>
      </c>
      <c r="L64" s="2640">
        <v>0</v>
      </c>
      <c r="N64" s="2676">
        <f t="shared" ref="N64:O67" si="46">I64/SUM(I$64:I$67)*(B$64/B$68-1)</f>
        <v>1.3391770148526898E-2</v>
      </c>
      <c r="O64" s="2677">
        <f t="shared" si="46"/>
        <v>1.063264221158958E-2</v>
      </c>
      <c r="P64" s="2677">
        <f t="shared" ref="P64:Q67" si="47">K64/SUM(K$64:K$67)*(E$64/E$68-1)</f>
        <v>2.2244466688911134E-2</v>
      </c>
      <c r="Q64" s="2677">
        <f t="shared" si="47"/>
        <v>0</v>
      </c>
      <c r="R64" s="2630"/>
      <c r="S64" s="2631"/>
      <c r="T64" s="2632"/>
      <c r="U64" s="2632"/>
      <c r="V64" s="2632"/>
      <c r="X64" s="2678"/>
      <c r="Y64" s="2678"/>
      <c r="Z64" s="2678"/>
    </row>
    <row r="65" spans="1:26">
      <c r="A65" s="2620" t="s">
        <v>2620</v>
      </c>
      <c r="B65" s="2633">
        <f t="shared" ref="B65:C67" si="48">B66+(B$64-B$68)*I65/SUM(I$64:I$67)</f>
        <v>119.51351351351352</v>
      </c>
      <c r="C65" s="2633">
        <f t="shared" si="48"/>
        <v>120.7878787878788</v>
      </c>
      <c r="D65" s="2633">
        <f t="shared" si="16"/>
        <v>120.7878787878788</v>
      </c>
      <c r="E65" s="2633">
        <f t="shared" ref="E65:F67" si="49">E66+(E$64-E$68)*K65/SUM(K$64:K$67)</f>
        <v>121.5975975975976</v>
      </c>
      <c r="F65" s="2633">
        <f t="shared" si="49"/>
        <v>107</v>
      </c>
      <c r="G65" s="3442">
        <v>2004</v>
      </c>
      <c r="H65" s="2644">
        <v>3</v>
      </c>
      <c r="I65" s="2644">
        <v>0.56000000000000005</v>
      </c>
      <c r="J65" s="2644">
        <v>0.8</v>
      </c>
      <c r="K65" s="2644">
        <v>0.83</v>
      </c>
      <c r="L65" s="2645">
        <v>0.06</v>
      </c>
      <c r="N65" s="2676">
        <f t="shared" si="46"/>
        <v>2.2725428130833527E-2</v>
      </c>
      <c r="O65" s="2677">
        <f t="shared" si="46"/>
        <v>1.7012227538543329E-2</v>
      </c>
      <c r="P65" s="2677">
        <f t="shared" si="47"/>
        <v>3.6925814703592477E-2</v>
      </c>
      <c r="Q65" s="2677">
        <f t="shared" si="47"/>
        <v>2.8846153846153744E-2</v>
      </c>
      <c r="R65" s="2630"/>
      <c r="S65" s="2628"/>
      <c r="T65" s="2629"/>
      <c r="U65" s="2629"/>
      <c r="V65" s="2629"/>
      <c r="X65" s="2678"/>
      <c r="Y65" s="2678"/>
      <c r="Z65" s="2678"/>
    </row>
    <row r="66" spans="1:26">
      <c r="A66" s="2620" t="s">
        <v>2621</v>
      </c>
      <c r="B66" s="2633">
        <f t="shared" si="48"/>
        <v>116.99099099099099</v>
      </c>
      <c r="C66" s="2633">
        <f t="shared" si="48"/>
        <v>118.84848484848486</v>
      </c>
      <c r="D66" s="2633">
        <f t="shared" si="16"/>
        <v>118.84848484848486</v>
      </c>
      <c r="E66" s="2633">
        <f t="shared" si="49"/>
        <v>117.60960960960961</v>
      </c>
      <c r="F66" s="2633">
        <f t="shared" si="49"/>
        <v>104</v>
      </c>
      <c r="G66" s="3442">
        <v>2004</v>
      </c>
      <c r="H66" s="2624">
        <v>2</v>
      </c>
      <c r="I66" s="2624">
        <v>1</v>
      </c>
      <c r="J66" s="2624">
        <v>1.5</v>
      </c>
      <c r="K66" s="2624">
        <v>1.5</v>
      </c>
      <c r="L66" s="2635">
        <v>0</v>
      </c>
      <c r="N66" s="2676">
        <f t="shared" si="46"/>
        <v>4.0581121662202721E-2</v>
      </c>
      <c r="O66" s="2677">
        <f t="shared" si="46"/>
        <v>3.1897926634768738E-2</v>
      </c>
      <c r="P66" s="2677">
        <f t="shared" si="47"/>
        <v>6.6733400066733395E-2</v>
      </c>
      <c r="Q66" s="2677">
        <f t="shared" si="47"/>
        <v>0</v>
      </c>
      <c r="R66" s="2630"/>
      <c r="S66" s="2628"/>
      <c r="T66" s="2629"/>
      <c r="U66" s="2629"/>
      <c r="V66" s="2629"/>
      <c r="X66" s="2678"/>
      <c r="Y66" s="2678"/>
      <c r="Z66" s="2678"/>
    </row>
    <row r="67" spans="1:26" s="2669" customFormat="1" ht="13.5" thickBot="1">
      <c r="A67" s="2620" t="s">
        <v>2622</v>
      </c>
      <c r="B67" s="2666">
        <f t="shared" si="48"/>
        <v>112.48648648648648</v>
      </c>
      <c r="C67" s="2666">
        <f t="shared" si="48"/>
        <v>115.21212121212122</v>
      </c>
      <c r="D67" s="2666">
        <f t="shared" si="16"/>
        <v>115.21212121212122</v>
      </c>
      <c r="E67" s="2666">
        <f t="shared" si="49"/>
        <v>110.4024024024024</v>
      </c>
      <c r="F67" s="2666">
        <f t="shared" si="49"/>
        <v>104</v>
      </c>
      <c r="G67" s="3443">
        <v>2004</v>
      </c>
      <c r="H67" s="2667">
        <v>1</v>
      </c>
      <c r="I67" s="2667">
        <v>0.33</v>
      </c>
      <c r="J67" s="2667">
        <v>0.5</v>
      </c>
      <c r="K67" s="2667">
        <v>0.5</v>
      </c>
      <c r="L67" s="2668">
        <v>0</v>
      </c>
      <c r="N67" s="2681">
        <f t="shared" si="46"/>
        <v>1.3391770148526898E-2</v>
      </c>
      <c r="O67" s="2682">
        <f t="shared" si="46"/>
        <v>1.063264221158958E-2</v>
      </c>
      <c r="P67" s="2682">
        <f t="shared" si="47"/>
        <v>2.2244466688911134E-2</v>
      </c>
      <c r="Q67" s="2682">
        <f t="shared" si="47"/>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16"/>
        <v>114</v>
      </c>
      <c r="E68" s="2684">
        <v>108</v>
      </c>
      <c r="F68" s="2685">
        <v>104</v>
      </c>
      <c r="G68" s="3441">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50">B70+(B$68-B$72)/4</f>
        <v>109.75</v>
      </c>
      <c r="C69" s="2688">
        <f t="shared" si="50"/>
        <v>112.25</v>
      </c>
      <c r="D69" s="2688">
        <f t="shared" si="16"/>
        <v>112.25</v>
      </c>
      <c r="E69" s="2688">
        <f t="shared" ref="E69:F71" si="51">E70+(E$68-E$72)/4</f>
        <v>107.25</v>
      </c>
      <c r="F69" s="2688">
        <f t="shared" si="51"/>
        <v>103.5</v>
      </c>
      <c r="G69" s="3442">
        <v>2003</v>
      </c>
      <c r="H69" s="2644">
        <v>3</v>
      </c>
      <c r="I69" s="2686"/>
      <c r="J69" s="2686"/>
      <c r="K69" s="2686"/>
      <c r="L69" s="2686"/>
      <c r="X69" s="2678"/>
      <c r="Y69" s="2678"/>
      <c r="Z69" s="2678"/>
    </row>
    <row r="70" spans="1:26">
      <c r="A70" s="2620" t="s">
        <v>2625</v>
      </c>
      <c r="B70" s="2688">
        <f t="shared" si="50"/>
        <v>108.5</v>
      </c>
      <c r="C70" s="2688">
        <f t="shared" si="50"/>
        <v>110.5</v>
      </c>
      <c r="D70" s="2688">
        <f t="shared" si="16"/>
        <v>110.5</v>
      </c>
      <c r="E70" s="2688">
        <f t="shared" si="51"/>
        <v>106.5</v>
      </c>
      <c r="F70" s="2688">
        <f t="shared" si="51"/>
        <v>103</v>
      </c>
      <c r="G70" s="3442">
        <v>2003</v>
      </c>
      <c r="H70" s="2624">
        <v>2</v>
      </c>
      <c r="I70" s="2686"/>
      <c r="J70" s="2686"/>
      <c r="K70" s="2686"/>
      <c r="L70" s="2686"/>
      <c r="X70" s="2678"/>
      <c r="Y70" s="2678"/>
      <c r="Z70" s="2678"/>
    </row>
    <row r="71" spans="1:26" ht="13.5" thickBot="1">
      <c r="A71" s="2620" t="s">
        <v>2626</v>
      </c>
      <c r="B71" s="2688">
        <f t="shared" si="50"/>
        <v>107.25</v>
      </c>
      <c r="C71" s="2688">
        <f t="shared" si="50"/>
        <v>108.75</v>
      </c>
      <c r="D71" s="2688">
        <f t="shared" si="16"/>
        <v>108.75</v>
      </c>
      <c r="E71" s="2688">
        <f t="shared" si="51"/>
        <v>105.75</v>
      </c>
      <c r="F71" s="2688">
        <f t="shared" si="51"/>
        <v>102.5</v>
      </c>
      <c r="G71" s="3443">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16"/>
        <v>107</v>
      </c>
      <c r="E72" s="2690">
        <v>105</v>
      </c>
      <c r="F72" s="2691">
        <v>102</v>
      </c>
      <c r="G72" s="3441">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52">B74+(B$72-B$76)/4</f>
        <v>105</v>
      </c>
      <c r="C73" s="2688">
        <f t="shared" si="52"/>
        <v>106</v>
      </c>
      <c r="D73" s="2688">
        <f t="shared" si="16"/>
        <v>106</v>
      </c>
      <c r="E73" s="2688">
        <f t="shared" ref="E73:F75" si="53">E74+(E$72-E$76)/4</f>
        <v>104.5</v>
      </c>
      <c r="F73" s="2688">
        <f t="shared" si="53"/>
        <v>101.5</v>
      </c>
      <c r="G73" s="3442">
        <v>2002</v>
      </c>
      <c r="H73" s="2644">
        <v>3</v>
      </c>
      <c r="I73" s="2686"/>
      <c r="J73" s="2686"/>
      <c r="K73" s="2686"/>
      <c r="L73" s="2686"/>
      <c r="X73" s="2678"/>
      <c r="Y73" s="2678"/>
      <c r="Z73" s="2678"/>
    </row>
    <row r="74" spans="1:26">
      <c r="A74" s="2620" t="s">
        <v>2629</v>
      </c>
      <c r="B74" s="2688">
        <f t="shared" si="52"/>
        <v>104</v>
      </c>
      <c r="C74" s="2688">
        <f t="shared" si="52"/>
        <v>105</v>
      </c>
      <c r="D74" s="2688">
        <f t="shared" si="16"/>
        <v>105</v>
      </c>
      <c r="E74" s="2688">
        <f t="shared" si="53"/>
        <v>104</v>
      </c>
      <c r="F74" s="2688">
        <f t="shared" si="53"/>
        <v>101</v>
      </c>
      <c r="G74" s="3442">
        <v>2002</v>
      </c>
      <c r="H74" s="2624">
        <v>2</v>
      </c>
      <c r="I74" s="2686"/>
      <c r="J74" s="2686"/>
      <c r="K74" s="2686"/>
      <c r="L74" s="2686"/>
      <c r="X74" s="2678"/>
      <c r="Y74" s="2678"/>
      <c r="Z74" s="2678"/>
    </row>
    <row r="75" spans="1:26" s="2655" customFormat="1" ht="13.5" thickBot="1">
      <c r="A75" s="2651" t="s">
        <v>2630</v>
      </c>
      <c r="B75" s="2692">
        <f t="shared" si="52"/>
        <v>103</v>
      </c>
      <c r="C75" s="2692">
        <f t="shared" si="52"/>
        <v>104</v>
      </c>
      <c r="D75" s="2692">
        <f t="shared" si="16"/>
        <v>104</v>
      </c>
      <c r="E75" s="2692">
        <f t="shared" si="53"/>
        <v>103.5</v>
      </c>
      <c r="F75" s="2692">
        <f t="shared" si="53"/>
        <v>100.5</v>
      </c>
      <c r="G75" s="3443">
        <v>2002</v>
      </c>
      <c r="H75" s="2693">
        <v>1</v>
      </c>
      <c r="I75" s="2694"/>
      <c r="J75" s="2694"/>
      <c r="K75" s="2694"/>
      <c r="L75" s="2694"/>
      <c r="N75" s="2695"/>
      <c r="S75" s="2695"/>
      <c r="X75" s="2696"/>
      <c r="Y75" s="2696"/>
      <c r="Z75" s="2696"/>
    </row>
    <row r="76" spans="1:26" ht="13.5" thickBot="1">
      <c r="B76" s="2697">
        <v>102</v>
      </c>
      <c r="C76" s="2698">
        <v>103</v>
      </c>
      <c r="D76" s="2698">
        <f t="shared" si="16"/>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20000平方米。根据《建设工程规划许可证》[]、《出让合同》[]，估价对象规划建筑面积为28000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2019年8月22日（评估专业人员勘察现场之日）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根据《国有土地使用证》[]，估价对象（分摊）出让国有建设用地使用权面积为20000平方米。根据《建设工程规划许可证》[]、《出让合同》[]，估价对象规划建筑面积为28000平方米。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3月23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0" t="s">
        <v>2463</v>
      </c>
      <c r="C8" s="1811">
        <f ca="1">ROUND(F8*F10*F9*(1-F11)/10000,0)</f>
        <v>0</v>
      </c>
      <c r="D8" s="1808" t="s">
        <v>2534</v>
      </c>
      <c r="E8" s="61" t="s">
        <v>637</v>
      </c>
      <c r="F8" s="785">
        <f ca="1">INDIRECT("'数据-取费表'!u"&amp;$G$1)</f>
        <v>0</v>
      </c>
      <c r="G8" s="1579"/>
      <c r="H8" s="2469" t="s">
        <v>1824</v>
      </c>
      <c r="I8" s="3450" t="s">
        <v>2463</v>
      </c>
      <c r="J8" s="783">
        <f ca="1">ROUND(M8*M10*M9*(1-M11)/10000,0)</f>
        <v>0</v>
      </c>
      <c r="K8" s="341" t="s">
        <v>2534</v>
      </c>
      <c r="L8" s="784" t="s">
        <v>1738</v>
      </c>
      <c r="M8" s="785">
        <f ca="1">INDIRECT("'数据-取费表'!z"&amp;$G$1)</f>
        <v>0</v>
      </c>
    </row>
    <row r="9" spans="1:25" ht="18" customHeight="1">
      <c r="A9" s="2465"/>
      <c r="B9" s="3451"/>
      <c r="C9" s="1812"/>
      <c r="D9" s="1809"/>
      <c r="E9" s="61" t="s">
        <v>638</v>
      </c>
      <c r="F9" s="785">
        <f ca="1">IF(INDIRECT("'数据-取费表'!ah"&amp;$G$1)="",INDIRECT("'数据-取费表'!k"&amp;$G$1),INDIRECT("'数据-取费表'!ah"&amp;$G$1))</f>
        <v>0</v>
      </c>
      <c r="G9" s="1579"/>
      <c r="H9" s="2454"/>
      <c r="I9" s="3451"/>
      <c r="J9" s="788"/>
      <c r="K9" s="789"/>
      <c r="L9" s="784" t="s">
        <v>1739</v>
      </c>
      <c r="M9" s="785">
        <f ca="1">F9</f>
        <v>0</v>
      </c>
    </row>
    <row r="10" spans="1:25" ht="18" customHeight="1">
      <c r="A10" s="2458"/>
      <c r="B10" s="3452"/>
      <c r="C10" s="1812"/>
      <c r="D10" s="1809"/>
      <c r="E10" s="61" t="s">
        <v>639</v>
      </c>
      <c r="F10" s="785">
        <f ca="1">INDIRECT("'数据-取费表'!ai"&amp;$G$1)</f>
        <v>0</v>
      </c>
      <c r="G10" s="1579"/>
      <c r="H10" s="2454"/>
      <c r="I10" s="3452"/>
      <c r="J10" s="788"/>
      <c r="K10" s="789"/>
      <c r="L10" s="784" t="s">
        <v>1740</v>
      </c>
      <c r="M10" s="785">
        <f ca="1">INDIRECT("'数据-取费表'!ai"&amp;$G$1)</f>
        <v>0</v>
      </c>
    </row>
    <row r="11" spans="1:25" ht="18" customHeight="1">
      <c r="A11" s="786"/>
      <c r="B11" s="3453"/>
      <c r="C11" s="1812"/>
      <c r="D11" s="1809"/>
      <c r="E11" s="61" t="s">
        <v>640</v>
      </c>
      <c r="F11" s="794">
        <f ca="1">INDIRECT("'数据-取费表'!w"&amp;$G$1)</f>
        <v>0</v>
      </c>
      <c r="G11" s="1579"/>
      <c r="H11" s="2470"/>
      <c r="I11" s="345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49"/>
      <c r="J36" s="2065"/>
      <c r="K36" s="2066"/>
      <c r="L36" s="2065"/>
      <c r="M36" s="2065"/>
    </row>
    <row r="37" spans="1:18" ht="18" customHeight="1">
      <c r="A37" s="815"/>
      <c r="B37" s="793"/>
      <c r="C37" s="69"/>
      <c r="D37" s="816"/>
      <c r="E37" s="784" t="s">
        <v>674</v>
      </c>
      <c r="F37" s="785">
        <f ca="1">INDIRECT("'数据-取费表'!r"&amp;$G$1)</f>
        <v>0</v>
      </c>
      <c r="G37" s="2048"/>
      <c r="H37" s="2051"/>
      <c r="I37" s="344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-1</v>
      </c>
      <c r="K54" s="3454"/>
      <c r="L54" s="3455"/>
      <c r="O54" s="2366" t="s">
        <v>2388</v>
      </c>
      <c r="P54" s="2364" t="s">
        <v>2389</v>
      </c>
      <c r="Q54" s="2365">
        <f ca="1">J54</f>
        <v>-1</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50" t="s">
        <v>2463</v>
      </c>
      <c r="C6" s="783">
        <f ca="1">ROUND(F6*F8*F7*(1-F9)/10000,0)</f>
        <v>0</v>
      </c>
      <c r="D6" s="2462" t="s">
        <v>2462</v>
      </c>
      <c r="E6" s="784" t="s">
        <v>1738</v>
      </c>
      <c r="F6" s="785">
        <f ca="1">INDIRECT("'数据-取费表'!u"&amp;$G$1)</f>
        <v>0</v>
      </c>
      <c r="G6" s="1579"/>
      <c r="H6" s="2469" t="s">
        <v>2468</v>
      </c>
      <c r="I6" s="3450" t="s">
        <v>2463</v>
      </c>
      <c r="J6" s="783">
        <f ca="1">ROUND(M6*M8*M7*(1-M9)/10000,0)</f>
        <v>0</v>
      </c>
      <c r="K6" s="341" t="s">
        <v>1737</v>
      </c>
      <c r="L6" s="784" t="s">
        <v>1738</v>
      </c>
      <c r="M6" s="785">
        <f ca="1">INDIRECT("'数据-取费表'!z"&amp;$G$1)</f>
        <v>0</v>
      </c>
    </row>
    <row r="7" spans="1:33" ht="18" customHeight="1">
      <c r="A7" s="2465"/>
      <c r="B7" s="3451"/>
      <c r="C7" s="788"/>
      <c r="D7" s="789"/>
      <c r="E7" s="784" t="s">
        <v>1739</v>
      </c>
      <c r="F7" s="785">
        <f ca="1">IF(INDIRECT("'数据-取费表'!ah"&amp;$G$1)="",INDIRECT("'数据-取费表'!k"&amp;$G$1),INDIRECT("'数据-取费表'!ah"&amp;$G$1))</f>
        <v>0</v>
      </c>
      <c r="G7" s="1579"/>
      <c r="H7" s="2454"/>
      <c r="I7" s="3451"/>
      <c r="J7" s="788"/>
      <c r="K7" s="789"/>
      <c r="L7" s="784" t="s">
        <v>1739</v>
      </c>
      <c r="M7" s="785">
        <f ca="1">F7</f>
        <v>0</v>
      </c>
    </row>
    <row r="8" spans="1:33" ht="18" customHeight="1">
      <c r="A8" s="2458"/>
      <c r="B8" s="3452"/>
      <c r="C8" s="788"/>
      <c r="D8" s="789"/>
      <c r="E8" s="784" t="s">
        <v>1740</v>
      </c>
      <c r="F8" s="785">
        <f ca="1">INDIRECT("'数据-取费表'!ai"&amp;$G$1)</f>
        <v>0</v>
      </c>
      <c r="G8" s="1579"/>
      <c r="H8" s="2454"/>
      <c r="I8" s="3452"/>
      <c r="J8" s="788"/>
      <c r="K8" s="789"/>
      <c r="L8" s="784" t="s">
        <v>1740</v>
      </c>
      <c r="M8" s="785">
        <f ca="1">INDIRECT("'数据-取费表'!ai"&amp;$G$1)</f>
        <v>0</v>
      </c>
    </row>
    <row r="9" spans="1:33" ht="18" customHeight="1">
      <c r="A9" s="786"/>
      <c r="B9" s="3453"/>
      <c r="C9" s="788"/>
      <c r="D9" s="789"/>
      <c r="E9" s="784" t="s">
        <v>1741</v>
      </c>
      <c r="F9" s="794">
        <f ca="1">INDIRECT("'数据-取费表'!w"&amp;$G$1)</f>
        <v>0</v>
      </c>
      <c r="G9" s="1579"/>
      <c r="H9" s="2470"/>
      <c r="I9" s="3452"/>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4.0000000000000002E-4</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09"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6" t="s">
        <v>2349</v>
      </c>
      <c r="L47" s="3110">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7"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8"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8"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1">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0</v>
      </c>
      <c r="K53" s="3456" t="s">
        <v>2967</v>
      </c>
      <c r="L53" s="3457"/>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4" t="s">
        <v>2355</v>
      </c>
      <c r="J55" s="3054" t="e">
        <f ca="1">ROUND(IF(J47="钢混",J57/J50,1-(1-2%)*(J50-J57)/J50),3)</f>
        <v>#DIV/0!</v>
      </c>
      <c r="K55" s="3115" t="s">
        <v>2356</v>
      </c>
      <c r="L55" s="2351"/>
      <c r="O55" s="2369" t="s">
        <v>2411</v>
      </c>
      <c r="P55" s="1579"/>
      <c r="Q55" s="1590"/>
      <c r="R55" s="1579"/>
    </row>
    <row r="56" spans="1:18" s="2045" customFormat="1" ht="42.75" customHeight="1" thickBot="1">
      <c r="A56" s="1636"/>
      <c r="B56" s="2217" t="s">
        <v>2302</v>
      </c>
      <c r="C56" s="53">
        <f ca="1">C29</f>
        <v>0</v>
      </c>
      <c r="D56" s="2604"/>
      <c r="E56" s="784"/>
      <c r="F56" s="809"/>
      <c r="I56" s="3116" t="s">
        <v>2357</v>
      </c>
      <c r="J56" s="3126"/>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7" t="s">
        <v>2358</v>
      </c>
      <c r="J57" s="3118">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5</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2" t="s">
        <v>2367</v>
      </c>
      <c r="J62" s="3123" t="s">
        <v>2368</v>
      </c>
      <c r="K62" s="3123" t="s">
        <v>2369</v>
      </c>
      <c r="L62" s="3123" t="s">
        <v>2350</v>
      </c>
      <c r="M62" s="3124"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2" t="s">
        <v>2370</v>
      </c>
      <c r="J63" s="3123">
        <v>70</v>
      </c>
      <c r="K63" s="3123">
        <v>50</v>
      </c>
      <c r="L63" s="3123">
        <v>80</v>
      </c>
      <c r="M63" s="3125">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74" t="s">
        <v>2471</v>
      </c>
      <c r="B1" s="3475"/>
      <c r="C1" s="3476"/>
      <c r="D1" s="3477">
        <f>SUM(I10,I15,I20,I21,I23)</f>
        <v>0</v>
      </c>
      <c r="E1" s="3477"/>
      <c r="F1" s="3477"/>
      <c r="G1" s="3477"/>
      <c r="H1" s="3477"/>
      <c r="I1" s="3478"/>
    </row>
    <row r="2" spans="1:9">
      <c r="A2" s="3464" t="s">
        <v>2472</v>
      </c>
      <c r="B2" s="3465" t="s">
        <v>2473</v>
      </c>
      <c r="C2" s="3465"/>
      <c r="D2" s="2472" t="s">
        <v>2474</v>
      </c>
      <c r="E2" s="2472" t="s">
        <v>2475</v>
      </c>
      <c r="F2" s="2472" t="s">
        <v>2476</v>
      </c>
      <c r="G2" s="2472" t="s">
        <v>2477</v>
      </c>
      <c r="H2" s="2472" t="s">
        <v>2478</v>
      </c>
      <c r="I2" s="2473" t="s">
        <v>2479</v>
      </c>
    </row>
    <row r="3" spans="1:9">
      <c r="A3" s="3464"/>
      <c r="B3" s="3465" t="s">
        <v>2480</v>
      </c>
      <c r="C3" s="3465"/>
      <c r="D3" s="2474"/>
      <c r="E3" s="2472"/>
      <c r="F3" s="2475"/>
      <c r="G3" s="2475"/>
      <c r="H3" s="2476"/>
      <c r="I3" s="2477">
        <f>ROUND(D3*E3*F3*G3*H3/10000,0)</f>
        <v>0</v>
      </c>
    </row>
    <row r="4" spans="1:9">
      <c r="A4" s="3464"/>
      <c r="B4" s="3465" t="s">
        <v>2481</v>
      </c>
      <c r="C4" s="3465"/>
      <c r="D4" s="2474"/>
      <c r="E4" s="2472"/>
      <c r="F4" s="2475"/>
      <c r="G4" s="2475"/>
      <c r="H4" s="2476"/>
      <c r="I4" s="2477">
        <f t="shared" ref="I4:I9" si="0">ROUND(D4*E4*F4*G4*H4/10000,0)</f>
        <v>0</v>
      </c>
    </row>
    <row r="5" spans="1:9">
      <c r="A5" s="3464"/>
      <c r="B5" s="3465" t="s">
        <v>2482</v>
      </c>
      <c r="C5" s="3465"/>
      <c r="D5" s="2474"/>
      <c r="E5" s="2472"/>
      <c r="F5" s="2475"/>
      <c r="G5" s="2475"/>
      <c r="H5" s="2476"/>
      <c r="I5" s="2477">
        <f t="shared" si="0"/>
        <v>0</v>
      </c>
    </row>
    <row r="6" spans="1:9">
      <c r="A6" s="3464"/>
      <c r="B6" s="3465" t="s">
        <v>2483</v>
      </c>
      <c r="C6" s="3465"/>
      <c r="D6" s="2474"/>
      <c r="E6" s="2472"/>
      <c r="F6" s="2475"/>
      <c r="G6" s="2475"/>
      <c r="H6" s="2476"/>
      <c r="I6" s="2477">
        <f t="shared" si="0"/>
        <v>0</v>
      </c>
    </row>
    <row r="7" spans="1:9">
      <c r="A7" s="3464"/>
      <c r="B7" s="3465" t="s">
        <v>2484</v>
      </c>
      <c r="C7" s="3465"/>
      <c r="D7" s="2474"/>
      <c r="E7" s="2472"/>
      <c r="F7" s="2475"/>
      <c r="G7" s="2475"/>
      <c r="H7" s="2476"/>
      <c r="I7" s="2477">
        <f t="shared" si="0"/>
        <v>0</v>
      </c>
    </row>
    <row r="8" spans="1:9">
      <c r="A8" s="3464"/>
      <c r="B8" s="3465" t="s">
        <v>2485</v>
      </c>
      <c r="C8" s="3465"/>
      <c r="D8" s="2474"/>
      <c r="E8" s="2472"/>
      <c r="F8" s="2475"/>
      <c r="G8" s="2475"/>
      <c r="H8" s="2476"/>
      <c r="I8" s="2477">
        <f t="shared" si="0"/>
        <v>0</v>
      </c>
    </row>
    <row r="9" spans="1:9">
      <c r="A9" s="3464"/>
      <c r="B9" s="3465" t="s">
        <v>2486</v>
      </c>
      <c r="C9" s="3465"/>
      <c r="D9" s="2474"/>
      <c r="E9" s="2472"/>
      <c r="F9" s="2475"/>
      <c r="G9" s="2475"/>
      <c r="H9" s="2476"/>
      <c r="I9" s="2477">
        <f t="shared" si="0"/>
        <v>0</v>
      </c>
    </row>
    <row r="10" spans="1:9">
      <c r="A10" s="3464"/>
      <c r="B10" s="3466" t="s">
        <v>2487</v>
      </c>
      <c r="C10" s="3466"/>
      <c r="D10" s="2478">
        <v>527</v>
      </c>
      <c r="E10" s="2478" t="e">
        <f>ROUND(D1*10000/D10/H9,0)</f>
        <v>#DIV/0!</v>
      </c>
      <c r="F10" s="2479"/>
      <c r="G10" s="2479"/>
      <c r="H10" s="2480"/>
      <c r="I10" s="2481">
        <f>SUM(I3:I9)</f>
        <v>0</v>
      </c>
    </row>
    <row r="11" spans="1:9" ht="14.25">
      <c r="A11" s="3464" t="s">
        <v>2488</v>
      </c>
      <c r="B11" s="3465" t="s">
        <v>2489</v>
      </c>
      <c r="C11" s="3465"/>
      <c r="D11" s="2474" t="s">
        <v>2490</v>
      </c>
      <c r="E11" s="2474" t="s">
        <v>2491</v>
      </c>
      <c r="F11" s="2475" t="s">
        <v>2492</v>
      </c>
      <c r="G11" s="2475" t="s">
        <v>2493</v>
      </c>
      <c r="H11" s="2482" t="s">
        <v>2494</v>
      </c>
      <c r="I11" s="2473" t="s">
        <v>2495</v>
      </c>
    </row>
    <row r="12" spans="1:9">
      <c r="A12" s="3464"/>
      <c r="B12" s="3465" t="s">
        <v>2496</v>
      </c>
      <c r="C12" s="3465"/>
      <c r="D12" s="2474"/>
      <c r="E12" s="2474"/>
      <c r="F12" s="2475"/>
      <c r="G12" s="2476"/>
      <c r="H12" s="2483"/>
      <c r="I12" s="2473">
        <f>ROUND(D12*E12*F12*G12/10000,0)</f>
        <v>0</v>
      </c>
    </row>
    <row r="13" spans="1:9">
      <c r="A13" s="3464"/>
      <c r="B13" s="3465" t="s">
        <v>2497</v>
      </c>
      <c r="C13" s="3465"/>
      <c r="D13" s="2474"/>
      <c r="E13" s="2474"/>
      <c r="F13" s="2475"/>
      <c r="G13" s="2476"/>
      <c r="H13" s="2483"/>
      <c r="I13" s="2473">
        <f>ROUND(D13*E13*F13*G13/10000,0)</f>
        <v>0</v>
      </c>
    </row>
    <row r="14" spans="1:9">
      <c r="A14" s="3464"/>
      <c r="B14" s="3465" t="s">
        <v>2498</v>
      </c>
      <c r="C14" s="3465"/>
      <c r="D14" s="2474"/>
      <c r="E14" s="2474"/>
      <c r="F14" s="2475"/>
      <c r="G14" s="2476"/>
      <c r="H14" s="2483"/>
      <c r="I14" s="2473">
        <f>ROUND(D14*E14*F14*G14/10000,0)</f>
        <v>0</v>
      </c>
    </row>
    <row r="15" spans="1:9">
      <c r="A15" s="3464"/>
      <c r="B15" s="3466" t="s">
        <v>2487</v>
      </c>
      <c r="C15" s="3466"/>
      <c r="D15" s="2478"/>
      <c r="E15" s="2478">
        <f>SUM(E12:E14)</f>
        <v>0</v>
      </c>
      <c r="F15" s="2479"/>
      <c r="G15" s="2476"/>
      <c r="H15" s="2483"/>
      <c r="I15" s="2484">
        <f>SUM(I12:I14)</f>
        <v>0</v>
      </c>
    </row>
    <row r="16" spans="1:9" ht="24">
      <c r="A16" s="3464" t="s">
        <v>2499</v>
      </c>
      <c r="B16" s="3465" t="s">
        <v>2500</v>
      </c>
      <c r="C16" s="3465"/>
      <c r="D16" s="2474" t="s">
        <v>2501</v>
      </c>
      <c r="E16" s="2485" t="s">
        <v>2502</v>
      </c>
      <c r="F16" s="2475" t="s">
        <v>2503</v>
      </c>
      <c r="G16" s="2476" t="s">
        <v>2493</v>
      </c>
      <c r="H16" s="2482" t="s">
        <v>2494</v>
      </c>
      <c r="I16" s="2473" t="s">
        <v>2495</v>
      </c>
    </row>
    <row r="17" spans="1:9" ht="14.25">
      <c r="A17" s="3464"/>
      <c r="B17" s="3465" t="s">
        <v>2504</v>
      </c>
      <c r="C17" s="3465"/>
      <c r="D17" s="2474"/>
      <c r="E17" s="2474"/>
      <c r="F17" s="2475"/>
      <c r="G17" s="2476"/>
      <c r="H17" s="2486"/>
      <c r="I17" s="2487">
        <f>ROUND(D17*E17*F17*G17/10000,0)</f>
        <v>0</v>
      </c>
    </row>
    <row r="18" spans="1:9" ht="14.25">
      <c r="A18" s="3464"/>
      <c r="B18" s="3465" t="s">
        <v>2505</v>
      </c>
      <c r="C18" s="3465"/>
      <c r="D18" s="2474"/>
      <c r="E18" s="2474"/>
      <c r="F18" s="2475"/>
      <c r="G18" s="2476"/>
      <c r="H18" s="2486"/>
      <c r="I18" s="2487">
        <f>ROUND(D18*E18*F18*G18/10000,0)</f>
        <v>0</v>
      </c>
    </row>
    <row r="19" spans="1:9" ht="14.25">
      <c r="A19" s="3464"/>
      <c r="B19" s="3465" t="s">
        <v>2506</v>
      </c>
      <c r="C19" s="3465"/>
      <c r="D19" s="2474"/>
      <c r="E19" s="2474"/>
      <c r="F19" s="2475"/>
      <c r="G19" s="2476"/>
      <c r="H19" s="2486"/>
      <c r="I19" s="2487">
        <f>ROUND(D19*E19*F19*G19/10000,0)</f>
        <v>0</v>
      </c>
    </row>
    <row r="20" spans="1:9">
      <c r="A20" s="3464"/>
      <c r="B20" s="3466" t="s">
        <v>2487</v>
      </c>
      <c r="C20" s="3466"/>
      <c r="D20" s="2478">
        <f>SUM(D17:D19)</f>
        <v>0</v>
      </c>
      <c r="E20" s="2478"/>
      <c r="F20" s="2479"/>
      <c r="G20" s="2476"/>
      <c r="H20" s="2483"/>
      <c r="I20" s="2484">
        <f>SUM(I17:I19)</f>
        <v>0</v>
      </c>
    </row>
    <row r="21" spans="1:9">
      <c r="A21" s="3464" t="s">
        <v>2507</v>
      </c>
      <c r="B21" s="3467"/>
      <c r="C21" s="3467"/>
      <c r="D21" s="3467"/>
      <c r="E21" s="3467"/>
      <c r="F21" s="3467"/>
      <c r="G21" s="3467"/>
      <c r="H21" s="2488">
        <v>0.1</v>
      </c>
      <c r="I21" s="2481">
        <f>ROUND(I10*H21,0)</f>
        <v>0</v>
      </c>
    </row>
    <row r="22" spans="1:9" ht="14.25">
      <c r="A22" s="3468" t="s">
        <v>2508</v>
      </c>
      <c r="B22" s="3469"/>
      <c r="C22" s="3470"/>
      <c r="D22" s="2489" t="s">
        <v>2509</v>
      </c>
      <c r="E22" s="2489" t="s">
        <v>2510</v>
      </c>
      <c r="F22" s="2490" t="s">
        <v>2511</v>
      </c>
      <c r="G22" s="2490" t="s">
        <v>2512</v>
      </c>
      <c r="H22" s="2482" t="s">
        <v>2513</v>
      </c>
      <c r="I22" s="2473" t="s">
        <v>2514</v>
      </c>
    </row>
    <row r="23" spans="1:9" ht="14.25" thickBot="1">
      <c r="A23" s="3471"/>
      <c r="B23" s="3472"/>
      <c r="C23" s="3473"/>
      <c r="D23" s="2491"/>
      <c r="E23" s="2491"/>
      <c r="F23" s="2491"/>
      <c r="G23" s="2492"/>
      <c r="H23" s="2493"/>
      <c r="I23" s="2494">
        <f>ROUND(E23*D23*F23*(1-G23)/10000,0)</f>
        <v>0</v>
      </c>
    </row>
    <row r="26" spans="1:9">
      <c r="A26" s="2495" t="s">
        <v>2515</v>
      </c>
      <c r="B26" s="2495"/>
      <c r="C26" s="2495"/>
      <c r="D26" s="2495"/>
      <c r="E26" s="3461">
        <f>C27-C30-C31-C32</f>
        <v>0</v>
      </c>
      <c r="F26" s="3461"/>
      <c r="G26" s="3461"/>
      <c r="H26" s="2996" t="s">
        <v>2843</v>
      </c>
    </row>
    <row r="27" spans="1:9">
      <c r="A27" s="2496">
        <v>1</v>
      </c>
      <c r="B27" s="2497" t="s">
        <v>2516</v>
      </c>
      <c r="C27" s="2497"/>
      <c r="D27" s="2497"/>
      <c r="E27" s="3462"/>
      <c r="F27" s="3462"/>
      <c r="G27" s="3462"/>
    </row>
    <row r="28" spans="1:9">
      <c r="A28" s="2498" t="s">
        <v>2517</v>
      </c>
      <c r="B28" s="2497" t="s">
        <v>2518</v>
      </c>
      <c r="C28" s="2497"/>
      <c r="D28" s="2497"/>
      <c r="E28" s="3462"/>
      <c r="F28" s="3462"/>
      <c r="G28" s="346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3"/>
      <c r="F32" s="3463"/>
      <c r="G32" s="3463"/>
    </row>
    <row r="33" spans="1:7" hidden="1">
      <c r="A33" s="3458" t="s">
        <v>2526</v>
      </c>
      <c r="B33" s="3459"/>
      <c r="C33" s="3459"/>
      <c r="D33" s="3460"/>
      <c r="E33" s="3461"/>
      <c r="F33" s="3461"/>
      <c r="G33" s="3461"/>
    </row>
    <row r="34" spans="1:7" hidden="1">
      <c r="A34" s="2500">
        <v>1</v>
      </c>
      <c r="B34" s="2497" t="s">
        <v>2527</v>
      </c>
      <c r="C34" s="2497"/>
      <c r="D34" s="2497"/>
      <c r="E34" s="3462"/>
      <c r="F34" s="3462"/>
      <c r="G34" s="3462"/>
    </row>
    <row r="35" spans="1:7" hidden="1">
      <c r="A35" s="2500">
        <v>2</v>
      </c>
      <c r="B35" s="2497" t="s">
        <v>2528</v>
      </c>
      <c r="C35" s="2497"/>
      <c r="D35" s="2497"/>
      <c r="E35" s="3462"/>
      <c r="F35" s="3462"/>
      <c r="G35" s="3462"/>
    </row>
    <row r="36" spans="1:7" hidden="1">
      <c r="A36" s="2500">
        <v>3</v>
      </c>
      <c r="B36" s="2497" t="s">
        <v>2529</v>
      </c>
      <c r="C36" s="2497"/>
      <c r="D36" s="2497"/>
      <c r="E36" s="3462"/>
      <c r="F36" s="3462"/>
      <c r="G36" s="3462"/>
    </row>
    <row r="37" spans="1:7" hidden="1">
      <c r="A37" s="2500">
        <v>4</v>
      </c>
      <c r="B37" s="2497" t="s">
        <v>2530</v>
      </c>
      <c r="C37" s="2497"/>
      <c r="D37" s="2497"/>
      <c r="E37" s="3462"/>
      <c r="F37" s="3462"/>
      <c r="G37" s="3462"/>
    </row>
    <row r="38" spans="1:7" hidden="1">
      <c r="A38" s="3458" t="s">
        <v>2531</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28000</v>
      </c>
      <c r="E10" s="749">
        <f>'数据-取费表'!B31</f>
        <v>80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210</v>
      </c>
      <c r="D12" s="758">
        <f>'数据-汇总表'!E5</f>
        <v>28000</v>
      </c>
      <c r="E12" s="757">
        <f>'数据-取费表'!B27</f>
        <v>75</v>
      </c>
      <c r="F12" s="755"/>
      <c r="G12" s="759"/>
    </row>
    <row r="13" spans="1:25" s="2169" customFormat="1" ht="13.5" customHeight="1">
      <c r="A13" s="2441" t="s">
        <v>2447</v>
      </c>
      <c r="B13" s="756" t="s">
        <v>612</v>
      </c>
      <c r="C13" s="757">
        <f>ROUND(D13*E13/10000,0)</f>
        <v>0</v>
      </c>
      <c r="D13" s="758">
        <f>'数据-汇总表'!E6</f>
        <v>0</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0.92800000000000005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2" t="s">
        <v>522</v>
      </c>
      <c r="D4" s="3383"/>
      <c r="E4" s="3406" t="s">
        <v>523</v>
      </c>
      <c r="F4" s="3407"/>
      <c r="G4" s="3382" t="s">
        <v>524</v>
      </c>
      <c r="H4" s="3383"/>
      <c r="I4" s="3382" t="s">
        <v>525</v>
      </c>
      <c r="J4" s="3383"/>
      <c r="K4" s="853"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5" t="s">
        <v>524</v>
      </c>
      <c r="AC4" s="3365" t="s">
        <v>525</v>
      </c>
    </row>
    <row r="5" spans="1:29" ht="15">
      <c r="A5" s="515"/>
      <c r="B5" s="516"/>
      <c r="C5" s="3393" t="s">
        <v>2931</v>
      </c>
      <c r="D5" s="3394"/>
      <c r="E5" s="3408" t="s">
        <v>2932</v>
      </c>
      <c r="F5" s="3409"/>
      <c r="G5" s="3393" t="s">
        <v>2933</v>
      </c>
      <c r="H5" s="3394"/>
      <c r="I5" s="3393" t="s">
        <v>2934</v>
      </c>
      <c r="J5" s="3394"/>
      <c r="K5" s="85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2935</v>
      </c>
      <c r="D6" s="3392"/>
      <c r="E6" s="3410" t="s">
        <v>2935</v>
      </c>
      <c r="F6" s="3411"/>
      <c r="G6" s="3391" t="s">
        <v>2935</v>
      </c>
      <c r="H6" s="3392"/>
      <c r="I6" s="3391" t="s">
        <v>2935</v>
      </c>
      <c r="J6" s="3392"/>
      <c r="K6" s="85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8" t="s">
        <v>530</v>
      </c>
      <c r="Q7" s="3377"/>
      <c r="R7" s="1555" t="s">
        <v>13</v>
      </c>
      <c r="S7" s="1556">
        <f t="shared" ref="S7:S15" si="0">F7</f>
        <v>0</v>
      </c>
      <c r="T7" s="1555" t="s">
        <v>13</v>
      </c>
      <c r="U7" s="1556">
        <f t="shared" ref="U7:U15" si="1">H7</f>
        <v>0</v>
      </c>
      <c r="V7" s="1555" t="s">
        <v>13</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8" t="s">
        <v>533</v>
      </c>
      <c r="Q8" s="3369"/>
      <c r="R8" s="1555" t="s">
        <v>13</v>
      </c>
      <c r="S8" s="1556">
        <f t="shared" si="0"/>
        <v>0</v>
      </c>
      <c r="T8" s="1555" t="s">
        <v>13</v>
      </c>
      <c r="U8" s="1556">
        <f t="shared" si="1"/>
        <v>0</v>
      </c>
      <c r="V8" s="1555" t="s">
        <v>13</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6"/>
      <c r="Q11" s="1147" t="str">
        <f t="shared" si="6"/>
        <v>容积率</v>
      </c>
      <c r="R11" s="1555" t="s">
        <v>11</v>
      </c>
      <c r="S11" s="1556" t="e">
        <f t="shared" si="0"/>
        <v>#N/A</v>
      </c>
      <c r="T11" s="1555" t="s">
        <v>11</v>
      </c>
      <c r="U11" s="1556" t="e">
        <f t="shared" si="1"/>
        <v>#N/A</v>
      </c>
      <c r="V11" s="1555" t="s">
        <v>11</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6"/>
      <c r="Q12" s="1147">
        <f t="shared" si="6"/>
        <v>111</v>
      </c>
      <c r="R12" s="1555" t="s">
        <v>11</v>
      </c>
      <c r="S12" s="1556">
        <f t="shared" si="0"/>
        <v>100</v>
      </c>
      <c r="T12" s="1555" t="s">
        <v>11</v>
      </c>
      <c r="U12" s="1556">
        <f t="shared" si="1"/>
        <v>100</v>
      </c>
      <c r="V12" s="1555" t="s">
        <v>11</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6"/>
      <c r="Q13" s="1147">
        <f t="shared" si="6"/>
        <v>111</v>
      </c>
      <c r="R13" s="1555" t="s">
        <v>11</v>
      </c>
      <c r="S13" s="1556">
        <f t="shared" si="0"/>
        <v>100</v>
      </c>
      <c r="T13" s="1555" t="s">
        <v>11</v>
      </c>
      <c r="U13" s="1556">
        <f t="shared" si="1"/>
        <v>100</v>
      </c>
      <c r="V13" s="1555" t="s">
        <v>11</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6"/>
      <c r="Q14" s="1147">
        <f t="shared" si="6"/>
        <v>111</v>
      </c>
      <c r="R14" s="1555" t="s">
        <v>11</v>
      </c>
      <c r="S14" s="1556">
        <f t="shared" si="0"/>
        <v>100</v>
      </c>
      <c r="T14" s="1555" t="s">
        <v>11</v>
      </c>
      <c r="U14" s="1556">
        <f t="shared" si="1"/>
        <v>100</v>
      </c>
      <c r="V14" s="1555" t="s">
        <v>11</v>
      </c>
      <c r="W14" s="1556">
        <f t="shared" si="2"/>
        <v>100</v>
      </c>
      <c r="X14" s="1557"/>
      <c r="Y14" s="3333"/>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8" t="s">
        <v>540</v>
      </c>
      <c r="Q15" s="1559" t="str">
        <f t="shared" si="6"/>
        <v>居住社区成熟度</v>
      </c>
      <c r="R15" s="1560" t="s">
        <v>11</v>
      </c>
      <c r="S15" s="1561">
        <f t="shared" si="0"/>
        <v>100</v>
      </c>
      <c r="T15" s="1560" t="s">
        <v>11</v>
      </c>
      <c r="U15" s="1561">
        <f t="shared" si="1"/>
        <v>100</v>
      </c>
      <c r="V15" s="1560" t="s">
        <v>11</v>
      </c>
      <c r="W15" s="1561">
        <f t="shared" si="2"/>
        <v>100</v>
      </c>
      <c r="X15" s="1554"/>
      <c r="Y15" s="337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9"/>
      <c r="Q17" s="1559" t="str">
        <f>B17</f>
        <v>交通便捷度</v>
      </c>
      <c r="R17" s="1560" t="s">
        <v>11</v>
      </c>
      <c r="S17" s="1561">
        <f>F17</f>
        <v>100</v>
      </c>
      <c r="T17" s="1560" t="s">
        <v>11</v>
      </c>
      <c r="U17" s="1561">
        <f>H17</f>
        <v>100</v>
      </c>
      <c r="V17" s="1560" t="s">
        <v>11</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9"/>
      <c r="Q19" s="1559" t="str">
        <f>B19</f>
        <v>公共配套设施</v>
      </c>
      <c r="R19" s="1560" t="s">
        <v>11</v>
      </c>
      <c r="S19" s="1561">
        <f>F19</f>
        <v>100</v>
      </c>
      <c r="T19" s="1560" t="s">
        <v>11</v>
      </c>
      <c r="U19" s="1561">
        <f>H19</f>
        <v>100</v>
      </c>
      <c r="V19" s="1560" t="s">
        <v>11</v>
      </c>
      <c r="W19" s="1561">
        <f>J19</f>
        <v>100</v>
      </c>
      <c r="X19" s="1554"/>
      <c r="Y19" s="337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9"/>
      <c r="Q21" s="2544" t="str">
        <f>B21</f>
        <v>基础设施水平</v>
      </c>
      <c r="R21" s="1560" t="s">
        <v>11</v>
      </c>
      <c r="S21" s="1561">
        <f>F21</f>
        <v>100</v>
      </c>
      <c r="T21" s="1560" t="s">
        <v>11</v>
      </c>
      <c r="U21" s="1561">
        <f>H21</f>
        <v>100</v>
      </c>
      <c r="V21" s="1560" t="s">
        <v>11</v>
      </c>
      <c r="W21" s="1561">
        <f>J21</f>
        <v>100</v>
      </c>
      <c r="X21" s="2546"/>
      <c r="Y21" s="3379"/>
      <c r="Z21" s="2545" t="str">
        <f>Q21</f>
        <v>基础设施水平</v>
      </c>
      <c r="AA21" s="1563">
        <f>D21/F21</f>
        <v>1</v>
      </c>
      <c r="AB21" s="1563">
        <f>D21/H21</f>
        <v>1</v>
      </c>
      <c r="AC21" s="1563">
        <f>D21/J21</f>
        <v>1</v>
      </c>
    </row>
    <row r="22" spans="1:29" ht="15">
      <c r="A22" s="532"/>
      <c r="B22" s="922"/>
      <c r="C22" s="873"/>
      <c r="D22" s="555"/>
      <c r="E22" s="576"/>
      <c r="F22" s="557"/>
      <c r="G22" s="576"/>
      <c r="H22" s="555"/>
      <c r="I22" s="576"/>
      <c r="J22" s="555"/>
      <c r="K22" s="2564"/>
      <c r="L22" s="2128"/>
      <c r="M22" s="2120"/>
      <c r="N22" s="2120"/>
      <c r="O22" s="2127"/>
      <c r="P22" s="3379"/>
      <c r="Q22" s="2544"/>
      <c r="R22" s="1560"/>
      <c r="S22" s="1561"/>
      <c r="T22" s="1560"/>
      <c r="U22" s="1561"/>
      <c r="V22" s="1560"/>
      <c r="W22" s="1561"/>
      <c r="X22" s="2546"/>
      <c r="Y22" s="337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9"/>
      <c r="Q23" s="1559" t="str">
        <f>B23</f>
        <v>自然及人文环境</v>
      </c>
      <c r="R23" s="1560" t="s">
        <v>11</v>
      </c>
      <c r="S23" s="1561">
        <f>F23</f>
        <v>100</v>
      </c>
      <c r="T23" s="1560" t="s">
        <v>11</v>
      </c>
      <c r="U23" s="1561">
        <f>H23</f>
        <v>100</v>
      </c>
      <c r="V23" s="1560" t="s">
        <v>11</v>
      </c>
      <c r="W23" s="1561">
        <f>J23</f>
        <v>100</v>
      </c>
      <c r="X23" s="1554"/>
      <c r="Y23" s="337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9"/>
      <c r="Q25" s="1559" t="str">
        <f t="shared" ref="Q25:Q46" si="8">B25</f>
        <v>楼层-1</v>
      </c>
      <c r="R25" s="1560" t="s">
        <v>11</v>
      </c>
      <c r="S25" s="1561">
        <f>F25</f>
        <v>100</v>
      </c>
      <c r="T25" s="1560" t="s">
        <v>11</v>
      </c>
      <c r="U25" s="1561">
        <f>H25</f>
        <v>100</v>
      </c>
      <c r="V25" s="1560" t="s">
        <v>11</v>
      </c>
      <c r="W25" s="1561">
        <f>J25</f>
        <v>100</v>
      </c>
      <c r="X25" s="1554"/>
      <c r="Y25" s="337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9"/>
      <c r="Q26" s="1559" t="str">
        <f t="shared" si="8"/>
        <v>朝向</v>
      </c>
      <c r="R26" s="1560" t="s">
        <v>11</v>
      </c>
      <c r="S26" s="1561">
        <f>F26</f>
        <v>100</v>
      </c>
      <c r="T26" s="1560" t="s">
        <v>11</v>
      </c>
      <c r="U26" s="1561">
        <f>H26</f>
        <v>100</v>
      </c>
      <c r="V26" s="1560" t="s">
        <v>11</v>
      </c>
      <c r="W26" s="1561">
        <f>J26</f>
        <v>100</v>
      </c>
      <c r="X26" s="1554"/>
      <c r="Y26" s="337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9"/>
      <c r="Q27" s="1147" t="str">
        <f t="shared" si="8"/>
        <v>道路级别</v>
      </c>
      <c r="R27" s="1555" t="s">
        <v>11</v>
      </c>
      <c r="S27" s="1556">
        <f>F27</f>
        <v>100</v>
      </c>
      <c r="T27" s="1555" t="s">
        <v>11</v>
      </c>
      <c r="U27" s="1556">
        <f>H27</f>
        <v>100</v>
      </c>
      <c r="V27" s="1555" t="s">
        <v>11</v>
      </c>
      <c r="W27" s="1556">
        <f>J27</f>
        <v>100</v>
      </c>
      <c r="X27" s="1557"/>
      <c r="Y27" s="337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9"/>
      <c r="Q28" s="1559">
        <f t="shared" si="8"/>
        <v>111</v>
      </c>
      <c r="R28" s="1560" t="s">
        <v>11</v>
      </c>
      <c r="S28" s="1561">
        <f t="shared" ref="S28:S46" si="9">F28</f>
        <v>100</v>
      </c>
      <c r="T28" s="1560" t="s">
        <v>11</v>
      </c>
      <c r="U28" s="1561">
        <f t="shared" ref="U28:U46" si="10">H28</f>
        <v>100</v>
      </c>
      <c r="V28" s="1560" t="s">
        <v>11</v>
      </c>
      <c r="W28" s="1561">
        <f t="shared" ref="W28:W46" si="11">J28</f>
        <v>100</v>
      </c>
      <c r="X28" s="1554"/>
      <c r="Y28" s="3379"/>
      <c r="Z28" s="1562">
        <f t="shared" ref="Z28:Z46" si="12">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9"/>
      <c r="Q29" s="1559">
        <f t="shared" si="8"/>
        <v>111</v>
      </c>
      <c r="R29" s="1560" t="s">
        <v>11</v>
      </c>
      <c r="S29" s="1561">
        <f t="shared" si="9"/>
        <v>100</v>
      </c>
      <c r="T29" s="1560" t="s">
        <v>11</v>
      </c>
      <c r="U29" s="1561">
        <f t="shared" si="10"/>
        <v>100</v>
      </c>
      <c r="V29" s="1560" t="s">
        <v>11</v>
      </c>
      <c r="W29" s="1561">
        <f t="shared" si="11"/>
        <v>100</v>
      </c>
      <c r="X29" s="1554"/>
      <c r="Y29" s="3379"/>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9"/>
      <c r="Q30" s="1559">
        <f t="shared" si="8"/>
        <v>111</v>
      </c>
      <c r="R30" s="1560" t="s">
        <v>11</v>
      </c>
      <c r="S30" s="1561">
        <f t="shared" si="9"/>
        <v>100</v>
      </c>
      <c r="T30" s="1560" t="s">
        <v>11</v>
      </c>
      <c r="U30" s="1561">
        <f t="shared" si="10"/>
        <v>100</v>
      </c>
      <c r="V30" s="1560" t="s">
        <v>11</v>
      </c>
      <c r="W30" s="1561">
        <f t="shared" si="11"/>
        <v>100</v>
      </c>
      <c r="X30" s="1554"/>
      <c r="Y30" s="3379"/>
      <c r="Z30" s="1562">
        <f t="shared" si="12"/>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9"/>
      <c r="Q31" s="1559">
        <f t="shared" si="8"/>
        <v>111</v>
      </c>
      <c r="R31" s="1560" t="s">
        <v>11</v>
      </c>
      <c r="S31" s="1561">
        <f t="shared" si="9"/>
        <v>100</v>
      </c>
      <c r="T31" s="1560" t="s">
        <v>11</v>
      </c>
      <c r="U31" s="1561">
        <f t="shared" si="10"/>
        <v>100</v>
      </c>
      <c r="V31" s="1560" t="s">
        <v>11</v>
      </c>
      <c r="W31" s="1561">
        <f t="shared" si="11"/>
        <v>100</v>
      </c>
      <c r="X31" s="1554"/>
      <c r="Y31" s="3379"/>
      <c r="Z31" s="1562">
        <f t="shared" si="12"/>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0" t="s">
        <v>550</v>
      </c>
      <c r="Q32" s="1559" t="str">
        <f t="shared" si="8"/>
        <v>建筑类型</v>
      </c>
      <c r="R32" s="1560" t="s">
        <v>11</v>
      </c>
      <c r="S32" s="1561">
        <f t="shared" si="9"/>
        <v>100</v>
      </c>
      <c r="T32" s="1560" t="s">
        <v>11</v>
      </c>
      <c r="U32" s="1561">
        <f t="shared" si="10"/>
        <v>100</v>
      </c>
      <c r="V32" s="1560" t="s">
        <v>11</v>
      </c>
      <c r="W32" s="1561">
        <f t="shared" si="11"/>
        <v>100</v>
      </c>
      <c r="X32" s="1554"/>
      <c r="Y32" s="3381" t="s">
        <v>550</v>
      </c>
      <c r="Z32" s="1562" t="str">
        <f t="shared" si="12"/>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1"/>
      <c r="Q33" s="1591" t="str">
        <f t="shared" si="8"/>
        <v>项目建筑规模</v>
      </c>
      <c r="R33" s="1564" t="s">
        <v>11</v>
      </c>
      <c r="S33" s="1565" t="e">
        <f t="shared" si="9"/>
        <v>#N/A</v>
      </c>
      <c r="T33" s="1564" t="s">
        <v>11</v>
      </c>
      <c r="U33" s="1565" t="e">
        <f t="shared" si="10"/>
        <v>#N/A</v>
      </c>
      <c r="V33" s="1564" t="s">
        <v>11</v>
      </c>
      <c r="W33" s="1565" t="e">
        <f t="shared" si="11"/>
        <v>#N/A</v>
      </c>
      <c r="X33" s="1566"/>
      <c r="Y33" s="3381"/>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1"/>
      <c r="Q34" s="1559" t="str">
        <f t="shared" si="8"/>
        <v>建筑结构</v>
      </c>
      <c r="R34" s="1560" t="s">
        <v>11</v>
      </c>
      <c r="S34" s="1561">
        <f t="shared" si="9"/>
        <v>100</v>
      </c>
      <c r="T34" s="1560" t="s">
        <v>11</v>
      </c>
      <c r="U34" s="1561">
        <f t="shared" si="10"/>
        <v>100</v>
      </c>
      <c r="V34" s="1560" t="s">
        <v>11</v>
      </c>
      <c r="W34" s="1561">
        <f t="shared" si="11"/>
        <v>100</v>
      </c>
      <c r="X34" s="1554"/>
      <c r="Y34" s="3381"/>
      <c r="Z34" s="1562" t="str">
        <f t="shared" si="12"/>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1"/>
      <c r="Q35" s="1559" t="str">
        <f t="shared" si="8"/>
        <v>建筑品质</v>
      </c>
      <c r="R35" s="1560" t="s">
        <v>11</v>
      </c>
      <c r="S35" s="1561">
        <f t="shared" si="9"/>
        <v>100</v>
      </c>
      <c r="T35" s="1560" t="s">
        <v>11</v>
      </c>
      <c r="U35" s="1561">
        <f t="shared" si="10"/>
        <v>100</v>
      </c>
      <c r="V35" s="1560" t="s">
        <v>11</v>
      </c>
      <c r="W35" s="1561">
        <f t="shared" si="11"/>
        <v>100</v>
      </c>
      <c r="X35" s="1554"/>
      <c r="Y35" s="3381"/>
      <c r="Z35" s="1562" t="str">
        <f t="shared" si="12"/>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1"/>
      <c r="Q36" s="1559" t="str">
        <f t="shared" si="8"/>
        <v>公共部分装修</v>
      </c>
      <c r="R36" s="1560" t="s">
        <v>11</v>
      </c>
      <c r="S36" s="1561">
        <f t="shared" si="9"/>
        <v>100</v>
      </c>
      <c r="T36" s="1560" t="s">
        <v>11</v>
      </c>
      <c r="U36" s="1561">
        <f t="shared" si="10"/>
        <v>100</v>
      </c>
      <c r="V36" s="1560" t="s">
        <v>11</v>
      </c>
      <c r="W36" s="1561">
        <f t="shared" si="11"/>
        <v>100</v>
      </c>
      <c r="X36" s="1554"/>
      <c r="Y36" s="3381"/>
      <c r="Z36" s="1562" t="str">
        <f t="shared" si="12"/>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1"/>
      <c r="Q37" s="1147" t="str">
        <f t="shared" si="8"/>
        <v>成新度</v>
      </c>
      <c r="R37" s="1555" t="s">
        <v>11</v>
      </c>
      <c r="S37" s="1556" t="e">
        <f t="shared" si="9"/>
        <v>#N/A</v>
      </c>
      <c r="T37" s="1555" t="s">
        <v>11</v>
      </c>
      <c r="U37" s="1556" t="e">
        <f t="shared" si="10"/>
        <v>#N/A</v>
      </c>
      <c r="V37" s="1555" t="s">
        <v>11</v>
      </c>
      <c r="W37" s="1556" t="e">
        <f t="shared" si="11"/>
        <v>#N/A</v>
      </c>
      <c r="X37" s="1557"/>
      <c r="Y37" s="3381"/>
      <c r="Z37" s="1146" t="str">
        <f t="shared" si="12"/>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1" t="s">
        <v>550</v>
      </c>
      <c r="Q38" s="1559" t="str">
        <f t="shared" si="8"/>
        <v>物业管理</v>
      </c>
      <c r="R38" s="1560" t="s">
        <v>11</v>
      </c>
      <c r="S38" s="1561">
        <f t="shared" si="9"/>
        <v>100</v>
      </c>
      <c r="T38" s="1560" t="s">
        <v>11</v>
      </c>
      <c r="U38" s="1561">
        <f t="shared" si="10"/>
        <v>100</v>
      </c>
      <c r="V38" s="1560" t="s">
        <v>11</v>
      </c>
      <c r="W38" s="1561">
        <f t="shared" si="11"/>
        <v>100</v>
      </c>
      <c r="X38" s="1554"/>
      <c r="Y38" s="3381" t="s">
        <v>550</v>
      </c>
      <c r="Z38" s="1562" t="str">
        <f t="shared" si="12"/>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1"/>
      <c r="Q39" s="1559" t="str">
        <f t="shared" si="8"/>
        <v>市政基础设施</v>
      </c>
      <c r="R39" s="1560" t="s">
        <v>11</v>
      </c>
      <c r="S39" s="1561">
        <f t="shared" si="9"/>
        <v>100</v>
      </c>
      <c r="T39" s="1560" t="s">
        <v>11</v>
      </c>
      <c r="U39" s="1561">
        <f t="shared" si="10"/>
        <v>100</v>
      </c>
      <c r="V39" s="1560" t="s">
        <v>11</v>
      </c>
      <c r="W39" s="1561">
        <f t="shared" si="11"/>
        <v>100</v>
      </c>
      <c r="X39" s="1554"/>
      <c r="Y39" s="3381"/>
      <c r="Z39" s="1562" t="str">
        <f t="shared" si="12"/>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1"/>
      <c r="Q40" s="1559" t="str">
        <f t="shared" si="8"/>
        <v>房型</v>
      </c>
      <c r="R40" s="1560" t="s">
        <v>11</v>
      </c>
      <c r="S40" s="1561">
        <f t="shared" si="9"/>
        <v>100</v>
      </c>
      <c r="T40" s="1560" t="s">
        <v>11</v>
      </c>
      <c r="U40" s="1561">
        <f t="shared" si="10"/>
        <v>100</v>
      </c>
      <c r="V40" s="1560" t="s">
        <v>11</v>
      </c>
      <c r="W40" s="1561">
        <f t="shared" si="11"/>
        <v>100</v>
      </c>
      <c r="X40" s="1554"/>
      <c r="Y40" s="3381"/>
      <c r="Z40" s="1562" t="str">
        <f t="shared" si="12"/>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1"/>
      <c r="Q41" s="1591" t="str">
        <f t="shared" si="8"/>
        <v>单套/主力户型建筑面积</v>
      </c>
      <c r="R41" s="1564" t="s">
        <v>11</v>
      </c>
      <c r="S41" s="1565">
        <f t="shared" si="9"/>
        <v>100</v>
      </c>
      <c r="T41" s="1564" t="s">
        <v>11</v>
      </c>
      <c r="U41" s="1565">
        <f t="shared" si="10"/>
        <v>100</v>
      </c>
      <c r="V41" s="1564" t="s">
        <v>11</v>
      </c>
      <c r="W41" s="1565">
        <f t="shared" si="11"/>
        <v>100</v>
      </c>
      <c r="X41" s="1566"/>
      <c r="Y41" s="3381"/>
      <c r="Z41" s="1567" t="str">
        <f t="shared" si="12"/>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1"/>
      <c r="Q42" s="1559" t="str">
        <f t="shared" si="8"/>
        <v>内部装修</v>
      </c>
      <c r="R42" s="1560" t="s">
        <v>11</v>
      </c>
      <c r="S42" s="1561">
        <f t="shared" si="9"/>
        <v>100</v>
      </c>
      <c r="T42" s="1560" t="s">
        <v>11</v>
      </c>
      <c r="U42" s="1561">
        <f t="shared" si="10"/>
        <v>100</v>
      </c>
      <c r="V42" s="1560" t="s">
        <v>11</v>
      </c>
      <c r="W42" s="1561">
        <f t="shared" si="11"/>
        <v>100</v>
      </c>
      <c r="X42" s="1554"/>
      <c r="Y42" s="3381"/>
      <c r="Z42" s="1562" t="str">
        <f t="shared" si="12"/>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1"/>
      <c r="Q43" s="1559" t="str">
        <f t="shared" si="8"/>
        <v>内部装修维护情况</v>
      </c>
      <c r="R43" s="1560" t="s">
        <v>11</v>
      </c>
      <c r="S43" s="1561">
        <f t="shared" si="9"/>
        <v>100</v>
      </c>
      <c r="T43" s="1560" t="s">
        <v>11</v>
      </c>
      <c r="U43" s="1561">
        <f t="shared" si="10"/>
        <v>100</v>
      </c>
      <c r="V43" s="1560" t="s">
        <v>11</v>
      </c>
      <c r="W43" s="1561">
        <f t="shared" si="11"/>
        <v>100</v>
      </c>
      <c r="X43" s="1554"/>
      <c r="Y43" s="3381"/>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1"/>
      <c r="Q44" s="1147">
        <f t="shared" si="8"/>
        <v>111</v>
      </c>
      <c r="R44" s="1555" t="s">
        <v>11</v>
      </c>
      <c r="S44" s="1556">
        <f t="shared" si="9"/>
        <v>100</v>
      </c>
      <c r="T44" s="1555" t="s">
        <v>11</v>
      </c>
      <c r="U44" s="1556">
        <f t="shared" si="10"/>
        <v>100</v>
      </c>
      <c r="V44" s="1555" t="s">
        <v>11</v>
      </c>
      <c r="W44" s="1556">
        <f t="shared" si="11"/>
        <v>100</v>
      </c>
      <c r="X44" s="1557"/>
      <c r="Y44" s="3381"/>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1"/>
      <c r="Q45" s="1559">
        <f t="shared" si="8"/>
        <v>111</v>
      </c>
      <c r="R45" s="1560" t="s">
        <v>11</v>
      </c>
      <c r="S45" s="1561">
        <f t="shared" si="9"/>
        <v>100</v>
      </c>
      <c r="T45" s="1560" t="s">
        <v>11</v>
      </c>
      <c r="U45" s="1561">
        <f t="shared" si="10"/>
        <v>100</v>
      </c>
      <c r="V45" s="1560" t="s">
        <v>11</v>
      </c>
      <c r="W45" s="1561">
        <f t="shared" si="11"/>
        <v>100</v>
      </c>
      <c r="X45" s="1554"/>
      <c r="Y45" s="3381"/>
      <c r="Z45" s="1562">
        <f t="shared" si="12"/>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8"/>
        <v>111</v>
      </c>
      <c r="R46" s="1560" t="s">
        <v>10</v>
      </c>
      <c r="S46" s="1561">
        <f t="shared" si="9"/>
        <v>100</v>
      </c>
      <c r="T46" s="1560" t="s">
        <v>10</v>
      </c>
      <c r="U46" s="1561">
        <f t="shared" si="10"/>
        <v>100</v>
      </c>
      <c r="V46" s="1560" t="s">
        <v>10</v>
      </c>
      <c r="W46" s="1561">
        <f t="shared" si="11"/>
        <v>100</v>
      </c>
      <c r="X46" s="1554"/>
      <c r="Y46" s="3481"/>
      <c r="Z46" s="1562">
        <f t="shared" si="12"/>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6" t="str">
        <f>A47</f>
        <v>成交单价（元/平方米）</v>
      </c>
      <c r="Q47" s="3376"/>
      <c r="R47" s="3480">
        <f>E47</f>
        <v>0</v>
      </c>
      <c r="S47" s="3480"/>
      <c r="T47" s="3480">
        <f>G47</f>
        <v>0</v>
      </c>
      <c r="U47" s="3480"/>
      <c r="V47" s="3480">
        <f>I47</f>
        <v>0</v>
      </c>
      <c r="W47" s="348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3">EDATE(D58,-1)</f>
        <v>43617</v>
      </c>
      <c r="F58" s="2760">
        <f t="shared" si="13"/>
        <v>43586</v>
      </c>
      <c r="G58" s="2760">
        <f t="shared" si="13"/>
        <v>43556</v>
      </c>
      <c r="H58" s="2760">
        <f t="shared" si="13"/>
        <v>43525</v>
      </c>
      <c r="I58" s="2760">
        <f t="shared" si="13"/>
        <v>43497</v>
      </c>
      <c r="J58" s="2760">
        <f t="shared" si="13"/>
        <v>43466</v>
      </c>
      <c r="K58" s="2760">
        <f t="shared" si="13"/>
        <v>43435</v>
      </c>
      <c r="L58" s="2760">
        <f t="shared" si="13"/>
        <v>43405</v>
      </c>
      <c r="M58" s="2760">
        <f t="shared" si="13"/>
        <v>43374</v>
      </c>
      <c r="N58" s="2760">
        <f t="shared" si="13"/>
        <v>43344</v>
      </c>
      <c r="O58" s="2760">
        <f t="shared" si="13"/>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90" t="s">
        <v>524</v>
      </c>
      <c r="AC4" s="3365" t="s">
        <v>525</v>
      </c>
    </row>
    <row r="5" spans="1:29" ht="15">
      <c r="A5" s="515"/>
      <c r="B5" s="516"/>
      <c r="C5" s="3393" t="s">
        <v>2931</v>
      </c>
      <c r="D5" s="3394"/>
      <c r="E5" s="3408" t="s">
        <v>2932</v>
      </c>
      <c r="F5" s="3409"/>
      <c r="G5" s="3393" t="s">
        <v>2933</v>
      </c>
      <c r="H5" s="3394"/>
      <c r="I5" s="3393" t="s">
        <v>2934</v>
      </c>
      <c r="J5" s="3394"/>
      <c r="K5" s="514"/>
      <c r="L5" s="2119"/>
      <c r="M5" s="2120"/>
      <c r="N5" s="2120"/>
      <c r="O5" s="2120"/>
      <c r="P5" s="3386"/>
      <c r="Q5" s="3387"/>
      <c r="R5" s="3372"/>
      <c r="S5" s="3373"/>
      <c r="T5" s="3372"/>
      <c r="U5" s="3373"/>
      <c r="V5" s="3390"/>
      <c r="W5" s="3390"/>
      <c r="X5" s="1554"/>
      <c r="Y5" s="3372"/>
      <c r="Z5" s="3373"/>
      <c r="AA5" s="3366"/>
      <c r="AB5" s="3390"/>
      <c r="AC5" s="3366"/>
    </row>
    <row r="6" spans="1:29" ht="15.75" thickBot="1">
      <c r="A6" s="517"/>
      <c r="B6" s="518"/>
      <c r="C6" s="3391" t="s">
        <v>2935</v>
      </c>
      <c r="D6" s="3392"/>
      <c r="E6" s="3410" t="s">
        <v>2935</v>
      </c>
      <c r="F6" s="3411"/>
      <c r="G6" s="3391" t="s">
        <v>2935</v>
      </c>
      <c r="H6" s="3392"/>
      <c r="I6" s="3391" t="s">
        <v>2935</v>
      </c>
      <c r="J6" s="3392"/>
      <c r="K6" s="514" t="s">
        <v>528</v>
      </c>
      <c r="L6" s="2119"/>
      <c r="M6" s="2120"/>
      <c r="N6" s="2120"/>
      <c r="O6" s="2120"/>
      <c r="P6" s="3388"/>
      <c r="Q6" s="3389"/>
      <c r="R6" s="3372"/>
      <c r="S6" s="3373"/>
      <c r="T6" s="3374"/>
      <c r="U6" s="3375"/>
      <c r="V6" s="3390"/>
      <c r="W6" s="3390"/>
      <c r="X6" s="1554"/>
      <c r="Y6" s="3374"/>
      <c r="Z6" s="3375"/>
      <c r="AA6" s="3367"/>
      <c r="AB6" s="3390"/>
      <c r="AC6" s="3367"/>
    </row>
    <row r="7" spans="1:29" s="1216" customFormat="1" ht="15.75" thickBot="1">
      <c r="A7" s="2868"/>
      <c r="B7" s="2875" t="s">
        <v>529</v>
      </c>
      <c r="C7" s="519">
        <f>'数据-取费表'!B2</f>
        <v>43699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8" t="s">
        <v>540</v>
      </c>
      <c r="Q15" s="1559" t="str">
        <f t="shared" si="6"/>
        <v>商业繁华度</v>
      </c>
      <c r="R15" s="1560" t="s">
        <v>8</v>
      </c>
      <c r="S15" s="1561">
        <f t="shared" si="0"/>
        <v>100</v>
      </c>
      <c r="T15" s="1560" t="s">
        <v>8</v>
      </c>
      <c r="U15" s="1561">
        <f t="shared" si="1"/>
        <v>100</v>
      </c>
      <c r="V15" s="1560" t="s">
        <v>8</v>
      </c>
      <c r="W15" s="1561">
        <f t="shared" si="2"/>
        <v>100</v>
      </c>
      <c r="X15" s="1554"/>
      <c r="Y15" s="337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D21/F21</f>
        <v>1</v>
      </c>
      <c r="AB21" s="1563">
        <f>D21/H21</f>
        <v>1</v>
      </c>
      <c r="AC21" s="1563">
        <f>D21/J21</f>
        <v>1</v>
      </c>
    </row>
    <row r="22" spans="1:29" ht="15">
      <c r="A22" s="532"/>
      <c r="B22" s="922"/>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9"/>
      <c r="Q23" s="1559" t="str">
        <f>B23</f>
        <v>自然及人文环境</v>
      </c>
      <c r="R23" s="1560" t="s">
        <v>8</v>
      </c>
      <c r="S23" s="1561">
        <f>F23</f>
        <v>100</v>
      </c>
      <c r="T23" s="1560" t="s">
        <v>8</v>
      </c>
      <c r="U23" s="1561">
        <f>H23</f>
        <v>100</v>
      </c>
      <c r="V23" s="1560" t="s">
        <v>8</v>
      </c>
      <c r="W23" s="1561">
        <f>J23</f>
        <v>100</v>
      </c>
      <c r="X23" s="1554"/>
      <c r="Y23" s="337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9"/>
      <c r="Q25" s="1559" t="str">
        <f t="shared" ref="Q25:Q46" si="8">B25</f>
        <v>临街状况</v>
      </c>
      <c r="R25" s="1560" t="s">
        <v>8</v>
      </c>
      <c r="S25" s="1561">
        <f>F25</f>
        <v>100</v>
      </c>
      <c r="T25" s="1560" t="s">
        <v>8</v>
      </c>
      <c r="U25" s="1561">
        <f>H25</f>
        <v>100</v>
      </c>
      <c r="V25" s="1560" t="s">
        <v>8</v>
      </c>
      <c r="W25" s="1561">
        <f>J25</f>
        <v>100</v>
      </c>
      <c r="X25" s="1554"/>
      <c r="Y25" s="337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9"/>
      <c r="Q26" s="1559" t="str">
        <f t="shared" si="8"/>
        <v>平面位置/可视性</v>
      </c>
      <c r="R26" s="1560" t="s">
        <v>8</v>
      </c>
      <c r="S26" s="1561">
        <f>F26</f>
        <v>100</v>
      </c>
      <c r="T26" s="1560" t="s">
        <v>8</v>
      </c>
      <c r="U26" s="1561">
        <f>H26</f>
        <v>100</v>
      </c>
      <c r="V26" s="1560" t="s">
        <v>8</v>
      </c>
      <c r="W26" s="1561">
        <f>J26</f>
        <v>100</v>
      </c>
      <c r="X26" s="1554"/>
      <c r="Y26" s="337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9"/>
      <c r="Q27" s="1147" t="str">
        <f t="shared" si="8"/>
        <v>人流量</v>
      </c>
      <c r="R27" s="1555" t="s">
        <v>8</v>
      </c>
      <c r="S27" s="1556">
        <f>F27</f>
        <v>100</v>
      </c>
      <c r="T27" s="1555" t="s">
        <v>8</v>
      </c>
      <c r="U27" s="1556">
        <f>H27</f>
        <v>100</v>
      </c>
      <c r="V27" s="1555" t="s">
        <v>8</v>
      </c>
      <c r="W27" s="1556">
        <f>J27</f>
        <v>100</v>
      </c>
      <c r="X27" s="1557"/>
      <c r="Y27" s="337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9"/>
      <c r="Q28" s="1559" t="str">
        <f t="shared" si="8"/>
        <v>楼层</v>
      </c>
      <c r="R28" s="1560" t="s">
        <v>8</v>
      </c>
      <c r="S28" s="1561">
        <f t="shared" ref="S28:S46" si="9">F28</f>
        <v>100</v>
      </c>
      <c r="T28" s="1560" t="s">
        <v>8</v>
      </c>
      <c r="U28" s="1561">
        <f t="shared" ref="U28:U46" si="10">H28</f>
        <v>100</v>
      </c>
      <c r="V28" s="1560" t="s">
        <v>8</v>
      </c>
      <c r="W28" s="1561">
        <f t="shared" ref="W28:W46" si="11">J28</f>
        <v>100</v>
      </c>
      <c r="X28" s="1554"/>
      <c r="Y28" s="3379"/>
      <c r="Z28" s="1562" t="str">
        <f t="shared" ref="Z28:Z46" si="12">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9"/>
      <c r="Q29" s="1559">
        <f t="shared" si="8"/>
        <v>111</v>
      </c>
      <c r="R29" s="1560" t="s">
        <v>8</v>
      </c>
      <c r="S29" s="1561">
        <f t="shared" si="9"/>
        <v>100</v>
      </c>
      <c r="T29" s="1560" t="s">
        <v>8</v>
      </c>
      <c r="U29" s="1561">
        <f t="shared" si="10"/>
        <v>100</v>
      </c>
      <c r="V29" s="1560" t="s">
        <v>8</v>
      </c>
      <c r="W29" s="1561">
        <f t="shared" si="11"/>
        <v>100</v>
      </c>
      <c r="X29" s="1554"/>
      <c r="Y29" s="3379"/>
      <c r="Z29" s="1562">
        <f t="shared" si="12"/>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9"/>
      <c r="Q30" s="1559">
        <f t="shared" si="8"/>
        <v>111</v>
      </c>
      <c r="R30" s="1560" t="s">
        <v>8</v>
      </c>
      <c r="S30" s="1561">
        <f t="shared" si="9"/>
        <v>100</v>
      </c>
      <c r="T30" s="1560" t="s">
        <v>8</v>
      </c>
      <c r="U30" s="1561">
        <f t="shared" si="10"/>
        <v>100</v>
      </c>
      <c r="V30" s="1560" t="s">
        <v>8</v>
      </c>
      <c r="W30" s="1561">
        <f t="shared" si="11"/>
        <v>100</v>
      </c>
      <c r="X30" s="1554"/>
      <c r="Y30" s="3379"/>
      <c r="Z30" s="1562">
        <f t="shared" si="12"/>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9"/>
      <c r="Q31" s="1559">
        <f t="shared" si="8"/>
        <v>111</v>
      </c>
      <c r="R31" s="1560" t="s">
        <v>8</v>
      </c>
      <c r="S31" s="1561">
        <f t="shared" si="9"/>
        <v>100</v>
      </c>
      <c r="T31" s="1560" t="s">
        <v>8</v>
      </c>
      <c r="U31" s="1561">
        <f t="shared" si="10"/>
        <v>100</v>
      </c>
      <c r="V31" s="1560" t="s">
        <v>8</v>
      </c>
      <c r="W31" s="1561">
        <f t="shared" si="11"/>
        <v>100</v>
      </c>
      <c r="X31" s="1554"/>
      <c r="Y31" s="3379"/>
      <c r="Z31" s="1562">
        <f t="shared" si="12"/>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0" t="s">
        <v>550</v>
      </c>
      <c r="Q32" s="1559" t="str">
        <f t="shared" si="8"/>
        <v>商业类型</v>
      </c>
      <c r="R32" s="1560" t="s">
        <v>8</v>
      </c>
      <c r="S32" s="1561">
        <f t="shared" si="9"/>
        <v>100</v>
      </c>
      <c r="T32" s="1560" t="s">
        <v>8</v>
      </c>
      <c r="U32" s="1561">
        <f t="shared" si="10"/>
        <v>100</v>
      </c>
      <c r="V32" s="1560" t="s">
        <v>8</v>
      </c>
      <c r="W32" s="1561">
        <f t="shared" si="11"/>
        <v>100</v>
      </c>
      <c r="X32" s="1554"/>
      <c r="Y32" s="3381" t="s">
        <v>550</v>
      </c>
      <c r="Z32" s="1562" t="str">
        <f t="shared" si="12"/>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1"/>
      <c r="Q33" s="1591" t="str">
        <f t="shared" si="8"/>
        <v>项目建筑规模</v>
      </c>
      <c r="R33" s="1564" t="s">
        <v>8</v>
      </c>
      <c r="S33" s="1565" t="e">
        <f t="shared" si="9"/>
        <v>#N/A</v>
      </c>
      <c r="T33" s="1564" t="s">
        <v>8</v>
      </c>
      <c r="U33" s="1565" t="e">
        <f t="shared" si="10"/>
        <v>#N/A</v>
      </c>
      <c r="V33" s="1564" t="s">
        <v>8</v>
      </c>
      <c r="W33" s="1565" t="e">
        <f t="shared" si="11"/>
        <v>#N/A</v>
      </c>
      <c r="X33" s="1566"/>
      <c r="Y33" s="3381"/>
      <c r="Z33" s="1567" t="str">
        <f t="shared" si="12"/>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1"/>
      <c r="Q34" s="1559" t="str">
        <f t="shared" si="8"/>
        <v>建筑结构</v>
      </c>
      <c r="R34" s="1560" t="s">
        <v>8</v>
      </c>
      <c r="S34" s="1561">
        <f t="shared" si="9"/>
        <v>100</v>
      </c>
      <c r="T34" s="1560" t="s">
        <v>8</v>
      </c>
      <c r="U34" s="1561">
        <f t="shared" si="10"/>
        <v>100</v>
      </c>
      <c r="V34" s="1560" t="s">
        <v>8</v>
      </c>
      <c r="W34" s="1561">
        <f t="shared" si="11"/>
        <v>100</v>
      </c>
      <c r="X34" s="1554"/>
      <c r="Y34" s="3381"/>
      <c r="Z34" s="1562" t="str">
        <f t="shared" si="12"/>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1"/>
      <c r="Q35" s="1559" t="str">
        <f t="shared" si="8"/>
        <v>公共部分装修</v>
      </c>
      <c r="R35" s="1560" t="s">
        <v>8</v>
      </c>
      <c r="S35" s="1561">
        <f t="shared" si="9"/>
        <v>100</v>
      </c>
      <c r="T35" s="1560" t="s">
        <v>8</v>
      </c>
      <c r="U35" s="1561">
        <f t="shared" si="10"/>
        <v>100</v>
      </c>
      <c r="V35" s="1560" t="s">
        <v>8</v>
      </c>
      <c r="W35" s="1561">
        <f t="shared" si="11"/>
        <v>100</v>
      </c>
      <c r="X35" s="1554"/>
      <c r="Y35" s="3381"/>
      <c r="Z35" s="1562" t="str">
        <f t="shared" si="12"/>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1"/>
      <c r="Q36" s="1559" t="str">
        <f t="shared" si="8"/>
        <v>成新度</v>
      </c>
      <c r="R36" s="1560" t="s">
        <v>8</v>
      </c>
      <c r="S36" s="1561" t="e">
        <f t="shared" si="9"/>
        <v>#N/A</v>
      </c>
      <c r="T36" s="1560" t="s">
        <v>8</v>
      </c>
      <c r="U36" s="1561" t="e">
        <f t="shared" si="10"/>
        <v>#N/A</v>
      </c>
      <c r="V36" s="1560" t="s">
        <v>8</v>
      </c>
      <c r="W36" s="1561" t="e">
        <f t="shared" si="11"/>
        <v>#N/A</v>
      </c>
      <c r="X36" s="1554"/>
      <c r="Y36" s="3381"/>
      <c r="Z36" s="1562" t="str">
        <f t="shared" si="12"/>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1"/>
      <c r="Q37" s="1147" t="str">
        <f t="shared" si="8"/>
        <v>市政基础设施</v>
      </c>
      <c r="R37" s="1555" t="s">
        <v>8</v>
      </c>
      <c r="S37" s="1556">
        <f t="shared" si="9"/>
        <v>100</v>
      </c>
      <c r="T37" s="1555" t="s">
        <v>8</v>
      </c>
      <c r="U37" s="1556">
        <f t="shared" si="10"/>
        <v>100</v>
      </c>
      <c r="V37" s="1555" t="s">
        <v>8</v>
      </c>
      <c r="W37" s="1556">
        <f t="shared" si="11"/>
        <v>100</v>
      </c>
      <c r="X37" s="1557"/>
      <c r="Y37" s="3381"/>
      <c r="Z37" s="1146" t="str">
        <f t="shared" si="12"/>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1" t="s">
        <v>766</v>
      </c>
      <c r="Q38" s="1559" t="str">
        <f t="shared" si="8"/>
        <v>业态</v>
      </c>
      <c r="R38" s="1560" t="s">
        <v>8</v>
      </c>
      <c r="S38" s="1561">
        <f t="shared" si="9"/>
        <v>100</v>
      </c>
      <c r="T38" s="1560" t="s">
        <v>8</v>
      </c>
      <c r="U38" s="1561">
        <f t="shared" si="10"/>
        <v>100</v>
      </c>
      <c r="V38" s="1560" t="s">
        <v>8</v>
      </c>
      <c r="W38" s="1561">
        <f t="shared" si="11"/>
        <v>100</v>
      </c>
      <c r="X38" s="1554"/>
      <c r="Y38" s="3381" t="s">
        <v>766</v>
      </c>
      <c r="Z38" s="1562" t="str">
        <f t="shared" si="12"/>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c r="Q39" s="1559" t="str">
        <f t="shared" si="8"/>
        <v>层高</v>
      </c>
      <c r="R39" s="1560" t="s">
        <v>8</v>
      </c>
      <c r="S39" s="1561">
        <f t="shared" si="9"/>
        <v>100</v>
      </c>
      <c r="T39" s="1560" t="s">
        <v>8</v>
      </c>
      <c r="U39" s="1561">
        <f t="shared" si="10"/>
        <v>100</v>
      </c>
      <c r="V39" s="1560" t="s">
        <v>8</v>
      </c>
      <c r="W39" s="1561">
        <f t="shared" si="11"/>
        <v>100</v>
      </c>
      <c r="X39" s="1554"/>
      <c r="Y39" s="3381"/>
      <c r="Z39" s="1562" t="str">
        <f t="shared" si="12"/>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1"/>
      <c r="Q40" s="1559" t="str">
        <f t="shared" si="8"/>
        <v>单套建筑面积</v>
      </c>
      <c r="R40" s="1560" t="s">
        <v>8</v>
      </c>
      <c r="S40" s="1561">
        <f t="shared" si="9"/>
        <v>100</v>
      </c>
      <c r="T40" s="1560" t="s">
        <v>8</v>
      </c>
      <c r="U40" s="1561">
        <f t="shared" si="10"/>
        <v>100</v>
      </c>
      <c r="V40" s="1560" t="s">
        <v>8</v>
      </c>
      <c r="W40" s="1561">
        <f t="shared" si="11"/>
        <v>100</v>
      </c>
      <c r="X40" s="1554"/>
      <c r="Y40" s="3381"/>
      <c r="Z40" s="1562" t="str">
        <f t="shared" si="12"/>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1"/>
      <c r="Q41" s="1591" t="str">
        <f t="shared" si="8"/>
        <v>进深比</v>
      </c>
      <c r="R41" s="1564" t="s">
        <v>8</v>
      </c>
      <c r="S41" s="1565">
        <f t="shared" si="9"/>
        <v>100</v>
      </c>
      <c r="T41" s="1564" t="s">
        <v>8</v>
      </c>
      <c r="U41" s="1565">
        <f t="shared" si="10"/>
        <v>100</v>
      </c>
      <c r="V41" s="1564" t="s">
        <v>8</v>
      </c>
      <c r="W41" s="1565">
        <f t="shared" si="11"/>
        <v>100</v>
      </c>
      <c r="X41" s="1566"/>
      <c r="Y41" s="3381"/>
      <c r="Z41" s="1567" t="str">
        <f t="shared" si="12"/>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1"/>
      <c r="Q42" s="1559" t="str">
        <f t="shared" si="8"/>
        <v>内部装修</v>
      </c>
      <c r="R42" s="1560" t="s">
        <v>8</v>
      </c>
      <c r="S42" s="1561">
        <f t="shared" si="9"/>
        <v>100</v>
      </c>
      <c r="T42" s="1560" t="s">
        <v>8</v>
      </c>
      <c r="U42" s="1561">
        <f t="shared" si="10"/>
        <v>100</v>
      </c>
      <c r="V42" s="1560" t="s">
        <v>8</v>
      </c>
      <c r="W42" s="1561">
        <f t="shared" si="11"/>
        <v>100</v>
      </c>
      <c r="X42" s="1554"/>
      <c r="Y42" s="3381"/>
      <c r="Z42" s="1562" t="str">
        <f t="shared" si="12"/>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1"/>
      <c r="Q43" s="1559" t="str">
        <f t="shared" si="8"/>
        <v>内部装修维护情况</v>
      </c>
      <c r="R43" s="1560" t="s">
        <v>8</v>
      </c>
      <c r="S43" s="1561">
        <f t="shared" si="9"/>
        <v>100</v>
      </c>
      <c r="T43" s="1560" t="s">
        <v>8</v>
      </c>
      <c r="U43" s="1561">
        <f t="shared" si="10"/>
        <v>100</v>
      </c>
      <c r="V43" s="1560" t="s">
        <v>8</v>
      </c>
      <c r="W43" s="1561">
        <f t="shared" si="11"/>
        <v>100</v>
      </c>
      <c r="X43" s="1554"/>
      <c r="Y43" s="3381"/>
      <c r="Z43" s="1562" t="str">
        <f t="shared" si="12"/>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1"/>
      <c r="Q44" s="1147">
        <f t="shared" si="8"/>
        <v>111</v>
      </c>
      <c r="R44" s="1555" t="s">
        <v>8</v>
      </c>
      <c r="S44" s="1556">
        <f t="shared" si="9"/>
        <v>100</v>
      </c>
      <c r="T44" s="1555" t="s">
        <v>8</v>
      </c>
      <c r="U44" s="1556">
        <f t="shared" si="10"/>
        <v>100</v>
      </c>
      <c r="V44" s="1555" t="s">
        <v>8</v>
      </c>
      <c r="W44" s="1556">
        <f t="shared" si="11"/>
        <v>100</v>
      </c>
      <c r="X44" s="1557"/>
      <c r="Y44" s="3381"/>
      <c r="Z44" s="1146">
        <f t="shared" si="12"/>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1"/>
      <c r="Q45" s="1559">
        <f t="shared" si="8"/>
        <v>111</v>
      </c>
      <c r="R45" s="1560" t="s">
        <v>8</v>
      </c>
      <c r="S45" s="1561">
        <f t="shared" si="9"/>
        <v>100</v>
      </c>
      <c r="T45" s="1560" t="s">
        <v>8</v>
      </c>
      <c r="U45" s="1561">
        <f t="shared" si="10"/>
        <v>100</v>
      </c>
      <c r="V45" s="1560" t="s">
        <v>8</v>
      </c>
      <c r="W45" s="1561">
        <f t="shared" si="11"/>
        <v>100</v>
      </c>
      <c r="X45" s="1554"/>
      <c r="Y45" s="3381"/>
      <c r="Z45" s="1562">
        <f t="shared" si="12"/>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8"/>
        <v>111</v>
      </c>
      <c r="R46" s="1560" t="s">
        <v>8</v>
      </c>
      <c r="S46" s="1561">
        <f t="shared" si="9"/>
        <v>100</v>
      </c>
      <c r="T46" s="1560" t="s">
        <v>8</v>
      </c>
      <c r="U46" s="1561">
        <f t="shared" si="10"/>
        <v>100</v>
      </c>
      <c r="V46" s="1560" t="s">
        <v>8</v>
      </c>
      <c r="W46" s="1561">
        <f t="shared" si="11"/>
        <v>100</v>
      </c>
      <c r="X46" s="1554"/>
      <c r="Y46" s="3481"/>
      <c r="Z46" s="1562">
        <f t="shared" si="12"/>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6" t="str">
        <f>A47</f>
        <v>成交单价（元/平方米）</v>
      </c>
      <c r="Q47" s="3376"/>
      <c r="R47" s="3480">
        <f>E47</f>
        <v>0</v>
      </c>
      <c r="S47" s="3480"/>
      <c r="T47" s="3480">
        <f>G47</f>
        <v>0</v>
      </c>
      <c r="U47" s="3480"/>
      <c r="V47" s="3480">
        <f>I47</f>
        <v>0</v>
      </c>
      <c r="W47" s="348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3">EDATE(D58,-1)</f>
        <v>43617</v>
      </c>
      <c r="F58" s="2760">
        <f t="shared" si="13"/>
        <v>43586</v>
      </c>
      <c r="G58" s="2760">
        <f t="shared" si="13"/>
        <v>43556</v>
      </c>
      <c r="H58" s="2760">
        <f t="shared" si="13"/>
        <v>43525</v>
      </c>
      <c r="I58" s="2760">
        <f t="shared" si="13"/>
        <v>43497</v>
      </c>
      <c r="J58" s="2760">
        <f t="shared" si="13"/>
        <v>43466</v>
      </c>
      <c r="K58" s="2760">
        <f t="shared" si="13"/>
        <v>43435</v>
      </c>
      <c r="L58" s="2760">
        <f t="shared" si="13"/>
        <v>43405</v>
      </c>
      <c r="M58" s="2760">
        <f t="shared" si="13"/>
        <v>43374</v>
      </c>
      <c r="N58" s="2760">
        <f t="shared" si="13"/>
        <v>43344</v>
      </c>
      <c r="O58" s="2760">
        <f t="shared" si="13"/>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2" t="s">
        <v>522</v>
      </c>
      <c r="D4" s="3383"/>
      <c r="E4" s="3406" t="s">
        <v>523</v>
      </c>
      <c r="F4" s="3407"/>
      <c r="G4" s="3382" t="s">
        <v>524</v>
      </c>
      <c r="H4" s="3383"/>
      <c r="I4" s="3382" t="s">
        <v>525</v>
      </c>
      <c r="J4" s="3383"/>
      <c r="K4" s="514" t="s">
        <v>526</v>
      </c>
      <c r="L4" s="2119"/>
      <c r="M4" s="2120"/>
      <c r="N4" s="2120"/>
      <c r="O4" s="2120"/>
      <c r="P4" s="3482" t="s">
        <v>527</v>
      </c>
      <c r="Q4" s="3385"/>
      <c r="R4" s="3370" t="s">
        <v>523</v>
      </c>
      <c r="S4" s="3371"/>
      <c r="T4" s="3370" t="s">
        <v>524</v>
      </c>
      <c r="U4" s="3371"/>
      <c r="V4" s="3390" t="s">
        <v>525</v>
      </c>
      <c r="W4" s="3390"/>
      <c r="X4" s="1554"/>
      <c r="Y4" s="3370" t="s">
        <v>527</v>
      </c>
      <c r="Z4" s="3371"/>
      <c r="AA4" s="3365" t="s">
        <v>523</v>
      </c>
      <c r="AB4" s="3365" t="s">
        <v>524</v>
      </c>
      <c r="AC4" s="3365" t="s">
        <v>525</v>
      </c>
    </row>
    <row r="5" spans="1:29" ht="15">
      <c r="A5" s="515"/>
      <c r="B5" s="516"/>
      <c r="C5" s="3393" t="s">
        <v>2931</v>
      </c>
      <c r="D5" s="3394"/>
      <c r="E5" s="3408" t="s">
        <v>2932</v>
      </c>
      <c r="F5" s="3409"/>
      <c r="G5" s="3393" t="s">
        <v>2933</v>
      </c>
      <c r="H5" s="3394"/>
      <c r="I5" s="3393" t="s">
        <v>2934</v>
      </c>
      <c r="J5" s="3394"/>
      <c r="K5" s="514"/>
      <c r="L5" s="2119"/>
      <c r="M5" s="2120"/>
      <c r="N5" s="2120"/>
      <c r="O5" s="2120"/>
      <c r="P5" s="3483"/>
      <c r="Q5" s="3387"/>
      <c r="R5" s="3372"/>
      <c r="S5" s="3373"/>
      <c r="T5" s="3372"/>
      <c r="U5" s="3373"/>
      <c r="V5" s="3390"/>
      <c r="W5" s="3390"/>
      <c r="X5" s="1554"/>
      <c r="Y5" s="3372"/>
      <c r="Z5" s="3373"/>
      <c r="AA5" s="3366"/>
      <c r="AB5" s="3366"/>
      <c r="AC5" s="3366"/>
    </row>
    <row r="6" spans="1:29" ht="15.75" thickBot="1">
      <c r="A6" s="517"/>
      <c r="B6" s="518"/>
      <c r="C6" s="3391" t="s">
        <v>2935</v>
      </c>
      <c r="D6" s="3392"/>
      <c r="E6" s="3410" t="s">
        <v>2935</v>
      </c>
      <c r="F6" s="3411"/>
      <c r="G6" s="3391" t="s">
        <v>2935</v>
      </c>
      <c r="H6" s="3392"/>
      <c r="I6" s="3391" t="s">
        <v>2935</v>
      </c>
      <c r="J6" s="3392"/>
      <c r="K6" s="514" t="s">
        <v>528</v>
      </c>
      <c r="L6" s="2119"/>
      <c r="M6" s="2120"/>
      <c r="N6" s="2120"/>
      <c r="O6" s="2120"/>
      <c r="P6" s="3484"/>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7"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7" t="s">
        <v>533</v>
      </c>
      <c r="Q8" s="3369"/>
      <c r="R8" s="1555" t="s">
        <v>8</v>
      </c>
      <c r="S8" s="1556">
        <f t="shared" si="0"/>
        <v>0</v>
      </c>
      <c r="T8" s="1555" t="s">
        <v>8</v>
      </c>
      <c r="U8" s="1556">
        <f t="shared" si="1"/>
        <v>0</v>
      </c>
      <c r="V8" s="1555" t="s">
        <v>8</v>
      </c>
      <c r="W8" s="1556">
        <f t="shared" si="2"/>
        <v>0</v>
      </c>
      <c r="X8" s="1557"/>
      <c r="Y8" s="3368" t="s">
        <v>533</v>
      </c>
      <c r="Z8" s="3369"/>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8" t="s">
        <v>540</v>
      </c>
      <c r="Q15" s="1559" t="str">
        <f t="shared" si="6"/>
        <v>办公集聚程度</v>
      </c>
      <c r="R15" s="1560" t="s">
        <v>8</v>
      </c>
      <c r="S15" s="1561">
        <f t="shared" si="0"/>
        <v>100</v>
      </c>
      <c r="T15" s="1560" t="s">
        <v>8</v>
      </c>
      <c r="U15" s="1561">
        <f t="shared" si="1"/>
        <v>100</v>
      </c>
      <c r="V15" s="1560" t="s">
        <v>8</v>
      </c>
      <c r="W15" s="1561">
        <f t="shared" si="2"/>
        <v>100</v>
      </c>
      <c r="X15" s="1554"/>
      <c r="Y15" s="337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9"/>
      <c r="Q16" s="1559"/>
      <c r="R16" s="1560"/>
      <c r="S16" s="1561"/>
      <c r="T16" s="1560"/>
      <c r="U16" s="1561"/>
      <c r="V16" s="1560"/>
      <c r="W16" s="1561"/>
      <c r="X16" s="1554"/>
      <c r="Y16" s="337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9"/>
      <c r="Q18" s="1559"/>
      <c r="R18" s="1560"/>
      <c r="S18" s="1561"/>
      <c r="T18" s="1560"/>
      <c r="U18" s="1561"/>
      <c r="V18" s="1560"/>
      <c r="W18" s="1561"/>
      <c r="X18" s="1554"/>
      <c r="Y18" s="3379"/>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9"/>
      <c r="Q20" s="1559"/>
      <c r="R20" s="1560"/>
      <c r="S20" s="1561"/>
      <c r="T20" s="1560"/>
      <c r="U20" s="1561"/>
      <c r="V20" s="1560"/>
      <c r="W20" s="1561"/>
      <c r="X20" s="1554"/>
      <c r="Y20" s="3379"/>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D21/F21</f>
        <v>1</v>
      </c>
      <c r="AB21" s="1563">
        <f>D21/H21</f>
        <v>1</v>
      </c>
      <c r="AC21" s="1563">
        <f>D21/J21</f>
        <v>1</v>
      </c>
    </row>
    <row r="22" spans="1:29" ht="15">
      <c r="A22" s="532"/>
      <c r="B22" s="578"/>
      <c r="C22" s="567"/>
      <c r="D22" s="555"/>
      <c r="E22" s="576"/>
      <c r="F22" s="555"/>
      <c r="G22" s="554"/>
      <c r="H22" s="555"/>
      <c r="I22" s="554"/>
      <c r="J22" s="555"/>
      <c r="K22" s="2567"/>
      <c r="L22" s="2128"/>
      <c r="M22" s="2120"/>
      <c r="N22" s="2120"/>
      <c r="O22" s="2120"/>
      <c r="P22" s="3379"/>
      <c r="Q22" s="2544"/>
      <c r="R22" s="1560"/>
      <c r="S22" s="1561"/>
      <c r="T22" s="1560"/>
      <c r="U22" s="1561"/>
      <c r="V22" s="1560"/>
      <c r="W22" s="1561"/>
      <c r="X22" s="2546"/>
      <c r="Y22" s="337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9"/>
      <c r="Q24" s="1559"/>
      <c r="R24" s="1560"/>
      <c r="S24" s="1561"/>
      <c r="T24" s="1560"/>
      <c r="U24" s="1561"/>
      <c r="V24" s="1560"/>
      <c r="W24" s="1561"/>
      <c r="X24" s="1554"/>
      <c r="Y24" s="337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9"/>
      <c r="Q25" s="1559" t="str">
        <f>B25</f>
        <v>毗邻道路的类型与等级</v>
      </c>
      <c r="R25" s="1560" t="s">
        <v>8</v>
      </c>
      <c r="S25" s="1561">
        <f>F25</f>
        <v>100</v>
      </c>
      <c r="T25" s="1560" t="s">
        <v>8</v>
      </c>
      <c r="U25" s="1561">
        <f>H25</f>
        <v>100</v>
      </c>
      <c r="V25" s="1560" t="s">
        <v>8</v>
      </c>
      <c r="W25" s="1561">
        <f>J25</f>
        <v>100</v>
      </c>
      <c r="X25" s="1554"/>
      <c r="Y25" s="337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9"/>
      <c r="Q26" s="1559"/>
      <c r="R26" s="1560"/>
      <c r="S26" s="1561"/>
      <c r="T26" s="1560"/>
      <c r="U26" s="1561"/>
      <c r="V26" s="1560"/>
      <c r="W26" s="1561"/>
      <c r="X26" s="1554"/>
      <c r="Y26" s="337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9"/>
      <c r="Q27" s="1559" t="str">
        <f t="shared" ref="Q27:Q47" si="8">B27</f>
        <v>楼层</v>
      </c>
      <c r="R27" s="1560" t="s">
        <v>8</v>
      </c>
      <c r="S27" s="1561">
        <f>F27</f>
        <v>100</v>
      </c>
      <c r="T27" s="1560" t="s">
        <v>8</v>
      </c>
      <c r="U27" s="1561">
        <f>H27</f>
        <v>100</v>
      </c>
      <c r="V27" s="1560" t="s">
        <v>8</v>
      </c>
      <c r="W27" s="1561">
        <f>J27</f>
        <v>100</v>
      </c>
      <c r="X27" s="1554"/>
      <c r="Y27" s="337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9"/>
      <c r="Q28" s="1147" t="str">
        <f t="shared" si="8"/>
        <v>朝向</v>
      </c>
      <c r="R28" s="1555" t="s">
        <v>8</v>
      </c>
      <c r="S28" s="1556">
        <f>F28</f>
        <v>100</v>
      </c>
      <c r="T28" s="1555" t="s">
        <v>8</v>
      </c>
      <c r="U28" s="1556">
        <f>H28</f>
        <v>100</v>
      </c>
      <c r="V28" s="1555" t="s">
        <v>8</v>
      </c>
      <c r="W28" s="1556">
        <f>J28</f>
        <v>100</v>
      </c>
      <c r="X28" s="1557"/>
      <c r="Y28" s="337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9"/>
      <c r="Q29" s="1559">
        <f t="shared" si="8"/>
        <v>111</v>
      </c>
      <c r="R29" s="1560" t="s">
        <v>8</v>
      </c>
      <c r="S29" s="1561">
        <f t="shared" ref="S29:S47" si="9">F29</f>
        <v>100</v>
      </c>
      <c r="T29" s="1560" t="s">
        <v>8</v>
      </c>
      <c r="U29" s="1561">
        <f t="shared" ref="U29:U47" si="10">H29</f>
        <v>100</v>
      </c>
      <c r="V29" s="1560" t="s">
        <v>8</v>
      </c>
      <c r="W29" s="1561">
        <f t="shared" ref="W29:W47" si="11">J29</f>
        <v>100</v>
      </c>
      <c r="X29" s="1554"/>
      <c r="Y29" s="3379"/>
      <c r="Z29" s="1562">
        <f t="shared" ref="Z29:Z47" si="12">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9"/>
      <c r="Q30" s="1559">
        <f t="shared" si="8"/>
        <v>111</v>
      </c>
      <c r="R30" s="1560" t="s">
        <v>8</v>
      </c>
      <c r="S30" s="1561">
        <f t="shared" si="9"/>
        <v>100</v>
      </c>
      <c r="T30" s="1560" t="s">
        <v>8</v>
      </c>
      <c r="U30" s="1561">
        <f t="shared" si="10"/>
        <v>100</v>
      </c>
      <c r="V30" s="1560" t="s">
        <v>8</v>
      </c>
      <c r="W30" s="1561">
        <f t="shared" si="11"/>
        <v>100</v>
      </c>
      <c r="X30" s="1554"/>
      <c r="Y30" s="3379"/>
      <c r="Z30" s="1562">
        <f t="shared" si="12"/>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9"/>
      <c r="Q31" s="1559">
        <f t="shared" si="8"/>
        <v>111</v>
      </c>
      <c r="R31" s="1560" t="s">
        <v>8</v>
      </c>
      <c r="S31" s="1561">
        <f t="shared" si="9"/>
        <v>100</v>
      </c>
      <c r="T31" s="1560" t="s">
        <v>8</v>
      </c>
      <c r="U31" s="1561">
        <f t="shared" si="10"/>
        <v>100</v>
      </c>
      <c r="V31" s="1560" t="s">
        <v>8</v>
      </c>
      <c r="W31" s="1561">
        <f t="shared" si="11"/>
        <v>100</v>
      </c>
      <c r="X31" s="1554"/>
      <c r="Y31" s="3379"/>
      <c r="Z31" s="1562">
        <f t="shared" si="12"/>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9"/>
      <c r="Q32" s="1559">
        <f t="shared" si="8"/>
        <v>111</v>
      </c>
      <c r="R32" s="1560" t="s">
        <v>8</v>
      </c>
      <c r="S32" s="1561">
        <f t="shared" si="9"/>
        <v>100</v>
      </c>
      <c r="T32" s="1560" t="s">
        <v>8</v>
      </c>
      <c r="U32" s="1561">
        <f t="shared" si="10"/>
        <v>100</v>
      </c>
      <c r="V32" s="1560" t="s">
        <v>8</v>
      </c>
      <c r="W32" s="1561">
        <f t="shared" si="11"/>
        <v>100</v>
      </c>
      <c r="X32" s="1554"/>
      <c r="Y32" s="3379"/>
      <c r="Z32" s="1562">
        <f t="shared" si="12"/>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0" t="s">
        <v>550</v>
      </c>
      <c r="Q33" s="1559" t="str">
        <f t="shared" si="8"/>
        <v>建筑类型</v>
      </c>
      <c r="R33" s="1560" t="s">
        <v>8</v>
      </c>
      <c r="S33" s="1561">
        <f t="shared" si="9"/>
        <v>100</v>
      </c>
      <c r="T33" s="1560" t="s">
        <v>8</v>
      </c>
      <c r="U33" s="1561">
        <f t="shared" si="10"/>
        <v>100</v>
      </c>
      <c r="V33" s="1560" t="s">
        <v>8</v>
      </c>
      <c r="W33" s="1561">
        <f t="shared" si="11"/>
        <v>100</v>
      </c>
      <c r="X33" s="1554"/>
      <c r="Y33" s="3381" t="s">
        <v>550</v>
      </c>
      <c r="Z33" s="1562" t="str">
        <f t="shared" si="12"/>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1"/>
      <c r="Q34" s="1591" t="str">
        <f t="shared" si="8"/>
        <v>项目建筑规模</v>
      </c>
      <c r="R34" s="1564" t="s">
        <v>8</v>
      </c>
      <c r="S34" s="1565" t="e">
        <f t="shared" si="9"/>
        <v>#N/A</v>
      </c>
      <c r="T34" s="1564" t="s">
        <v>8</v>
      </c>
      <c r="U34" s="1565" t="e">
        <f t="shared" si="10"/>
        <v>#N/A</v>
      </c>
      <c r="V34" s="1564" t="s">
        <v>8</v>
      </c>
      <c r="W34" s="1565" t="e">
        <f t="shared" si="11"/>
        <v>#N/A</v>
      </c>
      <c r="X34" s="1566"/>
      <c r="Y34" s="3381"/>
      <c r="Z34" s="1567" t="str">
        <f t="shared" si="12"/>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1"/>
      <c r="Q35" s="1559" t="str">
        <f t="shared" si="8"/>
        <v>建筑结构</v>
      </c>
      <c r="R35" s="1560" t="s">
        <v>8</v>
      </c>
      <c r="S35" s="1561">
        <f t="shared" si="9"/>
        <v>100</v>
      </c>
      <c r="T35" s="1560" t="s">
        <v>8</v>
      </c>
      <c r="U35" s="1561">
        <f t="shared" si="10"/>
        <v>100</v>
      </c>
      <c r="V35" s="1560" t="s">
        <v>8</v>
      </c>
      <c r="W35" s="1561">
        <f t="shared" si="11"/>
        <v>100</v>
      </c>
      <c r="X35" s="1554"/>
      <c r="Y35" s="3381"/>
      <c r="Z35" s="1562" t="str">
        <f t="shared" si="12"/>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1"/>
      <c r="Q36" s="1559" t="str">
        <f t="shared" si="8"/>
        <v>公共部分装修</v>
      </c>
      <c r="R36" s="1560" t="s">
        <v>8</v>
      </c>
      <c r="S36" s="1561">
        <f t="shared" si="9"/>
        <v>100</v>
      </c>
      <c r="T36" s="1560" t="s">
        <v>8</v>
      </c>
      <c r="U36" s="1561">
        <f t="shared" si="10"/>
        <v>100</v>
      </c>
      <c r="V36" s="1560" t="s">
        <v>8</v>
      </c>
      <c r="W36" s="1561">
        <f t="shared" si="11"/>
        <v>100</v>
      </c>
      <c r="X36" s="1554"/>
      <c r="Y36" s="3381"/>
      <c r="Z36" s="1562" t="str">
        <f t="shared" si="12"/>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1"/>
      <c r="Q37" s="1559" t="str">
        <f t="shared" si="8"/>
        <v>成新度</v>
      </c>
      <c r="R37" s="1560" t="s">
        <v>8</v>
      </c>
      <c r="S37" s="1561" t="e">
        <f t="shared" si="9"/>
        <v>#N/A</v>
      </c>
      <c r="T37" s="1560" t="s">
        <v>8</v>
      </c>
      <c r="U37" s="1561" t="e">
        <f t="shared" si="10"/>
        <v>#N/A</v>
      </c>
      <c r="V37" s="1560" t="s">
        <v>8</v>
      </c>
      <c r="W37" s="1561" t="e">
        <f t="shared" si="11"/>
        <v>#N/A</v>
      </c>
      <c r="X37" s="1554"/>
      <c r="Y37" s="3381"/>
      <c r="Z37" s="1562" t="str">
        <f t="shared" si="12"/>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1"/>
      <c r="Q38" s="1147" t="str">
        <f t="shared" si="8"/>
        <v>写字楼等级</v>
      </c>
      <c r="R38" s="1555" t="s">
        <v>8</v>
      </c>
      <c r="S38" s="1556">
        <f t="shared" si="9"/>
        <v>100</v>
      </c>
      <c r="T38" s="1555" t="s">
        <v>8</v>
      </c>
      <c r="U38" s="1556">
        <f t="shared" si="10"/>
        <v>100</v>
      </c>
      <c r="V38" s="1555" t="s">
        <v>8</v>
      </c>
      <c r="W38" s="1556">
        <f t="shared" si="11"/>
        <v>100</v>
      </c>
      <c r="X38" s="1557"/>
      <c r="Y38" s="3381"/>
      <c r="Z38" s="1146" t="str">
        <f t="shared" si="12"/>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1" t="s">
        <v>550</v>
      </c>
      <c r="Q39" s="1559" t="str">
        <f t="shared" si="8"/>
        <v>物业管理</v>
      </c>
      <c r="R39" s="1560" t="s">
        <v>8</v>
      </c>
      <c r="S39" s="1561">
        <f t="shared" si="9"/>
        <v>100</v>
      </c>
      <c r="T39" s="1560" t="s">
        <v>8</v>
      </c>
      <c r="U39" s="1561">
        <f t="shared" si="10"/>
        <v>100</v>
      </c>
      <c r="V39" s="1560" t="s">
        <v>8</v>
      </c>
      <c r="W39" s="1561">
        <f t="shared" si="11"/>
        <v>100</v>
      </c>
      <c r="X39" s="1554"/>
      <c r="Y39" s="3381" t="s">
        <v>550</v>
      </c>
      <c r="Z39" s="1562" t="str">
        <f t="shared" si="12"/>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1"/>
      <c r="Q40" s="1559" t="str">
        <f t="shared" si="8"/>
        <v>市政基础设施</v>
      </c>
      <c r="R40" s="1560" t="s">
        <v>8</v>
      </c>
      <c r="S40" s="1561">
        <f t="shared" si="9"/>
        <v>100</v>
      </c>
      <c r="T40" s="1560" t="s">
        <v>8</v>
      </c>
      <c r="U40" s="1561">
        <f t="shared" si="10"/>
        <v>100</v>
      </c>
      <c r="V40" s="1560" t="s">
        <v>8</v>
      </c>
      <c r="W40" s="1561">
        <f t="shared" si="11"/>
        <v>100</v>
      </c>
      <c r="X40" s="1554"/>
      <c r="Y40" s="3381"/>
      <c r="Z40" s="1562" t="str">
        <f t="shared" si="12"/>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1"/>
      <c r="Q41" s="1559" t="str">
        <f t="shared" si="8"/>
        <v>层高</v>
      </c>
      <c r="R41" s="1560" t="s">
        <v>8</v>
      </c>
      <c r="S41" s="1561">
        <f t="shared" si="9"/>
        <v>100</v>
      </c>
      <c r="T41" s="1560" t="s">
        <v>8</v>
      </c>
      <c r="U41" s="1561">
        <f t="shared" si="10"/>
        <v>100</v>
      </c>
      <c r="V41" s="1560" t="s">
        <v>8</v>
      </c>
      <c r="W41" s="1561">
        <f t="shared" si="11"/>
        <v>100</v>
      </c>
      <c r="X41" s="1554"/>
      <c r="Y41" s="3381"/>
      <c r="Z41" s="1562" t="str">
        <f t="shared" si="12"/>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1"/>
      <c r="Q42" s="1591" t="str">
        <f t="shared" si="8"/>
        <v>单套建筑面积</v>
      </c>
      <c r="R42" s="1564" t="s">
        <v>8</v>
      </c>
      <c r="S42" s="1565">
        <f t="shared" si="9"/>
        <v>100</v>
      </c>
      <c r="T42" s="1564" t="s">
        <v>8</v>
      </c>
      <c r="U42" s="1565">
        <f t="shared" si="10"/>
        <v>100</v>
      </c>
      <c r="V42" s="1564" t="s">
        <v>8</v>
      </c>
      <c r="W42" s="1565">
        <f t="shared" si="11"/>
        <v>100</v>
      </c>
      <c r="X42" s="1566"/>
      <c r="Y42" s="3381"/>
      <c r="Z42" s="1567" t="str">
        <f t="shared" si="12"/>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1"/>
      <c r="Q43" s="1559" t="str">
        <f t="shared" si="8"/>
        <v>内部装修</v>
      </c>
      <c r="R43" s="1560" t="s">
        <v>8</v>
      </c>
      <c r="S43" s="1561">
        <f t="shared" si="9"/>
        <v>100</v>
      </c>
      <c r="T43" s="1560" t="s">
        <v>8</v>
      </c>
      <c r="U43" s="1561">
        <f t="shared" si="10"/>
        <v>100</v>
      </c>
      <c r="V43" s="1560" t="s">
        <v>8</v>
      </c>
      <c r="W43" s="1561">
        <f t="shared" si="11"/>
        <v>100</v>
      </c>
      <c r="X43" s="1554"/>
      <c r="Y43" s="3381"/>
      <c r="Z43" s="1562" t="str">
        <f t="shared" si="12"/>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1"/>
      <c r="Q44" s="1559" t="str">
        <f t="shared" si="8"/>
        <v>内部装修维护情况</v>
      </c>
      <c r="R44" s="1560" t="s">
        <v>8</v>
      </c>
      <c r="S44" s="1561">
        <f t="shared" si="9"/>
        <v>100</v>
      </c>
      <c r="T44" s="1560" t="s">
        <v>8</v>
      </c>
      <c r="U44" s="1561">
        <f t="shared" si="10"/>
        <v>100</v>
      </c>
      <c r="V44" s="1560" t="s">
        <v>8</v>
      </c>
      <c r="W44" s="1561">
        <f t="shared" si="11"/>
        <v>100</v>
      </c>
      <c r="X44" s="1554"/>
      <c r="Y44" s="3381"/>
      <c r="Z44" s="1562" t="str">
        <f t="shared" si="12"/>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1"/>
      <c r="Q45" s="1147">
        <f t="shared" si="8"/>
        <v>111</v>
      </c>
      <c r="R45" s="1555" t="s">
        <v>8</v>
      </c>
      <c r="S45" s="1556">
        <f t="shared" si="9"/>
        <v>100</v>
      </c>
      <c r="T45" s="1555" t="s">
        <v>8</v>
      </c>
      <c r="U45" s="1556">
        <f t="shared" si="10"/>
        <v>100</v>
      </c>
      <c r="V45" s="1555" t="s">
        <v>8</v>
      </c>
      <c r="W45" s="1556">
        <f t="shared" si="11"/>
        <v>100</v>
      </c>
      <c r="X45" s="1557"/>
      <c r="Y45" s="3381"/>
      <c r="Z45" s="1146">
        <f t="shared" si="12"/>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1"/>
      <c r="Q46" s="1559">
        <f t="shared" si="8"/>
        <v>111</v>
      </c>
      <c r="R46" s="1560" t="s">
        <v>8</v>
      </c>
      <c r="S46" s="1561">
        <f t="shared" si="9"/>
        <v>100</v>
      </c>
      <c r="T46" s="1560" t="s">
        <v>8</v>
      </c>
      <c r="U46" s="1561">
        <f t="shared" si="10"/>
        <v>100</v>
      </c>
      <c r="V46" s="1560" t="s">
        <v>8</v>
      </c>
      <c r="W46" s="1561">
        <f t="shared" si="11"/>
        <v>100</v>
      </c>
      <c r="X46" s="1554"/>
      <c r="Y46" s="3381"/>
      <c r="Z46" s="1562">
        <f t="shared" si="12"/>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8"/>
        <v>111</v>
      </c>
      <c r="R47" s="1560" t="s">
        <v>8</v>
      </c>
      <c r="S47" s="1561">
        <f t="shared" si="9"/>
        <v>100</v>
      </c>
      <c r="T47" s="1560" t="s">
        <v>8</v>
      </c>
      <c r="U47" s="1561">
        <f t="shared" si="10"/>
        <v>100</v>
      </c>
      <c r="V47" s="1560" t="s">
        <v>8</v>
      </c>
      <c r="W47" s="1561">
        <f t="shared" si="11"/>
        <v>100</v>
      </c>
      <c r="X47" s="1554"/>
      <c r="Y47" s="3481"/>
      <c r="Z47" s="1562">
        <f t="shared" si="12"/>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376"/>
      <c r="R48" s="3480">
        <f>E48</f>
        <v>0</v>
      </c>
      <c r="S48" s="3480"/>
      <c r="T48" s="3480">
        <f>G48</f>
        <v>0</v>
      </c>
      <c r="U48" s="3480"/>
      <c r="V48" s="3480">
        <f>I48</f>
        <v>0</v>
      </c>
      <c r="W48" s="348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376"/>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5" t="str">
        <f>A50</f>
        <v>估价对象XX用房的比较价格（楼面单价，元/平方米）</v>
      </c>
      <c r="Q50" s="3398"/>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3">EDATE(D59,-1)</f>
        <v>43617</v>
      </c>
      <c r="F59" s="2760">
        <f t="shared" si="13"/>
        <v>43586</v>
      </c>
      <c r="G59" s="2760">
        <f t="shared" si="13"/>
        <v>43556</v>
      </c>
      <c r="H59" s="2760">
        <f t="shared" si="13"/>
        <v>43525</v>
      </c>
      <c r="I59" s="2760">
        <f t="shared" si="13"/>
        <v>43497</v>
      </c>
      <c r="J59" s="2760">
        <f t="shared" si="13"/>
        <v>43466</v>
      </c>
      <c r="K59" s="2760">
        <f t="shared" si="13"/>
        <v>43435</v>
      </c>
      <c r="L59" s="2760">
        <f t="shared" si="13"/>
        <v>43405</v>
      </c>
      <c r="M59" s="2760">
        <f t="shared" si="13"/>
        <v>43374</v>
      </c>
      <c r="N59" s="2760">
        <f t="shared" si="13"/>
        <v>43344</v>
      </c>
      <c r="O59" s="2760">
        <f t="shared" si="13"/>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6" t="s">
        <v>524</v>
      </c>
      <c r="AC4" s="3365" t="s">
        <v>525</v>
      </c>
    </row>
    <row r="5" spans="1:29" ht="15">
      <c r="A5" s="515"/>
      <c r="B5" s="516"/>
      <c r="C5" s="3393" t="s">
        <v>2931</v>
      </c>
      <c r="D5" s="3394"/>
      <c r="E5" s="3408" t="s">
        <v>2932</v>
      </c>
      <c r="F5" s="3409"/>
      <c r="G5" s="3393" t="s">
        <v>2933</v>
      </c>
      <c r="H5" s="3394"/>
      <c r="I5" s="3393" t="s">
        <v>2934</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2935</v>
      </c>
      <c r="D6" s="3392"/>
      <c r="E6" s="3410" t="s">
        <v>2935</v>
      </c>
      <c r="F6" s="3411"/>
      <c r="G6" s="3391" t="s">
        <v>2935</v>
      </c>
      <c r="H6" s="3392"/>
      <c r="I6" s="3391" t="s">
        <v>2935</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8" t="s">
        <v>540</v>
      </c>
      <c r="Q15" s="1559" t="str">
        <f t="shared" si="6"/>
        <v>产业集聚程度</v>
      </c>
      <c r="R15" s="1560" t="s">
        <v>8</v>
      </c>
      <c r="S15" s="1561">
        <f t="shared" si="0"/>
        <v>100</v>
      </c>
      <c r="T15" s="1560" t="s">
        <v>8</v>
      </c>
      <c r="U15" s="1561">
        <f t="shared" si="1"/>
        <v>100</v>
      </c>
      <c r="V15" s="1560" t="s">
        <v>8</v>
      </c>
      <c r="W15" s="1561">
        <f t="shared" si="2"/>
        <v>100</v>
      </c>
      <c r="X15" s="1554"/>
      <c r="Y15" s="337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D21/F21</f>
        <v>1</v>
      </c>
      <c r="AB21" s="1563">
        <f>D21/H21</f>
        <v>1</v>
      </c>
      <c r="AC21" s="1563">
        <f>D21/J21</f>
        <v>1</v>
      </c>
    </row>
    <row r="22" spans="1:29" ht="15">
      <c r="A22" s="532"/>
      <c r="B22" s="578"/>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9"/>
      <c r="Q25" s="1559">
        <f>B25</f>
        <v>111</v>
      </c>
      <c r="R25" s="1560" t="s">
        <v>8</v>
      </c>
      <c r="S25" s="1561">
        <f>F25</f>
        <v>100</v>
      </c>
      <c r="T25" s="1560" t="s">
        <v>8</v>
      </c>
      <c r="U25" s="1561">
        <f>H25</f>
        <v>100</v>
      </c>
      <c r="V25" s="1560" t="s">
        <v>8</v>
      </c>
      <c r="W25" s="1561">
        <f>J25</f>
        <v>100</v>
      </c>
      <c r="X25" s="1554"/>
      <c r="Y25" s="337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9"/>
      <c r="Q26" s="1559">
        <f t="shared" ref="Q26:Q40" si="8">B26</f>
        <v>111</v>
      </c>
      <c r="R26" s="1560" t="s">
        <v>8</v>
      </c>
      <c r="S26" s="1561">
        <f>F26</f>
        <v>100</v>
      </c>
      <c r="T26" s="1560" t="s">
        <v>8</v>
      </c>
      <c r="U26" s="1561">
        <f>H26</f>
        <v>100</v>
      </c>
      <c r="V26" s="1560" t="s">
        <v>8</v>
      </c>
      <c r="W26" s="1561">
        <f>J26</f>
        <v>100</v>
      </c>
      <c r="X26" s="1554"/>
      <c r="Y26" s="337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9"/>
      <c r="Q27" s="1147">
        <f t="shared" si="8"/>
        <v>111</v>
      </c>
      <c r="R27" s="1555" t="s">
        <v>8</v>
      </c>
      <c r="S27" s="1556">
        <f>F27</f>
        <v>100</v>
      </c>
      <c r="T27" s="1555" t="s">
        <v>8</v>
      </c>
      <c r="U27" s="1556">
        <f>H27</f>
        <v>100</v>
      </c>
      <c r="V27" s="1555" t="s">
        <v>8</v>
      </c>
      <c r="W27" s="1556">
        <f>J27</f>
        <v>100</v>
      </c>
      <c r="X27" s="1557"/>
      <c r="Y27" s="337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9"/>
      <c r="Q28" s="1559">
        <f t="shared" si="8"/>
        <v>111</v>
      </c>
      <c r="R28" s="1560" t="s">
        <v>8</v>
      </c>
      <c r="S28" s="1561">
        <f t="shared" ref="S28:S40" si="9">F28</f>
        <v>100</v>
      </c>
      <c r="T28" s="1560" t="s">
        <v>8</v>
      </c>
      <c r="U28" s="1561">
        <f t="shared" ref="U28:U40" si="10">H28</f>
        <v>100</v>
      </c>
      <c r="V28" s="1560" t="s">
        <v>8</v>
      </c>
      <c r="W28" s="1561">
        <f t="shared" ref="W28:W40" si="11">J28</f>
        <v>100</v>
      </c>
      <c r="X28" s="1554"/>
      <c r="Y28" s="3379"/>
      <c r="Z28" s="1562">
        <f t="shared" ref="Z28:Z40" si="12">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0" t="s">
        <v>550</v>
      </c>
      <c r="Q29" s="1559" t="str">
        <f t="shared" si="8"/>
        <v>建筑类型</v>
      </c>
      <c r="R29" s="1560" t="s">
        <v>8</v>
      </c>
      <c r="S29" s="1561">
        <f t="shared" si="9"/>
        <v>100</v>
      </c>
      <c r="T29" s="1560" t="s">
        <v>8</v>
      </c>
      <c r="U29" s="1561">
        <f t="shared" si="10"/>
        <v>100</v>
      </c>
      <c r="V29" s="1560" t="s">
        <v>8</v>
      </c>
      <c r="W29" s="1561">
        <f t="shared" si="11"/>
        <v>100</v>
      </c>
      <c r="X29" s="1554"/>
      <c r="Y29" s="3381" t="s">
        <v>550</v>
      </c>
      <c r="Z29" s="1562" t="str">
        <f t="shared" si="12"/>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1"/>
      <c r="Q30" s="1591" t="str">
        <f t="shared" si="8"/>
        <v>项目建筑规模</v>
      </c>
      <c r="R30" s="1564" t="s">
        <v>8</v>
      </c>
      <c r="S30" s="1565" t="e">
        <f t="shared" si="9"/>
        <v>#N/A</v>
      </c>
      <c r="T30" s="1564" t="s">
        <v>8</v>
      </c>
      <c r="U30" s="1565" t="e">
        <f t="shared" si="10"/>
        <v>#N/A</v>
      </c>
      <c r="V30" s="1564" t="s">
        <v>8</v>
      </c>
      <c r="W30" s="1565" t="e">
        <f t="shared" si="11"/>
        <v>#N/A</v>
      </c>
      <c r="X30" s="1566"/>
      <c r="Y30" s="3381"/>
      <c r="Z30" s="1567" t="str">
        <f t="shared" si="12"/>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1"/>
      <c r="Q31" s="1559" t="str">
        <f t="shared" si="8"/>
        <v>建筑结构</v>
      </c>
      <c r="R31" s="1560" t="s">
        <v>8</v>
      </c>
      <c r="S31" s="1561">
        <f t="shared" si="9"/>
        <v>100</v>
      </c>
      <c r="T31" s="1560" t="s">
        <v>8</v>
      </c>
      <c r="U31" s="1561">
        <f t="shared" si="10"/>
        <v>100</v>
      </c>
      <c r="V31" s="1560" t="s">
        <v>8</v>
      </c>
      <c r="W31" s="1561">
        <f t="shared" si="11"/>
        <v>100</v>
      </c>
      <c r="X31" s="1554"/>
      <c r="Y31" s="3381"/>
      <c r="Z31" s="1562" t="str">
        <f t="shared" si="12"/>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1"/>
      <c r="Q32" s="1559" t="str">
        <f t="shared" si="8"/>
        <v>公共部分装修</v>
      </c>
      <c r="R32" s="1560" t="s">
        <v>8</v>
      </c>
      <c r="S32" s="1561">
        <f t="shared" si="9"/>
        <v>100</v>
      </c>
      <c r="T32" s="1560" t="s">
        <v>8</v>
      </c>
      <c r="U32" s="1561">
        <f t="shared" si="10"/>
        <v>100</v>
      </c>
      <c r="V32" s="1560" t="s">
        <v>8</v>
      </c>
      <c r="W32" s="1561">
        <f t="shared" si="11"/>
        <v>100</v>
      </c>
      <c r="X32" s="1554"/>
      <c r="Y32" s="3381"/>
      <c r="Z32" s="1562" t="str">
        <f t="shared" si="12"/>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1"/>
      <c r="Q33" s="1559" t="str">
        <f t="shared" si="8"/>
        <v>成新度</v>
      </c>
      <c r="R33" s="1560" t="s">
        <v>8</v>
      </c>
      <c r="S33" s="1561" t="e">
        <f t="shared" si="9"/>
        <v>#N/A</v>
      </c>
      <c r="T33" s="1560" t="s">
        <v>8</v>
      </c>
      <c r="U33" s="1561" t="e">
        <f t="shared" si="10"/>
        <v>#N/A</v>
      </c>
      <c r="V33" s="1560" t="s">
        <v>8</v>
      </c>
      <c r="W33" s="1561" t="e">
        <f t="shared" si="11"/>
        <v>#N/A</v>
      </c>
      <c r="X33" s="1554"/>
      <c r="Y33" s="3381"/>
      <c r="Z33" s="1562" t="str">
        <f t="shared" si="12"/>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1"/>
      <c r="Q34" s="1147" t="str">
        <f t="shared" si="8"/>
        <v>物业管理</v>
      </c>
      <c r="R34" s="1555" t="s">
        <v>8</v>
      </c>
      <c r="S34" s="1556">
        <f t="shared" si="9"/>
        <v>100</v>
      </c>
      <c r="T34" s="1555" t="s">
        <v>8</v>
      </c>
      <c r="U34" s="1556">
        <f t="shared" si="10"/>
        <v>100</v>
      </c>
      <c r="V34" s="1555" t="s">
        <v>8</v>
      </c>
      <c r="W34" s="1556">
        <f t="shared" si="11"/>
        <v>100</v>
      </c>
      <c r="X34" s="1557"/>
      <c r="Y34" s="3381"/>
      <c r="Z34" s="1146" t="str">
        <f t="shared" si="12"/>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1" t="s">
        <v>550</v>
      </c>
      <c r="Q35" s="1559" t="str">
        <f t="shared" si="8"/>
        <v>市政基础设施</v>
      </c>
      <c r="R35" s="1560" t="s">
        <v>8</v>
      </c>
      <c r="S35" s="1561">
        <f t="shared" si="9"/>
        <v>100</v>
      </c>
      <c r="T35" s="1560" t="s">
        <v>8</v>
      </c>
      <c r="U35" s="1561">
        <f t="shared" si="10"/>
        <v>100</v>
      </c>
      <c r="V35" s="1560" t="s">
        <v>8</v>
      </c>
      <c r="W35" s="1561">
        <f t="shared" si="11"/>
        <v>100</v>
      </c>
      <c r="X35" s="1554"/>
      <c r="Y35" s="3381" t="s">
        <v>550</v>
      </c>
      <c r="Z35" s="1562" t="str">
        <f t="shared" si="12"/>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1"/>
      <c r="Q36" s="1559" t="str">
        <f t="shared" si="8"/>
        <v>内部装修</v>
      </c>
      <c r="R36" s="1560" t="s">
        <v>8</v>
      </c>
      <c r="S36" s="1561">
        <f t="shared" si="9"/>
        <v>100</v>
      </c>
      <c r="T36" s="1560" t="s">
        <v>8</v>
      </c>
      <c r="U36" s="1561">
        <f t="shared" si="10"/>
        <v>100</v>
      </c>
      <c r="V36" s="1560" t="s">
        <v>8</v>
      </c>
      <c r="W36" s="1561">
        <f t="shared" si="11"/>
        <v>100</v>
      </c>
      <c r="X36" s="1554"/>
      <c r="Y36" s="3381"/>
      <c r="Z36" s="1562" t="str">
        <f t="shared" si="12"/>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1"/>
      <c r="Q37" s="1559" t="str">
        <f t="shared" si="8"/>
        <v>内部装修状况</v>
      </c>
      <c r="R37" s="1560" t="s">
        <v>8</v>
      </c>
      <c r="S37" s="1561">
        <f t="shared" si="9"/>
        <v>100</v>
      </c>
      <c r="T37" s="1560" t="s">
        <v>8</v>
      </c>
      <c r="U37" s="1561">
        <f t="shared" si="10"/>
        <v>100</v>
      </c>
      <c r="V37" s="1560" t="s">
        <v>8</v>
      </c>
      <c r="W37" s="1561">
        <f t="shared" si="11"/>
        <v>100</v>
      </c>
      <c r="X37" s="1554"/>
      <c r="Y37" s="3381"/>
      <c r="Z37" s="1562" t="str">
        <f t="shared" si="12"/>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1"/>
      <c r="Q38" s="1591">
        <f t="shared" si="8"/>
        <v>111</v>
      </c>
      <c r="R38" s="1564" t="s">
        <v>8</v>
      </c>
      <c r="S38" s="1565">
        <f t="shared" si="9"/>
        <v>100</v>
      </c>
      <c r="T38" s="1564" t="s">
        <v>8</v>
      </c>
      <c r="U38" s="1565">
        <f t="shared" si="10"/>
        <v>100</v>
      </c>
      <c r="V38" s="1564" t="s">
        <v>8</v>
      </c>
      <c r="W38" s="1565">
        <f t="shared" si="11"/>
        <v>100</v>
      </c>
      <c r="X38" s="1566"/>
      <c r="Y38" s="3381"/>
      <c r="Z38" s="1567">
        <f t="shared" si="12"/>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1"/>
      <c r="Q39" s="1559">
        <f t="shared" si="8"/>
        <v>111</v>
      </c>
      <c r="R39" s="1560" t="s">
        <v>8</v>
      </c>
      <c r="S39" s="1561">
        <f t="shared" si="9"/>
        <v>100</v>
      </c>
      <c r="T39" s="1560" t="s">
        <v>8</v>
      </c>
      <c r="U39" s="1561">
        <f t="shared" si="10"/>
        <v>100</v>
      </c>
      <c r="V39" s="1560" t="s">
        <v>8</v>
      </c>
      <c r="W39" s="1561">
        <f t="shared" si="11"/>
        <v>100</v>
      </c>
      <c r="X39" s="1554"/>
      <c r="Y39" s="3381"/>
      <c r="Z39" s="1562">
        <f t="shared" si="12"/>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8"/>
        <v>111</v>
      </c>
      <c r="R40" s="1560" t="s">
        <v>8</v>
      </c>
      <c r="S40" s="1561">
        <f t="shared" si="9"/>
        <v>100</v>
      </c>
      <c r="T40" s="1560" t="s">
        <v>8</v>
      </c>
      <c r="U40" s="1561">
        <f t="shared" si="10"/>
        <v>100</v>
      </c>
      <c r="V40" s="1560" t="s">
        <v>8</v>
      </c>
      <c r="W40" s="1561">
        <f t="shared" si="11"/>
        <v>100</v>
      </c>
      <c r="X40" s="1554"/>
      <c r="Y40" s="3481"/>
      <c r="Z40" s="1562">
        <f t="shared" si="12"/>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6" t="str">
        <f>A41</f>
        <v>成交单价（元/平方米）</v>
      </c>
      <c r="Q41" s="3376"/>
      <c r="R41" s="3480">
        <f>E41</f>
        <v>0</v>
      </c>
      <c r="S41" s="3480"/>
      <c r="T41" s="3480">
        <f>G41</f>
        <v>0</v>
      </c>
      <c r="U41" s="3480"/>
      <c r="V41" s="3480">
        <f>I41</f>
        <v>0</v>
      </c>
      <c r="W41" s="348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6" t="str">
        <f>A42</f>
        <v>比较价格（元/平方米）</v>
      </c>
      <c r="Q42" s="3376"/>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3">EDATE(D52,-1)</f>
        <v>43617</v>
      </c>
      <c r="F52" s="2760">
        <f t="shared" si="13"/>
        <v>43586</v>
      </c>
      <c r="G52" s="2760">
        <f t="shared" si="13"/>
        <v>43556</v>
      </c>
      <c r="H52" s="2760">
        <f t="shared" si="13"/>
        <v>43525</v>
      </c>
      <c r="I52" s="2760">
        <f t="shared" si="13"/>
        <v>43497</v>
      </c>
      <c r="J52" s="2760">
        <f t="shared" si="13"/>
        <v>43466</v>
      </c>
      <c r="K52" s="2760">
        <f t="shared" si="13"/>
        <v>43435</v>
      </c>
      <c r="L52" s="2760">
        <f t="shared" si="13"/>
        <v>43405</v>
      </c>
      <c r="M52" s="2760">
        <f t="shared" si="13"/>
        <v>43374</v>
      </c>
      <c r="N52" s="2760">
        <f t="shared" si="13"/>
        <v>43344</v>
      </c>
      <c r="O52" s="2760">
        <f t="shared" si="13"/>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382" t="s">
        <v>799</v>
      </c>
      <c r="F4" s="3383"/>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ht="15">
      <c r="A5" s="515"/>
      <c r="B5" s="516"/>
      <c r="C5" s="3393" t="s">
        <v>2931</v>
      </c>
      <c r="D5" s="3394"/>
      <c r="E5" s="3393" t="s">
        <v>2932</v>
      </c>
      <c r="F5" s="3394"/>
      <c r="G5" s="3393" t="s">
        <v>2933</v>
      </c>
      <c r="H5" s="3394"/>
      <c r="I5" s="3393" t="s">
        <v>2934</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2935</v>
      </c>
      <c r="D6" s="3392"/>
      <c r="E6" s="3395" t="s">
        <v>2935</v>
      </c>
      <c r="F6" s="3396"/>
      <c r="G6" s="3391" t="s">
        <v>2935</v>
      </c>
      <c r="H6" s="3392"/>
      <c r="I6" s="3391" t="s">
        <v>2935</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D18/F18</f>
        <v>1</v>
      </c>
      <c r="AB18" s="1563">
        <f>D18/H18</f>
        <v>1</v>
      </c>
      <c r="AC18" s="1563">
        <f>D18/J18</f>
        <v>1</v>
      </c>
    </row>
    <row r="19" spans="1:29" ht="15">
      <c r="A19" s="515"/>
      <c r="B19" s="578"/>
      <c r="C19" s="873"/>
      <c r="D19" s="559"/>
      <c r="E19" s="576"/>
      <c r="F19" s="557"/>
      <c r="G19" s="576"/>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9"/>
      <c r="Q24" s="1559">
        <f t="shared" ref="Q24:Q36" si="8">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9"/>
      <c r="Q25" s="1147">
        <f t="shared" si="8"/>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0" t="s">
        <v>550</v>
      </c>
      <c r="Q26" s="1559" t="str">
        <f t="shared" si="8"/>
        <v>配套类型</v>
      </c>
      <c r="R26" s="1560" t="s">
        <v>8</v>
      </c>
      <c r="S26" s="1561">
        <f t="shared" ref="S26:S36" si="9">F26</f>
        <v>100</v>
      </c>
      <c r="T26" s="1560" t="s">
        <v>8</v>
      </c>
      <c r="U26" s="1561">
        <f t="shared" ref="U26:U36" si="10">H26</f>
        <v>100</v>
      </c>
      <c r="V26" s="1560" t="s">
        <v>8</v>
      </c>
      <c r="W26" s="1561">
        <f t="shared" ref="W26:W36" si="11">J26</f>
        <v>100</v>
      </c>
      <c r="X26" s="1554"/>
      <c r="Y26" s="3381" t="s">
        <v>550</v>
      </c>
      <c r="Z26" s="1562" t="str">
        <f t="shared" ref="Z26:Z36" si="12">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1"/>
      <c r="Q27" s="1591" t="str">
        <f t="shared" si="8"/>
        <v>项目停车位配比</v>
      </c>
      <c r="R27" s="1564" t="s">
        <v>8</v>
      </c>
      <c r="S27" s="1565">
        <f t="shared" si="9"/>
        <v>100</v>
      </c>
      <c r="T27" s="1564" t="s">
        <v>8</v>
      </c>
      <c r="U27" s="1565">
        <f t="shared" si="10"/>
        <v>100</v>
      </c>
      <c r="V27" s="1564" t="s">
        <v>8</v>
      </c>
      <c r="W27" s="1565">
        <f t="shared" si="11"/>
        <v>100</v>
      </c>
      <c r="X27" s="1566"/>
      <c r="Y27" s="3381"/>
      <c r="Z27" s="1567" t="str">
        <f t="shared" si="12"/>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1"/>
      <c r="Q28" s="1559" t="str">
        <f t="shared" si="8"/>
        <v>公共部分装修</v>
      </c>
      <c r="R28" s="1560" t="s">
        <v>8</v>
      </c>
      <c r="S28" s="1561">
        <f t="shared" si="9"/>
        <v>100</v>
      </c>
      <c r="T28" s="1560" t="s">
        <v>8</v>
      </c>
      <c r="U28" s="1561">
        <f t="shared" si="10"/>
        <v>100</v>
      </c>
      <c r="V28" s="1560" t="s">
        <v>8</v>
      </c>
      <c r="W28" s="1561">
        <f t="shared" si="11"/>
        <v>100</v>
      </c>
      <c r="X28" s="1554"/>
      <c r="Y28" s="3381"/>
      <c r="Z28" s="1562" t="str">
        <f t="shared" si="12"/>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1"/>
      <c r="Q29" s="1559" t="str">
        <f t="shared" si="8"/>
        <v>成新率</v>
      </c>
      <c r="R29" s="1560" t="s">
        <v>8</v>
      </c>
      <c r="S29" s="1561" t="e">
        <f t="shared" si="9"/>
        <v>#N/A</v>
      </c>
      <c r="T29" s="1560" t="s">
        <v>8</v>
      </c>
      <c r="U29" s="1561" t="e">
        <f t="shared" si="10"/>
        <v>#N/A</v>
      </c>
      <c r="V29" s="1560" t="s">
        <v>8</v>
      </c>
      <c r="W29" s="1561" t="e">
        <f t="shared" si="11"/>
        <v>#N/A</v>
      </c>
      <c r="X29" s="1554"/>
      <c r="Y29" s="3381"/>
      <c r="Z29" s="1562" t="str">
        <f t="shared" si="12"/>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1"/>
      <c r="Q30" s="1559" t="str">
        <f t="shared" si="8"/>
        <v>物业等级</v>
      </c>
      <c r="R30" s="1560" t="s">
        <v>8</v>
      </c>
      <c r="S30" s="1561">
        <f t="shared" si="9"/>
        <v>100</v>
      </c>
      <c r="T30" s="1560" t="s">
        <v>8</v>
      </c>
      <c r="U30" s="1561">
        <f t="shared" si="10"/>
        <v>100</v>
      </c>
      <c r="V30" s="1560" t="s">
        <v>8</v>
      </c>
      <c r="W30" s="1561">
        <f t="shared" si="11"/>
        <v>100</v>
      </c>
      <c r="X30" s="1554"/>
      <c r="Y30" s="3381"/>
      <c r="Z30" s="1562" t="str">
        <f t="shared" si="12"/>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1"/>
      <c r="Q31" s="1147" t="str">
        <f t="shared" si="8"/>
        <v>停车位面积</v>
      </c>
      <c r="R31" s="1555" t="s">
        <v>8</v>
      </c>
      <c r="S31" s="1556" t="e">
        <f t="shared" si="9"/>
        <v>#N/A</v>
      </c>
      <c r="T31" s="1555" t="s">
        <v>8</v>
      </c>
      <c r="U31" s="1556" t="e">
        <f t="shared" si="10"/>
        <v>#N/A</v>
      </c>
      <c r="V31" s="1555" t="s">
        <v>8</v>
      </c>
      <c r="W31" s="1556" t="e">
        <f t="shared" si="11"/>
        <v>#N/A</v>
      </c>
      <c r="X31" s="1557"/>
      <c r="Y31" s="3381"/>
      <c r="Z31" s="1146" t="str">
        <f t="shared" si="12"/>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1" t="s">
        <v>550</v>
      </c>
      <c r="Q32" s="1559" t="str">
        <f t="shared" si="8"/>
        <v>车位类型</v>
      </c>
      <c r="R32" s="1560" t="s">
        <v>8</v>
      </c>
      <c r="S32" s="1561">
        <f t="shared" si="9"/>
        <v>100</v>
      </c>
      <c r="T32" s="1560" t="s">
        <v>8</v>
      </c>
      <c r="U32" s="1561">
        <f t="shared" si="10"/>
        <v>100</v>
      </c>
      <c r="V32" s="1560" t="s">
        <v>8</v>
      </c>
      <c r="W32" s="1561">
        <f t="shared" si="11"/>
        <v>100</v>
      </c>
      <c r="X32" s="1554"/>
      <c r="Y32" s="3381" t="s">
        <v>550</v>
      </c>
      <c r="Z32" s="1562" t="str">
        <f t="shared" si="12"/>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1"/>
      <c r="Q33" s="1559" t="str">
        <f t="shared" si="8"/>
        <v>是否直接入户</v>
      </c>
      <c r="R33" s="1560" t="s">
        <v>8</v>
      </c>
      <c r="S33" s="1561">
        <f t="shared" si="9"/>
        <v>100</v>
      </c>
      <c r="T33" s="1560" t="s">
        <v>8</v>
      </c>
      <c r="U33" s="1561">
        <f t="shared" si="10"/>
        <v>100</v>
      </c>
      <c r="V33" s="1560" t="s">
        <v>8</v>
      </c>
      <c r="W33" s="1561">
        <f t="shared" si="11"/>
        <v>100</v>
      </c>
      <c r="X33" s="1554"/>
      <c r="Y33" s="3381"/>
      <c r="Z33" s="1562" t="str">
        <f t="shared" si="12"/>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1"/>
      <c r="Q34" s="1559">
        <f t="shared" si="8"/>
        <v>111</v>
      </c>
      <c r="R34" s="1560" t="s">
        <v>8</v>
      </c>
      <c r="S34" s="1561">
        <f t="shared" si="9"/>
        <v>100</v>
      </c>
      <c r="T34" s="1560" t="s">
        <v>8</v>
      </c>
      <c r="U34" s="1561">
        <f t="shared" si="10"/>
        <v>100</v>
      </c>
      <c r="V34" s="1560" t="s">
        <v>8</v>
      </c>
      <c r="W34" s="1561">
        <f t="shared" si="11"/>
        <v>100</v>
      </c>
      <c r="X34" s="1554"/>
      <c r="Y34" s="3381"/>
      <c r="Z34" s="1562">
        <f t="shared" si="12"/>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1"/>
      <c r="Q35" s="1591">
        <f t="shared" si="8"/>
        <v>111</v>
      </c>
      <c r="R35" s="1564" t="s">
        <v>8</v>
      </c>
      <c r="S35" s="1565">
        <f t="shared" si="9"/>
        <v>100</v>
      </c>
      <c r="T35" s="1564" t="s">
        <v>8</v>
      </c>
      <c r="U35" s="1565">
        <f t="shared" si="10"/>
        <v>100</v>
      </c>
      <c r="V35" s="1564" t="s">
        <v>8</v>
      </c>
      <c r="W35" s="1565">
        <f t="shared" si="11"/>
        <v>100</v>
      </c>
      <c r="X35" s="1566"/>
      <c r="Y35" s="3381"/>
      <c r="Z35" s="1567">
        <f t="shared" si="12"/>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1"/>
      <c r="Q36" s="1559">
        <f t="shared" si="8"/>
        <v>111</v>
      </c>
      <c r="R36" s="1560" t="s">
        <v>8</v>
      </c>
      <c r="S36" s="1561">
        <f t="shared" si="9"/>
        <v>100</v>
      </c>
      <c r="T36" s="1560" t="s">
        <v>8</v>
      </c>
      <c r="U36" s="1561">
        <f t="shared" si="10"/>
        <v>100</v>
      </c>
      <c r="V36" s="1560" t="s">
        <v>8</v>
      </c>
      <c r="W36" s="1561">
        <f t="shared" si="11"/>
        <v>100</v>
      </c>
      <c r="X36" s="1554"/>
      <c r="Y36" s="3381"/>
      <c r="Z36" s="1562">
        <f t="shared" si="12"/>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6" t="str">
        <f>A37</f>
        <v>成交单价</v>
      </c>
      <c r="Q37" s="3376"/>
      <c r="R37" s="3480">
        <f>E37</f>
        <v>0</v>
      </c>
      <c r="S37" s="3480"/>
      <c r="T37" s="3480">
        <f>G37</f>
        <v>0</v>
      </c>
      <c r="U37" s="3480"/>
      <c r="V37" s="3480">
        <f>I37</f>
        <v>0</v>
      </c>
      <c r="W37" s="348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6" t="str">
        <f>A38</f>
        <v>比较价格（元/平方米）</v>
      </c>
      <c r="Q38" s="3376"/>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479" t="e">
        <f>IF(F1="售价",ROUND(AVERAGE(R38:V38),0),ROUND(AVERAGE(R38:V38),1))</f>
        <v>#DIV/0!</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3">EDATE(D48,-1)</f>
        <v>43617</v>
      </c>
      <c r="F48" s="2760">
        <f t="shared" si="13"/>
        <v>43586</v>
      </c>
      <c r="G48" s="2760">
        <f t="shared" si="13"/>
        <v>43556</v>
      </c>
      <c r="H48" s="2760">
        <f t="shared" si="13"/>
        <v>43525</v>
      </c>
      <c r="I48" s="2760">
        <f t="shared" si="13"/>
        <v>43497</v>
      </c>
      <c r="J48" s="2760">
        <f t="shared" si="13"/>
        <v>43466</v>
      </c>
      <c r="K48" s="2760">
        <f t="shared" si="13"/>
        <v>43435</v>
      </c>
      <c r="L48" s="2760">
        <f t="shared" si="13"/>
        <v>43405</v>
      </c>
      <c r="M48" s="2760">
        <f t="shared" si="13"/>
        <v>43374</v>
      </c>
      <c r="N48" s="2760">
        <f t="shared" si="13"/>
        <v>43344</v>
      </c>
      <c r="O48" s="2760">
        <f t="shared" si="13"/>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20000平方米。根据《建设工程规划许可证》[]、《出让合同》[]，估价对象规划建筑面积为28000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2019年8月22日（评估专业人员勘察现场之日）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根据《国有土地使用证》[]，估价对象（分摊）出让国有建设用地使用权面积为20000平方米。根据《建设工程规划许可证》[]、《出让合同》[]，估价对象规划建筑面积为28000平方米。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406" t="s">
        <v>799</v>
      </c>
      <c r="F4" s="3407"/>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ht="15">
      <c r="A5" s="515"/>
      <c r="B5" s="516"/>
      <c r="C5" s="3393" t="s">
        <v>2931</v>
      </c>
      <c r="D5" s="3394"/>
      <c r="E5" s="3408" t="s">
        <v>2932</v>
      </c>
      <c r="F5" s="3409"/>
      <c r="G5" s="3393" t="s">
        <v>2933</v>
      </c>
      <c r="H5" s="3394"/>
      <c r="I5" s="3393" t="s">
        <v>2934</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2935</v>
      </c>
      <c r="D6" s="3392"/>
      <c r="E6" s="3410" t="s">
        <v>2935</v>
      </c>
      <c r="F6" s="3411"/>
      <c r="G6" s="3391" t="s">
        <v>2935</v>
      </c>
      <c r="H6" s="3392"/>
      <c r="I6" s="3391" t="s">
        <v>2935</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D18/F18</f>
        <v>1</v>
      </c>
      <c r="AB18" s="1563">
        <f>D18/H18</f>
        <v>1</v>
      </c>
      <c r="AC18" s="1563">
        <f>D18/J18</f>
        <v>1</v>
      </c>
    </row>
    <row r="19" spans="1:29" ht="15">
      <c r="A19" s="532"/>
      <c r="B19" s="578"/>
      <c r="C19" s="873"/>
      <c r="D19" s="559"/>
      <c r="E19" s="873"/>
      <c r="F19" s="563"/>
      <c r="G19" s="873"/>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9"/>
      <c r="Q24" s="1559">
        <f t="shared" ref="Q24:Q34" si="8">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9"/>
      <c r="Q25" s="1147">
        <f t="shared" si="8"/>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0" t="s">
        <v>821</v>
      </c>
      <c r="Q26" s="1559" t="str">
        <f t="shared" si="8"/>
        <v>公共部分装修</v>
      </c>
      <c r="R26" s="1560" t="s">
        <v>8</v>
      </c>
      <c r="S26" s="1561">
        <f t="shared" ref="S26:S34" si="9">F26</f>
        <v>100</v>
      </c>
      <c r="T26" s="1560" t="s">
        <v>8</v>
      </c>
      <c r="U26" s="1561">
        <f t="shared" ref="U26:U34" si="10">H26</f>
        <v>100</v>
      </c>
      <c r="V26" s="1560" t="s">
        <v>8</v>
      </c>
      <c r="W26" s="1561">
        <f t="shared" ref="W26:W34" si="11">J26</f>
        <v>100</v>
      </c>
      <c r="X26" s="1554"/>
      <c r="Y26" s="3381" t="s">
        <v>821</v>
      </c>
      <c r="Z26" s="1562" t="str">
        <f t="shared" ref="Z26:Z34" si="12">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1"/>
      <c r="Q27" s="1591" t="str">
        <f t="shared" si="8"/>
        <v>成新率</v>
      </c>
      <c r="R27" s="1564" t="s">
        <v>8</v>
      </c>
      <c r="S27" s="1565" t="e">
        <f t="shared" si="9"/>
        <v>#N/A</v>
      </c>
      <c r="T27" s="1564" t="s">
        <v>8</v>
      </c>
      <c r="U27" s="1565" t="e">
        <f t="shared" si="10"/>
        <v>#N/A</v>
      </c>
      <c r="V27" s="1564" t="s">
        <v>8</v>
      </c>
      <c r="W27" s="1565" t="e">
        <f t="shared" si="11"/>
        <v>#N/A</v>
      </c>
      <c r="X27" s="1566"/>
      <c r="Y27" s="3381"/>
      <c r="Z27" s="1567" t="str">
        <f t="shared" si="12"/>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1"/>
      <c r="Q28" s="1559" t="str">
        <f t="shared" si="8"/>
        <v>物业等级</v>
      </c>
      <c r="R28" s="1560" t="s">
        <v>8</v>
      </c>
      <c r="S28" s="1561">
        <f t="shared" si="9"/>
        <v>100</v>
      </c>
      <c r="T28" s="1560" t="s">
        <v>8</v>
      </c>
      <c r="U28" s="1561">
        <f t="shared" si="10"/>
        <v>100</v>
      </c>
      <c r="V28" s="1560" t="s">
        <v>8</v>
      </c>
      <c r="W28" s="1561">
        <f t="shared" si="11"/>
        <v>100</v>
      </c>
      <c r="X28" s="1554"/>
      <c r="Y28" s="3381"/>
      <c r="Z28" s="1562" t="str">
        <f t="shared" si="12"/>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1"/>
      <c r="Q29" s="1559" t="str">
        <f t="shared" si="8"/>
        <v>有无电梯</v>
      </c>
      <c r="R29" s="1560" t="s">
        <v>8</v>
      </c>
      <c r="S29" s="1561">
        <f t="shared" si="9"/>
        <v>100</v>
      </c>
      <c r="T29" s="1560" t="s">
        <v>8</v>
      </c>
      <c r="U29" s="1561">
        <f t="shared" si="10"/>
        <v>100</v>
      </c>
      <c r="V29" s="1560" t="s">
        <v>8</v>
      </c>
      <c r="W29" s="1561">
        <f t="shared" si="11"/>
        <v>100</v>
      </c>
      <c r="X29" s="1554"/>
      <c r="Y29" s="3381"/>
      <c r="Z29" s="1562" t="str">
        <f t="shared" si="12"/>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1"/>
      <c r="Q30" s="1559" t="str">
        <f t="shared" si="8"/>
        <v>建筑面积</v>
      </c>
      <c r="R30" s="1560" t="s">
        <v>8</v>
      </c>
      <c r="S30" s="1561" t="e">
        <f t="shared" si="9"/>
        <v>#N/A</v>
      </c>
      <c r="T30" s="1560" t="s">
        <v>8</v>
      </c>
      <c r="U30" s="1561" t="e">
        <f t="shared" si="10"/>
        <v>#N/A</v>
      </c>
      <c r="V30" s="1560" t="s">
        <v>8</v>
      </c>
      <c r="W30" s="1561" t="e">
        <f t="shared" si="11"/>
        <v>#N/A</v>
      </c>
      <c r="X30" s="1554"/>
      <c r="Y30" s="3381"/>
      <c r="Z30" s="1562" t="str">
        <f t="shared" si="12"/>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1"/>
      <c r="Q31" s="1147" t="str">
        <f t="shared" si="8"/>
        <v>是否封闭</v>
      </c>
      <c r="R31" s="1555" t="s">
        <v>8</v>
      </c>
      <c r="S31" s="1556">
        <f t="shared" si="9"/>
        <v>100</v>
      </c>
      <c r="T31" s="1555" t="s">
        <v>8</v>
      </c>
      <c r="U31" s="1556">
        <f t="shared" si="10"/>
        <v>100</v>
      </c>
      <c r="V31" s="1555" t="s">
        <v>8</v>
      </c>
      <c r="W31" s="1556">
        <f t="shared" si="11"/>
        <v>100</v>
      </c>
      <c r="X31" s="1557"/>
      <c r="Y31" s="3381"/>
      <c r="Z31" s="1146" t="str">
        <f t="shared" si="12"/>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1" t="s">
        <v>550</v>
      </c>
      <c r="Q32" s="1559">
        <f t="shared" si="8"/>
        <v>111</v>
      </c>
      <c r="R32" s="1560" t="s">
        <v>8</v>
      </c>
      <c r="S32" s="1561">
        <f t="shared" si="9"/>
        <v>100</v>
      </c>
      <c r="T32" s="1560" t="s">
        <v>8</v>
      </c>
      <c r="U32" s="1561">
        <f t="shared" si="10"/>
        <v>100</v>
      </c>
      <c r="V32" s="1560" t="s">
        <v>8</v>
      </c>
      <c r="W32" s="1561">
        <f t="shared" si="11"/>
        <v>100</v>
      </c>
      <c r="X32" s="1554"/>
      <c r="Y32" s="3381" t="s">
        <v>550</v>
      </c>
      <c r="Z32" s="1562">
        <f t="shared" si="12"/>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1"/>
      <c r="Q33" s="1559">
        <f t="shared" si="8"/>
        <v>111</v>
      </c>
      <c r="R33" s="1560" t="s">
        <v>8</v>
      </c>
      <c r="S33" s="1561">
        <f t="shared" si="9"/>
        <v>100</v>
      </c>
      <c r="T33" s="1560" t="s">
        <v>8</v>
      </c>
      <c r="U33" s="1561">
        <f t="shared" si="10"/>
        <v>100</v>
      </c>
      <c r="V33" s="1560" t="s">
        <v>8</v>
      </c>
      <c r="W33" s="1561">
        <f t="shared" si="11"/>
        <v>100</v>
      </c>
      <c r="X33" s="1554"/>
      <c r="Y33" s="3381"/>
      <c r="Z33" s="1562">
        <f t="shared" si="12"/>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1"/>
      <c r="Q34" s="1559">
        <f t="shared" si="8"/>
        <v>111</v>
      </c>
      <c r="R34" s="1560" t="s">
        <v>8</v>
      </c>
      <c r="S34" s="1561">
        <f t="shared" si="9"/>
        <v>100</v>
      </c>
      <c r="T34" s="1560" t="s">
        <v>8</v>
      </c>
      <c r="U34" s="1561">
        <f t="shared" si="10"/>
        <v>100</v>
      </c>
      <c r="V34" s="1560" t="s">
        <v>8</v>
      </c>
      <c r="W34" s="1561">
        <f t="shared" si="11"/>
        <v>100</v>
      </c>
      <c r="X34" s="1554"/>
      <c r="Y34" s="3381"/>
      <c r="Z34" s="1562">
        <f t="shared" si="12"/>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6" t="str">
        <f>A35</f>
        <v>成交单价（元/平方米）</v>
      </c>
      <c r="Q35" s="3376"/>
      <c r="R35" s="3480">
        <f>E35</f>
        <v>0</v>
      </c>
      <c r="S35" s="3480"/>
      <c r="T35" s="3480">
        <f>G35</f>
        <v>0</v>
      </c>
      <c r="U35" s="3480"/>
      <c r="V35" s="3480">
        <f>I35</f>
        <v>0</v>
      </c>
      <c r="W35" s="348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6" t="str">
        <f>A36</f>
        <v>比较价格（元/平方米）</v>
      </c>
      <c r="Q36" s="3376"/>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3">EDATE(D46,-1)</f>
        <v>43617</v>
      </c>
      <c r="F46" s="2760">
        <f t="shared" si="13"/>
        <v>43586</v>
      </c>
      <c r="G46" s="2760">
        <f t="shared" si="13"/>
        <v>43556</v>
      </c>
      <c r="H46" s="2760">
        <f t="shared" si="13"/>
        <v>43525</v>
      </c>
      <c r="I46" s="2760">
        <f t="shared" si="13"/>
        <v>43497</v>
      </c>
      <c r="J46" s="2760">
        <f t="shared" si="13"/>
        <v>43466</v>
      </c>
      <c r="K46" s="2760">
        <f t="shared" si="13"/>
        <v>43435</v>
      </c>
      <c r="L46" s="2760">
        <f t="shared" si="13"/>
        <v>43405</v>
      </c>
      <c r="M46" s="2760">
        <f t="shared" si="13"/>
        <v>43374</v>
      </c>
      <c r="N46" s="2760">
        <f t="shared" si="13"/>
        <v>43344</v>
      </c>
      <c r="O46" s="2760">
        <f t="shared" si="13"/>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9" t="s">
        <v>2304</v>
      </c>
      <c r="D1" s="3490"/>
      <c r="E1" s="3490"/>
      <c r="F1" s="3490"/>
      <c r="G1" s="3490"/>
      <c r="H1" s="3490"/>
      <c r="I1" s="3490"/>
      <c r="J1" s="3490"/>
      <c r="K1" s="3490"/>
      <c r="L1" s="3490"/>
      <c r="M1" s="3490"/>
      <c r="N1" s="3490"/>
      <c r="O1" s="3490"/>
      <c r="P1" s="3490"/>
      <c r="Q1" s="3490"/>
      <c r="R1" s="3490"/>
      <c r="S1" s="349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2">D6-$T5</f>
        <v>100</v>
      </c>
      <c r="F6" s="1955">
        <f t="shared" si="2"/>
        <v>100</v>
      </c>
      <c r="G6" s="1955">
        <f t="shared" si="2"/>
        <v>100</v>
      </c>
      <c r="H6" s="1955">
        <f t="shared" si="2"/>
        <v>100</v>
      </c>
      <c r="I6" s="1955">
        <f t="shared" si="2"/>
        <v>100</v>
      </c>
      <c r="J6" s="1955">
        <f t="shared" si="2"/>
        <v>100</v>
      </c>
      <c r="K6" s="1955">
        <f t="shared" si="2"/>
        <v>100</v>
      </c>
      <c r="L6" s="1955">
        <f t="shared" si="2"/>
        <v>100</v>
      </c>
      <c r="M6" s="1955">
        <f t="shared" si="2"/>
        <v>100</v>
      </c>
      <c r="N6" s="1955">
        <f t="shared" si="2"/>
        <v>100</v>
      </c>
      <c r="O6" s="1955">
        <f t="shared" si="2"/>
        <v>100</v>
      </c>
      <c r="P6" s="1955">
        <f t="shared" si="2"/>
        <v>100</v>
      </c>
      <c r="Q6" s="1955">
        <f t="shared" si="2"/>
        <v>100</v>
      </c>
      <c r="R6" s="1955">
        <f t="shared" si="2"/>
        <v>100</v>
      </c>
      <c r="S6" s="1955">
        <f t="shared" si="2"/>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3">D8-$T7</f>
        <v>100</v>
      </c>
      <c r="F8" s="1955">
        <f t="shared" si="3"/>
        <v>100</v>
      </c>
      <c r="G8" s="1955">
        <f t="shared" si="3"/>
        <v>100</v>
      </c>
      <c r="H8" s="1955">
        <f t="shared" si="3"/>
        <v>100</v>
      </c>
      <c r="I8" s="1955">
        <f t="shared" si="3"/>
        <v>100</v>
      </c>
      <c r="J8" s="1955">
        <f t="shared" si="3"/>
        <v>100</v>
      </c>
      <c r="K8" s="1955">
        <f t="shared" si="3"/>
        <v>100</v>
      </c>
      <c r="L8" s="1955">
        <f t="shared" si="3"/>
        <v>100</v>
      </c>
      <c r="M8" s="1955">
        <f t="shared" si="3"/>
        <v>100</v>
      </c>
      <c r="N8" s="1955">
        <f t="shared" si="3"/>
        <v>100</v>
      </c>
      <c r="O8" s="1955">
        <f t="shared" si="3"/>
        <v>100</v>
      </c>
      <c r="P8" s="1955">
        <f t="shared" si="3"/>
        <v>100</v>
      </c>
      <c r="Q8" s="1955">
        <f t="shared" si="3"/>
        <v>100</v>
      </c>
      <c r="R8" s="1955">
        <f t="shared" si="3"/>
        <v>100</v>
      </c>
      <c r="S8" s="1955">
        <f t="shared" si="3"/>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4">D10-$T9</f>
        <v>100</v>
      </c>
      <c r="F10" s="2253">
        <f t="shared" si="4"/>
        <v>100</v>
      </c>
      <c r="G10" s="2253">
        <f t="shared" si="4"/>
        <v>100</v>
      </c>
      <c r="H10" s="2253">
        <f t="shared" si="4"/>
        <v>100</v>
      </c>
      <c r="I10" s="2253">
        <f t="shared" si="4"/>
        <v>100</v>
      </c>
      <c r="J10" s="2253">
        <f t="shared" si="4"/>
        <v>100</v>
      </c>
      <c r="K10" s="2253">
        <f t="shared" si="4"/>
        <v>100</v>
      </c>
      <c r="L10" s="2253">
        <f t="shared" si="4"/>
        <v>100</v>
      </c>
      <c r="M10" s="2253">
        <f t="shared" si="4"/>
        <v>100</v>
      </c>
      <c r="N10" s="2253">
        <f t="shared" si="4"/>
        <v>100</v>
      </c>
      <c r="O10" s="2253">
        <f t="shared" si="4"/>
        <v>100</v>
      </c>
      <c r="P10" s="2253">
        <f t="shared" si="4"/>
        <v>100</v>
      </c>
      <c r="Q10" s="2253">
        <f t="shared" si="4"/>
        <v>100</v>
      </c>
      <c r="R10" s="2253">
        <f t="shared" si="4"/>
        <v>100</v>
      </c>
      <c r="S10" s="2253">
        <f t="shared" si="4"/>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5">D12-$T11</f>
        <v>100</v>
      </c>
      <c r="F12" s="1955">
        <f t="shared" si="5"/>
        <v>100</v>
      </c>
      <c r="G12" s="1955">
        <f t="shared" si="5"/>
        <v>100</v>
      </c>
      <c r="H12" s="1955">
        <f t="shared" si="5"/>
        <v>100</v>
      </c>
      <c r="I12" s="1955">
        <f t="shared" si="5"/>
        <v>100</v>
      </c>
      <c r="J12" s="1955">
        <f t="shared" si="5"/>
        <v>100</v>
      </c>
      <c r="K12" s="1955">
        <f t="shared" si="5"/>
        <v>100</v>
      </c>
      <c r="L12" s="1955">
        <f t="shared" si="5"/>
        <v>100</v>
      </c>
      <c r="M12" s="1955">
        <f t="shared" si="5"/>
        <v>100</v>
      </c>
      <c r="N12" s="1955">
        <f t="shared" si="5"/>
        <v>100</v>
      </c>
      <c r="O12" s="1955">
        <f t="shared" si="5"/>
        <v>100</v>
      </c>
      <c r="P12" s="1955">
        <f t="shared" si="5"/>
        <v>100</v>
      </c>
      <c r="Q12" s="1955">
        <f t="shared" si="5"/>
        <v>100</v>
      </c>
      <c r="R12" s="1955">
        <f t="shared" si="5"/>
        <v>100</v>
      </c>
      <c r="S12" s="1955">
        <f t="shared" si="5"/>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43699</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1</v>
      </c>
      <c r="D2" s="2956" t="s">
        <v>2789</v>
      </c>
      <c r="E2" s="2959">
        <f ca="1">INDIRECT("I"&amp;$I$1)/100</f>
        <v>4.3499999999999997E-2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2038</v>
      </c>
      <c r="B1" s="3196"/>
      <c r="C1" s="3196"/>
      <c r="D1" s="3196"/>
      <c r="E1" s="3196"/>
      <c r="F1" s="3196"/>
      <c r="G1" s="3196"/>
      <c r="H1" s="3196"/>
      <c r="I1" s="3196"/>
      <c r="J1" s="3196"/>
      <c r="K1" s="3196"/>
      <c r="L1" s="3196"/>
      <c r="M1" s="3196"/>
      <c r="N1" s="3196"/>
      <c r="O1" s="3196"/>
      <c r="P1" s="3196"/>
      <c r="Q1" s="3196"/>
      <c r="R1" s="3196"/>
    </row>
    <row r="2" spans="1:18">
      <c r="A2" s="1793" t="s">
        <v>2040</v>
      </c>
      <c r="B2" s="1793"/>
      <c r="C2" s="1793"/>
      <c r="D2" s="1793"/>
      <c r="E2" s="1793"/>
      <c r="F2" s="1793"/>
      <c r="G2" s="1793"/>
      <c r="H2" s="1793"/>
      <c r="I2" s="1794"/>
      <c r="J2" s="1794"/>
      <c r="K2" s="1795" t="str">
        <f>"估价期日："&amp;TEXT(项目基本情况!D3,"yyyy年m月d日;;")</f>
        <v>估价期日：2019年8月22日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200" t="s">
        <v>2031</v>
      </c>
      <c r="F3" s="3200"/>
      <c r="G3" s="3200"/>
      <c r="H3" s="3200" t="s">
        <v>2032</v>
      </c>
      <c r="I3" s="3200"/>
      <c r="J3" s="3200"/>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4" t="s">
        <v>2042</v>
      </c>
      <c r="F4" s="2614" t="s">
        <v>2744</v>
      </c>
      <c r="G4" s="2614" t="s">
        <v>2036</v>
      </c>
      <c r="H4" s="2614" t="s">
        <v>2037</v>
      </c>
      <c r="I4" s="2614" t="s">
        <v>2745</v>
      </c>
      <c r="J4" s="2614" t="s">
        <v>2036</v>
      </c>
      <c r="K4" s="3198"/>
      <c r="L4" s="3198"/>
      <c r="M4" s="3197"/>
      <c r="N4" s="3199"/>
      <c r="O4" s="3197"/>
      <c r="P4" s="3198"/>
      <c r="Q4" s="3198"/>
      <c r="R4" s="3198"/>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20000</v>
      </c>
      <c r="O5" s="1796">
        <f>项目基本情况!C21</f>
        <v>28000</v>
      </c>
      <c r="P5" s="1796">
        <f ca="1">结果表!E42</f>
        <v>3505</v>
      </c>
      <c r="Q5" s="1796">
        <f ca="1">结果表!D42</f>
        <v>2504</v>
      </c>
      <c r="R5" s="1797">
        <f ca="1">结果表!C42</f>
        <v>7010</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8" t="str">
        <f>结果表!O39</f>
        <v>——</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8"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4" t="s">
        <v>2065</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2066</v>
      </c>
      <c r="B5" s="3207"/>
      <c r="C5" s="3207"/>
      <c r="D5" s="3207"/>
    </row>
    <row r="6" spans="1:4">
      <c r="A6" s="3204" t="s">
        <v>2044</v>
      </c>
      <c r="B6" s="3204"/>
      <c r="C6" s="3204"/>
      <c r="D6" s="3204"/>
    </row>
    <row r="7" spans="1:4" ht="33" customHeight="1">
      <c r="A7" s="3204" t="s">
        <v>2575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2068</v>
      </c>
      <c r="B12" s="3207"/>
      <c r="C12" s="3207"/>
      <c r="D12" s="3207"/>
    </row>
    <row r="13" spans="1:4">
      <c r="A13" s="3205" t="s">
        <v>2746</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2702</v>
      </c>
      <c r="B17" s="3204"/>
      <c r="C17" s="3204"/>
      <c r="D17" s="3204"/>
    </row>
    <row r="18" spans="1:4">
      <c r="A18" s="3204" t="s">
        <v>2694</v>
      </c>
      <c r="B18" s="3204"/>
      <c r="C18" s="3204"/>
      <c r="D18" s="3204"/>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4" t="s">
        <v>2699</v>
      </c>
      <c r="B23" s="3204"/>
      <c r="C23" s="3204"/>
      <c r="D23" s="3204"/>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6" t="s">
        <v>53</v>
      </c>
      <c r="B15" s="3217" t="s">
        <v>846</v>
      </c>
      <c r="C15" s="3213"/>
    </row>
    <row r="16" spans="1:7" ht="14.25">
      <c r="A16" s="3216"/>
      <c r="B16" s="3214" t="s">
        <v>54</v>
      </c>
      <c r="C16" s="1168" t="s">
        <v>53</v>
      </c>
    </row>
    <row r="17" spans="1:3" ht="14.25">
      <c r="A17" s="3216"/>
      <c r="B17" s="3214"/>
      <c r="C17" s="1168" t="s">
        <v>55</v>
      </c>
    </row>
    <row r="18" spans="1:3" ht="14.25">
      <c r="A18" s="3216"/>
      <c r="B18" s="3214"/>
      <c r="C18" s="1168" t="s">
        <v>56</v>
      </c>
    </row>
    <row r="19" spans="1:3" ht="14.25">
      <c r="A19" s="3216"/>
      <c r="B19" s="3212" t="s">
        <v>57</v>
      </c>
      <c r="C19" s="3213"/>
    </row>
    <row r="20" spans="1:3" ht="14.25">
      <c r="A20" s="1169" t="s">
        <v>58</v>
      </c>
      <c r="B20" s="1170"/>
      <c r="C20" s="1171"/>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2" t="s">
        <v>837</v>
      </c>
    </row>
    <row r="25" spans="1:3" ht="14.25">
      <c r="A25" s="3215"/>
      <c r="B25" s="3219"/>
      <c r="C25" s="1172" t="s">
        <v>838</v>
      </c>
    </row>
    <row r="26" spans="1:3" ht="14.25">
      <c r="A26" s="3215"/>
      <c r="B26" s="3219"/>
      <c r="C26" s="1172" t="s">
        <v>839</v>
      </c>
    </row>
    <row r="27" spans="1:3" ht="14.25">
      <c r="A27" s="3215"/>
      <c r="B27" s="3219"/>
      <c r="C27" s="1172" t="s">
        <v>840</v>
      </c>
    </row>
    <row r="28" spans="1:3" ht="14.25">
      <c r="A28" s="3215"/>
      <c r="B28" s="3219"/>
      <c r="C28" s="1172" t="s">
        <v>841</v>
      </c>
    </row>
    <row r="29" spans="1:3" ht="14.25">
      <c r="A29" s="3215"/>
      <c r="B29" s="3219"/>
      <c r="C29" s="1172" t="s">
        <v>842</v>
      </c>
    </row>
    <row r="30" spans="1:3" ht="14.25">
      <c r="A30" s="3215"/>
      <c r="B30" s="3219"/>
      <c r="C30" s="1172" t="s">
        <v>843</v>
      </c>
    </row>
    <row r="31" spans="1:3" ht="14.25">
      <c r="A31" s="3215"/>
      <c r="B31" s="3219"/>
      <c r="C31" s="1172" t="s">
        <v>844</v>
      </c>
    </row>
    <row r="32" spans="1:3" ht="14.25">
      <c r="A32" s="3215"/>
      <c r="B32" s="3219"/>
      <c r="C32" s="1172" t="s">
        <v>1646</v>
      </c>
    </row>
    <row r="33" spans="1:3" ht="14.25">
      <c r="A33" s="3215"/>
      <c r="B33" s="3209" t="s">
        <v>1652</v>
      </c>
      <c r="C33" s="1172" t="s">
        <v>1647</v>
      </c>
    </row>
    <row r="34" spans="1:3" ht="14.25">
      <c r="A34" s="3215"/>
      <c r="B34" s="3210"/>
      <c r="C34" s="1177" t="s">
        <v>1648</v>
      </c>
    </row>
    <row r="35" spans="1:3" ht="14.25">
      <c r="A35" s="3215"/>
      <c r="B35" s="3210"/>
      <c r="C35" s="1178" t="s">
        <v>1649</v>
      </c>
    </row>
    <row r="36" spans="1:3" ht="14.25">
      <c r="A36" s="3215"/>
      <c r="B36" s="3210"/>
      <c r="C36" s="1178" t="s">
        <v>1650</v>
      </c>
    </row>
    <row r="37" spans="1:3" ht="14.25">
      <c r="A37" s="3215"/>
      <c r="B37" s="321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43699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0" t="s">
        <v>1926</v>
      </c>
      <c r="B25" s="3220"/>
      <c r="C25" s="3220"/>
      <c r="D25" s="3220"/>
      <c r="E25" s="3220"/>
      <c r="F25" s="3220"/>
      <c r="G25" s="3220"/>
    </row>
    <row r="26" spans="1:7" ht="20.25" customHeight="1">
      <c r="A26" s="3221" t="s">
        <v>1927</v>
      </c>
      <c r="B26" s="3221"/>
      <c r="C26" s="3221"/>
      <c r="D26" s="3221" t="s">
        <v>1928</v>
      </c>
      <c r="E26" s="3221"/>
      <c r="F26" s="3221"/>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2"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c r="D53" s="1753"/>
      <c r="E53" s="1753"/>
    </row>
    <row r="54" spans="1:5">
      <c r="A54" s="3222"/>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2"/>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2"/>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2"/>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土地信息</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2019-08-22T06:31:42Z</dcterms:modified>
</cp:coreProperties>
</file>