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收益法-办公" sheetId="15" r:id="rId20"/>
    <sheet name="收益法-办公（元）" sheetId="67" state="hidden" r:id="rId21"/>
    <sheet name="收益法（汇总）" sheetId="70" state="hidden" r:id="rId22"/>
    <sheet name="酒店收入计算" sheetId="66" state="hidden" r:id="rId23"/>
    <sheet name="比较法-住宅" sheetId="21" state="hidden" r:id="rId24"/>
    <sheet name="比较法-商业" sheetId="33" state="hidden" r:id="rId25"/>
    <sheet name="租金求取" sheetId="82" r:id="rId26"/>
    <sheet name="比较法-办公" sheetId="34" r:id="rId27"/>
    <sheet name="比较法-工业" sheetId="37" state="hidden" r:id="rId28"/>
    <sheet name="办公案例" sheetId="77" r:id="rId29"/>
    <sheet name="典型户型修正" sheetId="31" r:id="rId30"/>
    <sheet name="结果表-车库" sheetId="81" r:id="rId31"/>
    <sheet name="成本法" sheetId="68" state="hidden" r:id="rId32"/>
    <sheet name="成本法 (元)" sheetId="69" r:id="rId33"/>
    <sheet name="比较法-车位" sheetId="35" state="hidden" r:id="rId34"/>
    <sheet name="比较法-仓储" sheetId="36" state="hidden" r:id="rId35"/>
    <sheet name="土地比较法-住宅、综合" sheetId="39" state="hidden" r:id="rId36"/>
    <sheet name="土地比较法-工业" sheetId="40" state="hidden" r:id="rId37"/>
    <sheet name="收益法-车库（元）" sheetId="80"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19">'收益法-办公'!$A$1:$AK$69</definedName>
    <definedName name="_xlnm.Print_Area" localSheetId="20">'收益法-办公（元）'!$A$1:$AK$69</definedName>
    <definedName name="_xlnm.Print_Area" localSheetId="37">'收益法-车库（元）'!$A$1:$AK$69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6" i="82" l="1"/>
  <c r="F12" i="82"/>
  <c r="F10" i="82"/>
  <c r="E12" i="82"/>
  <c r="E10" i="82"/>
  <c r="D12" i="82"/>
  <c r="D37" i="43"/>
  <c r="B25" i="31"/>
  <c r="B24" i="31"/>
  <c r="C15" i="74" l="1"/>
  <c r="B15" i="74"/>
  <c r="G19" i="6"/>
  <c r="F19" i="6"/>
  <c r="A7" i="1"/>
  <c r="A6" i="1"/>
  <c r="G1" i="69"/>
  <c r="K8" i="1"/>
  <c r="E20" i="6"/>
  <c r="BD10" i="3"/>
  <c r="E8" i="6"/>
  <c r="F27" i="6"/>
  <c r="E19" i="6"/>
  <c r="BD13" i="3"/>
  <c r="BA13" i="3"/>
  <c r="BD14" i="3"/>
  <c r="BA14" i="3"/>
  <c r="BD15" i="3"/>
  <c r="BA15" i="3"/>
  <c r="BD16" i="3"/>
  <c r="BA16" i="3"/>
  <c r="BD17" i="3"/>
  <c r="BA17" i="3"/>
  <c r="BD18" i="3"/>
  <c r="BA18" i="3"/>
  <c r="BD19" i="3"/>
  <c r="BA19" i="3"/>
  <c r="BD20" i="3"/>
  <c r="BA20" i="3"/>
  <c r="BA5" i="3"/>
  <c r="E27" i="6"/>
  <c r="BR20" i="3"/>
  <c r="BR14" i="3"/>
  <c r="BR13" i="3"/>
  <c r="BR5" i="3"/>
  <c r="G28" i="6"/>
  <c r="E28" i="6"/>
  <c r="K21" i="6"/>
  <c r="S8" i="1"/>
  <c r="G1" i="80"/>
  <c r="L21" i="6"/>
  <c r="M21" i="6"/>
  <c r="I21" i="6"/>
  <c r="BL13" i="3"/>
  <c r="AZ13" i="3"/>
  <c r="BL14" i="3"/>
  <c r="AZ14" i="3"/>
  <c r="AZ15" i="3"/>
  <c r="AZ16" i="3"/>
  <c r="AZ17" i="3"/>
  <c r="AZ18" i="3"/>
  <c r="AZ19" i="3"/>
  <c r="BL20" i="3"/>
  <c r="AZ20" i="3"/>
  <c r="AZ5" i="3"/>
  <c r="H13" i="3"/>
  <c r="AC13" i="3"/>
  <c r="G13" i="3"/>
  <c r="H14" i="3"/>
  <c r="AC14" i="3"/>
  <c r="G14" i="3"/>
  <c r="H15" i="3"/>
  <c r="G15" i="3"/>
  <c r="H16" i="3"/>
  <c r="G16" i="3"/>
  <c r="H17" i="3"/>
  <c r="G17" i="3"/>
  <c r="H18" i="3"/>
  <c r="G18" i="3"/>
  <c r="H19" i="3"/>
  <c r="G19" i="3"/>
  <c r="H20" i="3"/>
  <c r="AC20" i="3"/>
  <c r="G20" i="3"/>
  <c r="G5" i="3"/>
  <c r="B3" i="3"/>
  <c r="AY6" i="3"/>
  <c r="D3" i="6"/>
  <c r="E3" i="6"/>
  <c r="H21" i="6"/>
  <c r="D21" i="6"/>
  <c r="R21" i="6"/>
  <c r="R8" i="1"/>
  <c r="E111" i="81"/>
  <c r="H111" i="81"/>
  <c r="D126" i="81"/>
  <c r="D127" i="81"/>
  <c r="A126" i="81"/>
  <c r="E109" i="81"/>
  <c r="H109" i="81"/>
  <c r="D124" i="81"/>
  <c r="D125" i="81"/>
  <c r="A124" i="81"/>
  <c r="E107" i="81"/>
  <c r="G1" i="67"/>
  <c r="K6" i="1"/>
  <c r="L19" i="6"/>
  <c r="K19" i="6"/>
  <c r="M19" i="6"/>
  <c r="I19" i="6"/>
  <c r="H19" i="6"/>
  <c r="D19" i="6"/>
  <c r="R19" i="6"/>
  <c r="R6" i="1"/>
  <c r="R7" i="1"/>
  <c r="S6" i="1"/>
  <c r="M47" i="67"/>
  <c r="AE7" i="1"/>
  <c r="C17" i="81"/>
  <c r="D17" i="81"/>
  <c r="C18" i="81"/>
  <c r="D18" i="81"/>
  <c r="C24" i="81"/>
  <c r="H105" i="81"/>
  <c r="H106" i="81"/>
  <c r="H103" i="81"/>
  <c r="A122" i="81"/>
  <c r="D120" i="81"/>
  <c r="D121" i="81"/>
  <c r="A120" i="81"/>
  <c r="K120" i="81"/>
  <c r="M18" i="81"/>
  <c r="B118" i="81"/>
  <c r="M19" i="81"/>
  <c r="C118" i="81"/>
  <c r="S2" i="4"/>
  <c r="A118" i="81"/>
  <c r="H112" i="81"/>
  <c r="H110" i="81"/>
  <c r="H104" i="81"/>
  <c r="D101" i="81"/>
  <c r="C101" i="81"/>
  <c r="D89" i="81"/>
  <c r="C89" i="81"/>
  <c r="C87" i="81"/>
  <c r="C91" i="81"/>
  <c r="C92" i="81"/>
  <c r="D93" i="81"/>
  <c r="C94" i="81"/>
  <c r="E90" i="81"/>
  <c r="C76" i="81"/>
  <c r="D77" i="81"/>
  <c r="C77" i="81"/>
  <c r="C74" i="81"/>
  <c r="D78" i="81"/>
  <c r="H77" i="81"/>
  <c r="D68" i="81"/>
  <c r="I55" i="81"/>
  <c r="D59" i="81"/>
  <c r="M55" i="81"/>
  <c r="M56" i="81"/>
  <c r="J55" i="81"/>
  <c r="J56" i="81"/>
  <c r="J57" i="81"/>
  <c r="J59" i="81"/>
  <c r="J61" i="81"/>
  <c r="F59" i="81"/>
  <c r="E59" i="81"/>
  <c r="N56" i="81"/>
  <c r="K56" i="81"/>
  <c r="F56" i="81"/>
  <c r="O55" i="81"/>
  <c r="N55" i="81"/>
  <c r="K55" i="81"/>
  <c r="F55" i="81"/>
  <c r="O54" i="81"/>
  <c r="N54" i="81"/>
  <c r="F54" i="81"/>
  <c r="O53" i="81"/>
  <c r="N53" i="81"/>
  <c r="F53" i="81"/>
  <c r="F48" i="81"/>
  <c r="O52" i="81"/>
  <c r="E48" i="81"/>
  <c r="N52" i="81"/>
  <c r="F52" i="81"/>
  <c r="K49" i="81"/>
  <c r="M47" i="81"/>
  <c r="F33" i="81"/>
  <c r="D27" i="81"/>
  <c r="C25" i="81"/>
  <c r="L19" i="81"/>
  <c r="L18" i="81"/>
  <c r="L4" i="81"/>
  <c r="K4" i="81"/>
  <c r="A2" i="81"/>
  <c r="H1" i="81"/>
  <c r="H17" i="43"/>
  <c r="I17" i="43"/>
  <c r="J17" i="43"/>
  <c r="K17" i="43"/>
  <c r="L17" i="43"/>
  <c r="M17" i="43"/>
  <c r="N17" i="43"/>
  <c r="O17" i="43"/>
  <c r="G17" i="43"/>
  <c r="C16" i="43"/>
  <c r="D5" i="43"/>
  <c r="Y8" i="1"/>
  <c r="F15" i="80"/>
  <c r="F17" i="80"/>
  <c r="F18" i="80"/>
  <c r="F20" i="80"/>
  <c r="F23" i="80"/>
  <c r="F21"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G41" i="43"/>
  <c r="D39" i="43"/>
  <c r="D29" i="43"/>
  <c r="D90" i="34"/>
  <c r="F27" i="34"/>
  <c r="AA27" i="34"/>
  <c r="F34" i="34"/>
  <c r="AA34" i="34"/>
  <c r="R48" i="34"/>
  <c r="R49" i="34"/>
  <c r="H27" i="34"/>
  <c r="AB27" i="34"/>
  <c r="H34" i="34"/>
  <c r="AB34" i="34"/>
  <c r="T48" i="34"/>
  <c r="T49" i="34"/>
  <c r="J27" i="34"/>
  <c r="AC27" i="34"/>
  <c r="J34" i="34"/>
  <c r="AC34" i="34"/>
  <c r="V48" i="34"/>
  <c r="V49" i="34"/>
  <c r="D3" i="34"/>
  <c r="Y6" i="1"/>
  <c r="C37" i="34"/>
  <c r="G21" i="6"/>
  <c r="I7" i="34"/>
  <c r="G7" i="34"/>
  <c r="E7" i="34"/>
  <c r="N28" i="1"/>
  <c r="N27" i="1"/>
  <c r="N25" i="1"/>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15" i="4"/>
  <c r="F6" i="1"/>
  <c r="A8" i="1"/>
  <c r="F8" i="1"/>
  <c r="J50" i="67"/>
  <c r="J51" i="67"/>
  <c r="B24" i="1"/>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E13" i="3"/>
  <c r="BF13" i="3"/>
  <c r="BG13" i="3"/>
  <c r="BH13" i="3"/>
  <c r="BI13" i="3"/>
  <c r="BJ13" i="3"/>
  <c r="BK13" i="3"/>
  <c r="BQ13" i="3"/>
  <c r="BM13" i="3"/>
  <c r="BN13" i="3"/>
  <c r="BO13" i="3"/>
  <c r="BP13" i="3"/>
  <c r="BS13" i="3"/>
  <c r="BT13" i="3"/>
  <c r="BB14" i="3"/>
  <c r="BC14" i="3"/>
  <c r="BE14" i="3"/>
  <c r="BF14" i="3"/>
  <c r="BG14" i="3"/>
  <c r="BH14" i="3"/>
  <c r="BI14" i="3"/>
  <c r="BJ14" i="3"/>
  <c r="BK14" i="3"/>
  <c r="BQ14" i="3"/>
  <c r="BM14" i="3"/>
  <c r="BN14" i="3"/>
  <c r="BO14" i="3"/>
  <c r="BP14" i="3"/>
  <c r="BS14" i="3"/>
  <c r="BT14" i="3"/>
  <c r="BB15" i="3"/>
  <c r="BC15" i="3"/>
  <c r="BE15" i="3"/>
  <c r="BF15" i="3"/>
  <c r="BG15" i="3"/>
  <c r="BH15" i="3"/>
  <c r="BI15" i="3"/>
  <c r="BJ15" i="3"/>
  <c r="BK15" i="3"/>
  <c r="BM15" i="3"/>
  <c r="BN15" i="3"/>
  <c r="BO15" i="3"/>
  <c r="BP15" i="3"/>
  <c r="BQ15" i="3"/>
  <c r="BR15" i="3"/>
  <c r="BS15" i="3"/>
  <c r="BT15" i="3"/>
  <c r="BL15" i="3"/>
  <c r="BB16" i="3"/>
  <c r="BC16" i="3"/>
  <c r="BE16" i="3"/>
  <c r="BF16" i="3"/>
  <c r="BG16" i="3"/>
  <c r="BH16" i="3"/>
  <c r="BI16" i="3"/>
  <c r="BJ16" i="3"/>
  <c r="BK16" i="3"/>
  <c r="BM16" i="3"/>
  <c r="BN16" i="3"/>
  <c r="BO16" i="3"/>
  <c r="BP16" i="3"/>
  <c r="BQ16" i="3"/>
  <c r="BR16" i="3"/>
  <c r="BS16" i="3"/>
  <c r="BT16" i="3"/>
  <c r="BL16" i="3"/>
  <c r="BB17" i="3"/>
  <c r="BC17" i="3"/>
  <c r="BE17" i="3"/>
  <c r="BF17" i="3"/>
  <c r="BG17" i="3"/>
  <c r="BH17" i="3"/>
  <c r="BI17" i="3"/>
  <c r="BJ17" i="3"/>
  <c r="BK17" i="3"/>
  <c r="BM17" i="3"/>
  <c r="BN17" i="3"/>
  <c r="BO17" i="3"/>
  <c r="BP17" i="3"/>
  <c r="BQ17" i="3"/>
  <c r="BR17" i="3"/>
  <c r="BS17" i="3"/>
  <c r="BT17" i="3"/>
  <c r="BL17" i="3"/>
  <c r="BB18" i="3"/>
  <c r="BC18" i="3"/>
  <c r="BE18" i="3"/>
  <c r="BF18" i="3"/>
  <c r="BG18" i="3"/>
  <c r="BH18" i="3"/>
  <c r="BI18" i="3"/>
  <c r="BJ18" i="3"/>
  <c r="BK18" i="3"/>
  <c r="BM18" i="3"/>
  <c r="BN18" i="3"/>
  <c r="BO18" i="3"/>
  <c r="BP18" i="3"/>
  <c r="BQ18" i="3"/>
  <c r="BR18" i="3"/>
  <c r="BS18" i="3"/>
  <c r="BT18" i="3"/>
  <c r="BL18" i="3"/>
  <c r="BB19" i="3"/>
  <c r="BC19" i="3"/>
  <c r="BE19" i="3"/>
  <c r="BF19" i="3"/>
  <c r="BG19" i="3"/>
  <c r="BH19" i="3"/>
  <c r="BI19" i="3"/>
  <c r="BJ19" i="3"/>
  <c r="BK19" i="3"/>
  <c r="BM19" i="3"/>
  <c r="BN19" i="3"/>
  <c r="BO19" i="3"/>
  <c r="BP19" i="3"/>
  <c r="BQ19" i="3"/>
  <c r="BR19" i="3"/>
  <c r="BS19" i="3"/>
  <c r="BT19" i="3"/>
  <c r="BL19" i="3"/>
  <c r="BB20" i="3"/>
  <c r="BC20" i="3"/>
  <c r="BE20" i="3"/>
  <c r="BF20" i="3"/>
  <c r="BG20" i="3"/>
  <c r="BH20" i="3"/>
  <c r="BI20" i="3"/>
  <c r="BJ20" i="3"/>
  <c r="BK20" i="3"/>
  <c r="BM20" i="3"/>
  <c r="BN20" i="3"/>
  <c r="BO20" i="3"/>
  <c r="BP20" i="3"/>
  <c r="BQ20" i="3"/>
  <c r="BS20" i="3"/>
  <c r="BT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H21" i="3"/>
  <c r="G21" i="3"/>
  <c r="H22" i="3"/>
  <c r="G22" i="3"/>
  <c r="H23" i="3"/>
  <c r="G23" i="3"/>
  <c r="H24" i="3"/>
  <c r="G24" i="3"/>
  <c r="H25" i="3"/>
  <c r="G25" i="3"/>
  <c r="H26" i="3"/>
  <c r="G26" i="3"/>
  <c r="H27" i="3"/>
  <c r="G27" i="3"/>
  <c r="H28" i="3"/>
  <c r="G28" i="3"/>
  <c r="H29" i="3"/>
  <c r="G29" i="3"/>
  <c r="H30" i="3"/>
  <c r="G30" i="3"/>
  <c r="H31" i="3"/>
  <c r="G31" i="3"/>
  <c r="H32" i="3"/>
  <c r="G32"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F34" i="68"/>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K84" i="43"/>
  <c r="D84" i="43"/>
  <c r="K85" i="43"/>
  <c r="D85" i="43"/>
  <c r="K86" i="43"/>
  <c r="D86" i="43"/>
  <c r="K87" i="43"/>
  <c r="J87" i="43"/>
  <c r="D87" i="43"/>
  <c r="K88" i="43"/>
  <c r="D88" i="43"/>
  <c r="K81" i="43"/>
  <c r="J81" i="43"/>
  <c r="D81" i="43"/>
  <c r="D67" i="43"/>
  <c r="D60" i="43"/>
  <c r="D61" i="43"/>
  <c r="D62" i="43"/>
  <c r="D63" i="43"/>
  <c r="D64" i="43"/>
  <c r="D65" i="43"/>
  <c r="D66" i="43"/>
  <c r="D59" i="43"/>
  <c r="E59" i="43"/>
  <c r="B57" i="43"/>
  <c r="E81" i="43"/>
  <c r="B79" i="43"/>
  <c r="C24" i="43"/>
  <c r="M88" i="43"/>
  <c r="N88" i="43"/>
  <c r="J88" i="43"/>
  <c r="M87" i="43"/>
  <c r="N87" i="43"/>
  <c r="M86" i="43"/>
  <c r="N86" i="43"/>
  <c r="J86" i="43"/>
  <c r="M85" i="43"/>
  <c r="N85" i="43"/>
  <c r="J85" i="43"/>
  <c r="M84" i="43"/>
  <c r="N84" i="43"/>
  <c r="J84" i="43"/>
  <c r="M83" i="43"/>
  <c r="N83" i="43"/>
  <c r="J83" i="43"/>
  <c r="M82" i="43"/>
  <c r="N82" i="43"/>
  <c r="J82" i="43"/>
  <c r="M81" i="43"/>
  <c r="N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R26" i="31"/>
  <c r="C27" i="31"/>
  <c r="Q27" i="31"/>
  <c r="R27" i="31"/>
  <c r="C28" i="31"/>
  <c r="Q28" i="31"/>
  <c r="R28" i="31"/>
  <c r="C29" i="31"/>
  <c r="Q29" i="31"/>
  <c r="R29" i="31"/>
  <c r="C30" i="31"/>
  <c r="Q30" i="31"/>
  <c r="R30" i="31"/>
  <c r="C31" i="31"/>
  <c r="Q31" i="31"/>
  <c r="R31" i="31"/>
  <c r="C32" i="31"/>
  <c r="Q32" i="31"/>
  <c r="R32" i="31"/>
  <c r="C33" i="31"/>
  <c r="Q33" i="31"/>
  <c r="R33" i="31"/>
  <c r="C34" i="31"/>
  <c r="Q34" i="31"/>
  <c r="R34" i="31"/>
  <c r="C35" i="31"/>
  <c r="Q35" i="31"/>
  <c r="R35" i="31"/>
  <c r="C36" i="31"/>
  <c r="Q36" i="31"/>
  <c r="R36" i="31"/>
  <c r="C37" i="31"/>
  <c r="Q37" i="31"/>
  <c r="R37" i="31"/>
  <c r="C38" i="31"/>
  <c r="Q38" i="31"/>
  <c r="R38" i="31"/>
  <c r="C39" i="31"/>
  <c r="Q39" i="31"/>
  <c r="R39" i="31"/>
  <c r="C40" i="31"/>
  <c r="Q40" i="31"/>
  <c r="R40" i="31"/>
  <c r="C41" i="31"/>
  <c r="R41" i="31"/>
  <c r="C42" i="31"/>
  <c r="R42" i="31"/>
  <c r="C43" i="31"/>
  <c r="R43" i="31"/>
  <c r="C44"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21" i="6"/>
  <c r="M8" i="1"/>
  <c r="F23" i="15"/>
  <c r="D24" i="15"/>
  <c r="O8" i="1"/>
  <c r="P8" i="1"/>
  <c r="M13" i="1"/>
  <c r="O13" i="1"/>
  <c r="P13" i="1"/>
  <c r="E22" i="6"/>
  <c r="E23" i="6"/>
  <c r="E24" i="6"/>
  <c r="E25" i="6"/>
  <c r="E26" i="6"/>
  <c r="BC10" i="3"/>
  <c r="BB10"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AZ380" i="3"/>
  <c r="AZ384" i="3"/>
  <c r="AZ388" i="3"/>
  <c r="AZ392" i="3"/>
  <c r="AZ396" i="3"/>
  <c r="AZ394" i="3"/>
  <c r="AZ499" i="3"/>
  <c r="AZ509" i="3"/>
  <c r="G509" i="3"/>
  <c r="BL493" i="3"/>
  <c r="AZ491" i="3"/>
  <c r="AZ376" i="3"/>
  <c r="AZ390" i="3"/>
  <c r="AZ382" i="3"/>
  <c r="AZ493" i="3"/>
  <c r="U36" i="40"/>
  <c r="F36" i="43"/>
  <c r="N5" i="43"/>
  <c r="F81" i="43"/>
  <c r="H83" i="43"/>
  <c r="H11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s="1"/>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K11" i="1"/>
  <c r="M11" i="1"/>
  <c r="O11" i="1"/>
  <c r="P11" i="1"/>
  <c r="AP6" i="1"/>
  <c r="B9" i="1"/>
  <c r="E9" i="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M20" i="6"/>
  <c r="I20" i="6"/>
  <c r="AP7" i="1"/>
  <c r="M7" i="1"/>
  <c r="O7" i="1"/>
  <c r="Q16" i="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M27" i="6"/>
  <c r="M16" i="1"/>
  <c r="F27" i="11"/>
  <c r="AC11" i="37"/>
  <c r="W11" i="37"/>
  <c r="W11" i="34"/>
  <c r="AC11" i="34"/>
  <c r="H20" i="6"/>
  <c r="B2" i="74"/>
  <c r="E6" i="3"/>
  <c r="D10" i="11"/>
  <c r="C10" i="11"/>
  <c r="D20" i="12"/>
  <c r="C20" i="12" s="1"/>
  <c r="D25" i="6"/>
  <c r="D26" i="6"/>
  <c r="D15" i="6"/>
  <c r="C18" i="4"/>
  <c r="D22" i="6"/>
  <c r="D8" i="6"/>
  <c r="D23" i="6"/>
  <c r="D24" i="6"/>
  <c r="D14" i="6"/>
  <c r="D20" i="6"/>
  <c r="R20" i="6"/>
  <c r="D5" i="6"/>
  <c r="D6" i="6"/>
  <c r="D12" i="6"/>
  <c r="D9" i="6"/>
  <c r="D11" i="6"/>
  <c r="D10" i="6"/>
  <c r="D13" i="6"/>
  <c r="L19" i="9"/>
  <c r="D28" i="6"/>
  <c r="D29" i="6"/>
  <c r="E61" i="40"/>
  <c r="H25" i="6"/>
  <c r="R25" i="6"/>
  <c r="H22" i="6"/>
  <c r="H23" i="6"/>
  <c r="H26" i="6"/>
  <c r="H24" i="6"/>
  <c r="P16" i="1"/>
  <c r="C11" i="12"/>
  <c r="C15" i="12" s="1"/>
  <c r="F34" i="11"/>
  <c r="C37" i="11"/>
  <c r="F11" i="12"/>
  <c r="C14" i="12" s="1"/>
  <c r="S19" i="6"/>
  <c r="S27" i="6"/>
  <c r="I27" i="6"/>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0" i="11"/>
  <c r="C28" i="11"/>
  <c r="C27" i="11"/>
  <c r="F9" i="71"/>
  <c r="F8" i="71"/>
  <c r="Y8" i="71"/>
  <c r="Z8" i="71"/>
  <c r="AB3" i="71"/>
  <c r="X3" i="71"/>
  <c r="C9" i="71"/>
  <c r="E9" i="71"/>
  <c r="E8" i="71"/>
  <c r="C19" i="69"/>
  <c r="AF3" i="71"/>
  <c r="P24" i="43"/>
  <c r="B66" i="40"/>
  <c r="P21" i="43"/>
  <c r="P22" i="43"/>
  <c r="F31" i="15"/>
  <c r="M17" i="67"/>
  <c r="F59" i="67"/>
  <c r="F59" i="15"/>
  <c r="M17" i="15"/>
  <c r="F31" i="67"/>
  <c r="K1" i="73"/>
  <c r="D65" i="40"/>
  <c r="E63" i="40"/>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I49" i="34"/>
  <c r="W7" i="34"/>
  <c r="E43" i="35"/>
  <c r="F43" i="35"/>
  <c r="E42" i="35"/>
  <c r="F42" i="35"/>
  <c r="C36" i="36"/>
  <c r="C37" i="36"/>
  <c r="C42" i="37"/>
  <c r="C43" i="37"/>
  <c r="G52" i="21"/>
  <c r="H52" i="21"/>
  <c r="G53" i="21"/>
  <c r="H53" i="21"/>
  <c r="I43" i="35"/>
  <c r="J43" i="35"/>
  <c r="H7" i="34"/>
  <c r="E48" i="21"/>
  <c r="R49" i="21"/>
  <c r="C38" i="35"/>
  <c r="C39" i="35"/>
  <c r="S7" i="34"/>
  <c r="AA7" i="34"/>
  <c r="I52" i="21"/>
  <c r="J52" i="21"/>
  <c r="I53" i="21"/>
  <c r="J53" i="21"/>
  <c r="E40" i="36"/>
  <c r="F40" i="36"/>
  <c r="E41" i="36"/>
  <c r="F41" i="36"/>
  <c r="I41" i="36"/>
  <c r="J41" i="36"/>
  <c r="E47" i="37"/>
  <c r="F47" i="37"/>
  <c r="E46" i="37"/>
  <c r="F46" i="37"/>
  <c r="G68" i="39"/>
  <c r="F70" i="39"/>
  <c r="M20" i="43"/>
  <c r="C19" i="43"/>
  <c r="U8" i="71"/>
  <c r="G65" i="40"/>
  <c r="H63" i="40"/>
  <c r="H68" i="39"/>
  <c r="G70" i="39"/>
  <c r="E49" i="34"/>
  <c r="U7" i="34"/>
  <c r="AB7" i="34"/>
  <c r="G49" i="34"/>
  <c r="G53" i="34" s="1"/>
  <c r="H53" i="34" s="1"/>
  <c r="E52" i="21"/>
  <c r="F52" i="21"/>
  <c r="E53" i="21"/>
  <c r="F53" i="21"/>
  <c r="I53" i="34"/>
  <c r="J53" i="34"/>
  <c r="I54" i="34"/>
  <c r="J54" i="34"/>
  <c r="C48" i="21"/>
  <c r="C49" i="21"/>
  <c r="H65" i="40"/>
  <c r="I63" i="40"/>
  <c r="I68" i="39"/>
  <c r="H70" i="39"/>
  <c r="E53" i="34"/>
  <c r="F53" i="34" s="1"/>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N16" i="1"/>
  <c r="F50" i="69"/>
  <c r="F50" i="11"/>
  <c r="F50" i="68"/>
  <c r="F8" i="80"/>
  <c r="F36" i="80"/>
  <c r="F42" i="80"/>
  <c r="F7" i="67"/>
  <c r="C36" i="69"/>
  <c r="F16" i="80"/>
  <c r="M9" i="80"/>
  <c r="F36" i="67"/>
  <c r="F42" i="67"/>
  <c r="M9" i="67"/>
  <c r="M29" i="80"/>
  <c r="F35" i="15"/>
  <c r="M9" i="15"/>
  <c r="D35" i="81"/>
  <c r="M26" i="80"/>
  <c r="M23" i="80"/>
  <c r="C14" i="15"/>
  <c r="F13" i="15"/>
  <c r="M6" i="15"/>
  <c r="F27" i="68"/>
  <c r="F3" i="73"/>
  <c r="F5" i="73"/>
  <c r="M22" i="67"/>
  <c r="D2" i="37"/>
  <c r="C76" i="15"/>
  <c r="C76" i="67"/>
  <c r="D7" i="73"/>
  <c r="D2" i="33"/>
  <c r="M29" i="67"/>
  <c r="M24" i="15"/>
  <c r="M23" i="67"/>
  <c r="M27" i="15"/>
  <c r="M24" i="67"/>
  <c r="D4" i="73"/>
  <c r="F13" i="80"/>
  <c r="D5" i="73"/>
  <c r="F6" i="80"/>
  <c r="M8" i="67"/>
  <c r="F40" i="67"/>
  <c r="F36" i="15"/>
  <c r="F7" i="73"/>
  <c r="B11" i="76"/>
  <c r="L47" i="67"/>
  <c r="D2" i="36"/>
  <c r="L48" i="67"/>
  <c r="M27" i="80"/>
  <c r="M21" i="80"/>
  <c r="E7" i="76"/>
  <c r="M26" i="15"/>
  <c r="F6" i="67"/>
  <c r="E9" i="76"/>
  <c r="D9" i="69"/>
  <c r="F4" i="73"/>
  <c r="F37" i="80"/>
  <c r="M6" i="80"/>
  <c r="F27" i="69"/>
  <c r="F7" i="80"/>
  <c r="F40" i="80"/>
  <c r="F9" i="67"/>
  <c r="F37" i="67"/>
  <c r="L48" i="15"/>
  <c r="M6" i="67"/>
  <c r="F6" i="15"/>
  <c r="F40" i="15"/>
  <c r="F26" i="67"/>
  <c r="L47" i="80"/>
  <c r="M22" i="80"/>
  <c r="F8" i="15"/>
  <c r="F43" i="15"/>
  <c r="F38" i="15"/>
  <c r="D10" i="68"/>
  <c r="E13" i="76"/>
  <c r="F20" i="31"/>
  <c r="E11" i="76"/>
  <c r="M26" i="67"/>
  <c r="E2" i="68"/>
  <c r="M22" i="15"/>
  <c r="AO11" i="1"/>
  <c r="D9" i="68"/>
  <c r="M27" i="67"/>
  <c r="D2" i="35"/>
  <c r="B12" i="76"/>
  <c r="F6" i="73"/>
  <c r="E2" i="69"/>
  <c r="M28" i="15"/>
  <c r="B13" i="76"/>
  <c r="D3" i="73"/>
  <c r="D10" i="69"/>
  <c r="F43" i="80"/>
  <c r="F38" i="80"/>
  <c r="F8" i="67"/>
  <c r="C34" i="69"/>
  <c r="F35" i="80"/>
  <c r="M8" i="80"/>
  <c r="F38" i="67"/>
  <c r="D34" i="81"/>
  <c r="M8" i="15"/>
  <c r="M28" i="80"/>
  <c r="F9" i="15"/>
  <c r="F42" i="15"/>
  <c r="M21" i="15"/>
  <c r="E12" i="76"/>
  <c r="D35" i="9"/>
  <c r="B8" i="76"/>
  <c r="M29" i="15"/>
  <c r="L47" i="15"/>
  <c r="M28" i="67"/>
  <c r="F13" i="67"/>
  <c r="F43" i="67"/>
  <c r="F26" i="15"/>
  <c r="C76" i="80"/>
  <c r="F16" i="15"/>
  <c r="C36" i="68"/>
  <c r="AO12" i="1"/>
  <c r="AO9" i="1"/>
  <c r="J15" i="67"/>
  <c r="AO10" i="1"/>
  <c r="E8" i="76"/>
  <c r="M24" i="80"/>
  <c r="D2" i="21"/>
  <c r="AO7" i="1"/>
  <c r="AO13" i="1"/>
  <c r="E10" i="76"/>
  <c r="B7" i="76"/>
  <c r="F9" i="80"/>
  <c r="L48" i="80"/>
  <c r="F26" i="80"/>
  <c r="F35" i="67"/>
  <c r="F7" i="15"/>
  <c r="J15" i="80"/>
  <c r="B10" i="76"/>
  <c r="D2" i="34"/>
  <c r="D34" i="9"/>
  <c r="C34" i="68"/>
  <c r="F16" i="67"/>
  <c r="F37" i="15"/>
  <c r="M21" i="67"/>
  <c r="D6" i="73"/>
  <c r="J15" i="15"/>
  <c r="M23" i="15"/>
  <c r="B9" i="76"/>
  <c r="E54" i="34" l="1"/>
  <c r="F54" i="34" s="1"/>
  <c r="G54" i="34"/>
  <c r="H54" i="34" s="1"/>
  <c r="R50" i="34"/>
  <c r="C50" i="34" s="1"/>
  <c r="R16" i="1"/>
  <c r="C23" i="12"/>
  <c r="C18" i="12"/>
  <c r="B22" i="49"/>
  <c r="E15" i="49"/>
  <c r="B16" i="49"/>
  <c r="B11" i="49"/>
  <c r="E21" i="49"/>
  <c r="B8" i="49"/>
  <c r="E8" i="49"/>
  <c r="B10" i="49"/>
  <c r="E16" i="49"/>
  <c r="B9" i="49"/>
  <c r="B13" i="49"/>
  <c r="B6" i="49"/>
  <c r="E7" i="49"/>
  <c r="E9" i="49"/>
  <c r="E13" i="49"/>
  <c r="B14" i="49"/>
  <c r="E4" i="49"/>
  <c r="B5" i="49"/>
  <c r="E5" i="49"/>
  <c r="E6" i="49"/>
  <c r="E11" i="49"/>
  <c r="E22" i="49"/>
  <c r="B4" i="49"/>
  <c r="E14" i="49"/>
  <c r="E10" i="49"/>
  <c r="B15" i="49"/>
  <c r="B7" i="49"/>
  <c r="C12" i="12"/>
  <c r="C16" i="12" s="1"/>
  <c r="C21" i="12" s="1"/>
  <c r="C38" i="68"/>
  <c r="C35" i="68"/>
  <c r="B13" i="70"/>
  <c r="B2" i="36"/>
  <c r="B3" i="36" s="1"/>
  <c r="N59" i="15"/>
  <c r="M59" i="15"/>
  <c r="L59" i="15"/>
  <c r="L58" i="15"/>
  <c r="B10" i="70"/>
  <c r="M59" i="67"/>
  <c r="L58" i="67"/>
  <c r="L59" i="67"/>
  <c r="N59" i="67"/>
  <c r="B2" i="35"/>
  <c r="B3" i="35" s="1"/>
  <c r="B7" i="70"/>
  <c r="B2" i="33"/>
  <c r="B3" i="33" s="1"/>
  <c r="D19" i="68"/>
  <c r="C9" i="68"/>
  <c r="B11" i="70"/>
  <c r="Q71" i="67"/>
  <c r="B9" i="70"/>
  <c r="Q71" i="15"/>
  <c r="J20" i="67"/>
  <c r="B2" i="37"/>
  <c r="B3" i="37" s="1"/>
  <c r="B12" i="70"/>
  <c r="B2" i="21"/>
  <c r="B3" i="21" s="1"/>
  <c r="J20" i="15"/>
  <c r="C29" i="68"/>
  <c r="D27" i="68" s="1"/>
  <c r="C47" i="68"/>
  <c r="D45" i="68" s="1"/>
  <c r="C10" i="68"/>
  <c r="F66" i="15"/>
  <c r="F65" i="15"/>
  <c r="F64" i="15"/>
  <c r="F71" i="15"/>
  <c r="C15" i="15"/>
  <c r="C18" i="15"/>
  <c r="F51" i="15"/>
  <c r="J20" i="80"/>
  <c r="L59" i="80"/>
  <c r="L58" i="80"/>
  <c r="M59" i="80"/>
  <c r="N59" i="80"/>
  <c r="Q71" i="80"/>
  <c r="F68" i="67"/>
  <c r="C27" i="67"/>
  <c r="F68" i="15"/>
  <c r="C27" i="15"/>
  <c r="C34" i="15"/>
  <c r="F63" i="15"/>
  <c r="C62" i="15" s="1"/>
  <c r="F50" i="15"/>
  <c r="M7" i="15"/>
  <c r="J6" i="15" s="1"/>
  <c r="C6" i="15"/>
  <c r="F71" i="67"/>
  <c r="J53" i="15"/>
  <c r="J57" i="15"/>
  <c r="J55" i="15" s="1"/>
  <c r="J58" i="15" s="1"/>
  <c r="Q50" i="15" s="1"/>
  <c r="I54" i="15"/>
  <c r="J60" i="15"/>
  <c r="Q48" i="15" s="1"/>
  <c r="J59" i="15"/>
  <c r="L56" i="15"/>
  <c r="L57" i="15"/>
  <c r="L60" i="15"/>
  <c r="J53" i="67"/>
  <c r="J57" i="67"/>
  <c r="J55" i="67" s="1"/>
  <c r="J58" i="67" s="1"/>
  <c r="Q50" i="67" s="1"/>
  <c r="I54" i="67"/>
  <c r="L56" i="67"/>
  <c r="L57" i="67"/>
  <c r="L60" i="67"/>
  <c r="F70" i="67"/>
  <c r="F66" i="67"/>
  <c r="F65" i="67"/>
  <c r="F64" i="67"/>
  <c r="C34" i="67"/>
  <c r="F63" i="67"/>
  <c r="C62" i="67" s="1"/>
  <c r="C6" i="67"/>
  <c r="F68" i="80"/>
  <c r="C27" i="80"/>
  <c r="C34" i="80"/>
  <c r="F63" i="80"/>
  <c r="C62" i="80" s="1"/>
  <c r="M7" i="80"/>
  <c r="J6" i="80" s="1"/>
  <c r="F50" i="80"/>
  <c r="C6" i="80"/>
  <c r="C35" i="69"/>
  <c r="C38" i="69"/>
  <c r="C29" i="69"/>
  <c r="D27" i="69" s="1"/>
  <c r="C47" i="69"/>
  <c r="D45" i="69" s="1"/>
  <c r="M7" i="67"/>
  <c r="J6" i="67" s="1"/>
  <c r="F50" i="67"/>
  <c r="F51" i="67"/>
  <c r="J57" i="80"/>
  <c r="J55" i="80" s="1"/>
  <c r="J58" i="80" s="1"/>
  <c r="Q50" i="80" s="1"/>
  <c r="J53" i="80"/>
  <c r="L60" i="80"/>
  <c r="L56" i="80"/>
  <c r="L57" i="80"/>
  <c r="I54" i="80"/>
  <c r="F70" i="80"/>
  <c r="F66" i="80"/>
  <c r="F65" i="80"/>
  <c r="F64" i="80"/>
  <c r="F71" i="80"/>
  <c r="I1" i="73"/>
  <c r="B39" i="1" s="1"/>
  <c r="F51" i="80"/>
  <c r="C10" i="69"/>
  <c r="D19" i="69"/>
  <c r="D37" i="69" s="1"/>
  <c r="C37" i="69" s="1"/>
  <c r="C9" i="69"/>
  <c r="C8" i="69" s="1"/>
  <c r="E20" i="43"/>
  <c r="C16" i="15"/>
  <c r="G1" i="73"/>
  <c r="C16" i="67"/>
  <c r="C14" i="80"/>
  <c r="C17" i="80"/>
  <c r="C16" i="80"/>
  <c r="C17" i="15"/>
  <c r="C17" i="67"/>
  <c r="C14" i="67"/>
  <c r="C49" i="34" l="1"/>
  <c r="R24" i="31"/>
  <c r="B3" i="34"/>
  <c r="B2" i="34"/>
  <c r="B40" i="1"/>
  <c r="F22" i="69" s="1"/>
  <c r="C33" i="69"/>
  <c r="C39" i="69" s="1"/>
  <c r="C46" i="69" s="1"/>
  <c r="C45" i="69" s="1"/>
  <c r="C22" i="12"/>
  <c r="C30" i="12" s="1"/>
  <c r="C28" i="12" s="1"/>
  <c r="C49" i="80"/>
  <c r="C49" i="67"/>
  <c r="C15" i="80"/>
  <c r="C18" i="80"/>
  <c r="C15" i="67"/>
  <c r="C18" i="67"/>
  <c r="C19" i="15"/>
  <c r="J18" i="67"/>
  <c r="J18" i="15"/>
  <c r="F11" i="80"/>
  <c r="C53" i="80" s="1"/>
  <c r="M11" i="80"/>
  <c r="J10" i="80" s="1"/>
  <c r="J5" i="80" s="1"/>
  <c r="F11" i="67"/>
  <c r="C53" i="67" s="1"/>
  <c r="C48" i="67" s="1"/>
  <c r="M11" i="67"/>
  <c r="J10" i="67" s="1"/>
  <c r="J5" i="67" s="1"/>
  <c r="M11" i="15"/>
  <c r="J10" i="15" s="1"/>
  <c r="J5" i="15" s="1"/>
  <c r="F11" i="15"/>
  <c r="C53" i="15" s="1"/>
  <c r="F1" i="80"/>
  <c r="Q52" i="80"/>
  <c r="C32" i="67"/>
  <c r="C33" i="67"/>
  <c r="F1" i="67"/>
  <c r="Q52" i="67"/>
  <c r="F1" i="15"/>
  <c r="Q52" i="15"/>
  <c r="C32" i="15"/>
  <c r="C33" i="15"/>
  <c r="Q73" i="80"/>
  <c r="Q60" i="80"/>
  <c r="D37" i="68"/>
  <c r="C37" i="68" s="1"/>
  <c r="C33" i="68" s="1"/>
  <c r="C19" i="68"/>
  <c r="Q73" i="67"/>
  <c r="Q60" i="67"/>
  <c r="Q74" i="15"/>
  <c r="Q61" i="15"/>
  <c r="P28" i="43"/>
  <c r="G20" i="43" s="1"/>
  <c r="M28" i="43"/>
  <c r="N28" i="43"/>
  <c r="O28" i="43"/>
  <c r="Q66" i="80"/>
  <c r="Q57" i="80"/>
  <c r="J18" i="80"/>
  <c r="C32" i="80"/>
  <c r="C33" i="80"/>
  <c r="Q66" i="67"/>
  <c r="Q57" i="67"/>
  <c r="Q57" i="15"/>
  <c r="Q66" i="15"/>
  <c r="L46" i="15"/>
  <c r="Q74" i="80"/>
  <c r="Q61" i="80"/>
  <c r="C49" i="15"/>
  <c r="Q61" i="67"/>
  <c r="Q74" i="67"/>
  <c r="Q60" i="15"/>
  <c r="Q73" i="15"/>
  <c r="AE8" i="1"/>
  <c r="AE6" i="1"/>
  <c r="F41" i="15" s="1"/>
  <c r="F41" i="67"/>
  <c r="S24" i="31" l="1"/>
  <c r="S22" i="31" s="1"/>
  <c r="R25" i="31"/>
  <c r="S25" i="31" s="1"/>
  <c r="C10" i="15"/>
  <c r="C5" i="15" s="1"/>
  <c r="C38" i="15" s="1"/>
  <c r="C10" i="80"/>
  <c r="C5" i="80" s="1"/>
  <c r="F24" i="15"/>
  <c r="C24" i="15" s="1"/>
  <c r="F22" i="11"/>
  <c r="C25" i="11" s="1"/>
  <c r="F24" i="80"/>
  <c r="C24" i="80" s="1"/>
  <c r="F25" i="12"/>
  <c r="C26" i="12" s="1"/>
  <c r="D25" i="12" s="1"/>
  <c r="F22" i="68"/>
  <c r="C44" i="68" s="1"/>
  <c r="D41" i="68" s="1"/>
  <c r="F24" i="67"/>
  <c r="C24" i="67" s="1"/>
  <c r="C48" i="15"/>
  <c r="C60" i="15" s="1"/>
  <c r="C48" i="80"/>
  <c r="C66" i="80" s="1"/>
  <c r="C19" i="80"/>
  <c r="C20" i="80" s="1"/>
  <c r="C23" i="80" s="1"/>
  <c r="C19" i="67"/>
  <c r="C20" i="67" s="1"/>
  <c r="C26" i="67" s="1"/>
  <c r="C10" i="67"/>
  <c r="C5" i="67" s="1"/>
  <c r="C38" i="67" s="1"/>
  <c r="F69" i="67"/>
  <c r="F69" i="15"/>
  <c r="J26" i="67"/>
  <c r="J29" i="67" s="1"/>
  <c r="J24" i="67"/>
  <c r="J24" i="15"/>
  <c r="J26" i="15"/>
  <c r="J29" i="15" s="1"/>
  <c r="C38" i="80"/>
  <c r="C31" i="80"/>
  <c r="C24" i="69"/>
  <c r="C26" i="69"/>
  <c r="D22" i="69" s="1"/>
  <c r="C44" i="69"/>
  <c r="D41" i="69" s="1"/>
  <c r="J26" i="80"/>
  <c r="J24" i="80"/>
  <c r="C31" i="15"/>
  <c r="C31" i="67"/>
  <c r="C66" i="67"/>
  <c r="C60" i="67"/>
  <c r="C42" i="69"/>
  <c r="C26" i="11"/>
  <c r="D22" i="11" s="1"/>
  <c r="E41" i="43"/>
  <c r="C41" i="43" s="1"/>
  <c r="C20" i="43"/>
  <c r="C91" i="9"/>
  <c r="C39" i="68"/>
  <c r="C42" i="68"/>
  <c r="C43" i="69"/>
  <c r="C20" i="15"/>
  <c r="C26" i="15" s="1"/>
  <c r="F41" i="80"/>
  <c r="R22" i="31" l="1"/>
  <c r="B21" i="31" s="1"/>
  <c r="B20" i="31"/>
  <c r="C42" i="11"/>
  <c r="C23" i="11"/>
  <c r="C43" i="11"/>
  <c r="C43" i="68"/>
  <c r="C41" i="68" s="1"/>
  <c r="C26" i="68"/>
  <c r="D22" i="68" s="1"/>
  <c r="C60" i="80"/>
  <c r="C24" i="11"/>
  <c r="C44" i="11"/>
  <c r="D41" i="11" s="1"/>
  <c r="C27" i="12"/>
  <c r="C25" i="12" s="1"/>
  <c r="C32" i="12" s="1"/>
  <c r="B2" i="12" s="1"/>
  <c r="B3" i="12" s="1"/>
  <c r="F69" i="80"/>
  <c r="C24" i="68"/>
  <c r="J29" i="80"/>
  <c r="C66" i="15"/>
  <c r="C46" i="68"/>
  <c r="C45" i="68" s="1"/>
  <c r="C41" i="11"/>
  <c r="C23" i="67"/>
  <c r="C29" i="67" s="1"/>
  <c r="C26" i="80"/>
  <c r="C29" i="80" s="1"/>
  <c r="C92" i="9"/>
  <c r="C94" i="9"/>
  <c r="C39" i="43"/>
  <c r="C6" i="69" s="1"/>
  <c r="C38" i="43"/>
  <c r="C41" i="69"/>
  <c r="C49" i="69" s="1"/>
  <c r="C51" i="69" s="1"/>
  <c r="C23" i="15"/>
  <c r="C29" i="15" s="1"/>
  <c r="T5" i="43"/>
  <c r="V5" i="43" s="1"/>
  <c r="C29" i="43"/>
  <c r="T14" i="43"/>
  <c r="V14" i="43" s="1"/>
  <c r="T3" i="43"/>
  <c r="V3" i="43" s="1"/>
  <c r="T2" i="43"/>
  <c r="V2" i="43" s="1"/>
  <c r="T8" i="43"/>
  <c r="V8" i="43" s="1"/>
  <c r="T13" i="43"/>
  <c r="V13" i="43" s="1"/>
  <c r="T16" i="43"/>
  <c r="V16" i="43" s="1"/>
  <c r="C33" i="43"/>
  <c r="T7" i="43"/>
  <c r="V7" i="43" s="1"/>
  <c r="T10" i="43"/>
  <c r="V10" i="43" s="1"/>
  <c r="C34" i="43"/>
  <c r="T6" i="43"/>
  <c r="V6" i="43" s="1"/>
  <c r="C36" i="43"/>
  <c r="C35" i="43"/>
  <c r="C37" i="43"/>
  <c r="T15" i="43"/>
  <c r="V15" i="43" s="1"/>
  <c r="T9" i="43"/>
  <c r="V9" i="43" s="1"/>
  <c r="T12" i="43"/>
  <c r="V12" i="43" s="1"/>
  <c r="T11" i="43"/>
  <c r="V11" i="43" s="1"/>
  <c r="T4" i="43"/>
  <c r="V4" i="43" s="1"/>
  <c r="D20" i="9"/>
  <c r="D19" i="9"/>
  <c r="D103" i="9" l="1"/>
  <c r="D21" i="9"/>
  <c r="D102" i="9"/>
  <c r="C22" i="11"/>
  <c r="C31" i="11" s="1"/>
  <c r="C49" i="11"/>
  <c r="C51" i="11" s="1"/>
  <c r="C49" i="68"/>
  <c r="C51" i="68" s="1"/>
  <c r="C13" i="80"/>
  <c r="C37" i="80" s="1"/>
  <c r="C57" i="80"/>
  <c r="C64" i="80" s="1"/>
  <c r="J59" i="80"/>
  <c r="J60" i="80" s="1"/>
  <c r="L46" i="80" s="1"/>
  <c r="C36" i="80"/>
  <c r="J14" i="80"/>
  <c r="J13" i="80" s="1"/>
  <c r="J23" i="80" s="1"/>
  <c r="J14" i="67"/>
  <c r="J13" i="67" s="1"/>
  <c r="J23" i="67" s="1"/>
  <c r="J59" i="67"/>
  <c r="J60" i="67" s="1"/>
  <c r="L46" i="67" s="1"/>
  <c r="C13" i="67"/>
  <c r="C75" i="67" s="1"/>
  <c r="C57" i="67"/>
  <c r="C61" i="67" s="1"/>
  <c r="C59" i="67" s="1"/>
  <c r="Q49" i="67"/>
  <c r="C36" i="67"/>
  <c r="J19" i="67"/>
  <c r="J17" i="67" s="1"/>
  <c r="J19" i="80"/>
  <c r="J17" i="80" s="1"/>
  <c r="Q49" i="80"/>
  <c r="C36" i="15"/>
  <c r="C13" i="15"/>
  <c r="J19" i="15"/>
  <c r="J17" i="15" s="1"/>
  <c r="C57" i="15"/>
  <c r="J14" i="15"/>
  <c r="Q49" i="15"/>
  <c r="Q48" i="67"/>
  <c r="J22" i="67"/>
  <c r="E35" i="43"/>
  <c r="G35" i="43"/>
  <c r="I35" i="43" s="1"/>
  <c r="E33" i="43"/>
  <c r="G33" i="43"/>
  <c r="I33" i="43" s="1"/>
  <c r="E39" i="43"/>
  <c r="G39" i="43"/>
  <c r="I39" i="43" s="1"/>
  <c r="E37" i="43"/>
  <c r="G37" i="43"/>
  <c r="I37" i="43" s="1"/>
  <c r="E36" i="43"/>
  <c r="G36" i="43"/>
  <c r="I36" i="43" s="1"/>
  <c r="E34" i="43"/>
  <c r="G34" i="43"/>
  <c r="I34" i="43" s="1"/>
  <c r="E29" i="43"/>
  <c r="C6" i="68" s="1"/>
  <c r="C30" i="43"/>
  <c r="E30" i="43" s="1"/>
  <c r="G38" i="43"/>
  <c r="I38" i="43" s="1"/>
  <c r="E38" i="43"/>
  <c r="C52" i="11" l="1"/>
  <c r="B2" i="11" s="1"/>
  <c r="B3" i="11" s="1"/>
  <c r="C61" i="80"/>
  <c r="C59" i="80" s="1"/>
  <c r="C37" i="67"/>
  <c r="Q70" i="67"/>
  <c r="C56" i="67"/>
  <c r="C65" i="67" s="1"/>
  <c r="J22" i="80"/>
  <c r="J16" i="80" s="1"/>
  <c r="J25" i="80" s="1"/>
  <c r="J16" i="67"/>
  <c r="J25" i="67" s="1"/>
  <c r="Q70" i="80"/>
  <c r="Q48" i="80"/>
  <c r="C75" i="80"/>
  <c r="C26" i="43"/>
  <c r="B2" i="43" s="1"/>
  <c r="C64" i="67"/>
  <c r="C56" i="11"/>
  <c r="C57" i="11" s="1"/>
  <c r="C30" i="80"/>
  <c r="C39" i="80" s="1"/>
  <c r="C80" i="80" s="1"/>
  <c r="C79" i="80" s="1"/>
  <c r="C30" i="67"/>
  <c r="C39" i="67" s="1"/>
  <c r="Q69" i="67" s="1"/>
  <c r="C56" i="80"/>
  <c r="C65" i="80" s="1"/>
  <c r="C58" i="80" s="1"/>
  <c r="C67" i="80" s="1"/>
  <c r="C68" i="80" s="1"/>
  <c r="C71" i="80" s="1"/>
  <c r="C7" i="68"/>
  <c r="C5" i="68" s="1"/>
  <c r="J13" i="15"/>
  <c r="J23" i="15" s="1"/>
  <c r="J22" i="15"/>
  <c r="C27" i="43"/>
  <c r="C7" i="69"/>
  <c r="C5" i="69" s="1"/>
  <c r="C61" i="15"/>
  <c r="C59" i="15" s="1"/>
  <c r="C64" i="15"/>
  <c r="C37" i="15"/>
  <c r="C30" i="15" s="1"/>
  <c r="C39" i="15" s="1"/>
  <c r="Q70" i="15"/>
  <c r="C75" i="15"/>
  <c r="C56" i="15"/>
  <c r="C65" i="15" s="1"/>
  <c r="B6" i="76"/>
  <c r="L51" i="80"/>
  <c r="L51" i="67"/>
  <c r="E6" i="76"/>
  <c r="Q68" i="67" l="1"/>
  <c r="C40" i="67"/>
  <c r="C58" i="67"/>
  <c r="C67" i="67" s="1"/>
  <c r="C68" i="67" s="1"/>
  <c r="C71" i="67" s="1"/>
  <c r="C40" i="80"/>
  <c r="D2" i="80" s="1"/>
  <c r="Q69" i="80"/>
  <c r="Q68" i="80" s="1"/>
  <c r="C45" i="80"/>
  <c r="C46" i="80" s="1"/>
  <c r="C80" i="67"/>
  <c r="C79" i="67" s="1"/>
  <c r="J16" i="15"/>
  <c r="J25" i="15" s="1"/>
  <c r="Q67" i="80"/>
  <c r="E2" i="76"/>
  <c r="Q67" i="67"/>
  <c r="B2" i="76"/>
  <c r="B3" i="76" s="1"/>
  <c r="C40" i="15"/>
  <c r="Q69" i="15"/>
  <c r="Q68" i="15" s="1"/>
  <c r="C20" i="69"/>
  <c r="C25" i="69" s="1"/>
  <c r="C23" i="69"/>
  <c r="C80" i="15"/>
  <c r="C79" i="15" s="1"/>
  <c r="C58" i="15"/>
  <c r="C67" i="15" s="1"/>
  <c r="C68" i="15" s="1"/>
  <c r="B3" i="43"/>
  <c r="C20" i="68"/>
  <c r="C25" i="68" s="1"/>
  <c r="C23" i="68"/>
  <c r="L51" i="15"/>
  <c r="C45" i="67" l="1"/>
  <c r="C46" i="67" s="1"/>
  <c r="C43" i="67"/>
  <c r="Q65" i="67"/>
  <c r="Q75" i="67" s="1"/>
  <c r="D2" i="67"/>
  <c r="B2" i="67" s="1"/>
  <c r="C83" i="67"/>
  <c r="C82" i="67" s="1"/>
  <c r="Q47" i="67"/>
  <c r="Q53" i="67" s="1"/>
  <c r="Q56" i="67"/>
  <c r="Q62" i="67" s="1"/>
  <c r="C43" i="80"/>
  <c r="C83" i="80"/>
  <c r="C82" i="80" s="1"/>
  <c r="Q56" i="80"/>
  <c r="Q62" i="80" s="1"/>
  <c r="Q65" i="80"/>
  <c r="Q75" i="80" s="1"/>
  <c r="Q47" i="80"/>
  <c r="Q53" i="80" s="1"/>
  <c r="C22" i="69"/>
  <c r="C22" i="68"/>
  <c r="C28" i="69"/>
  <c r="C27" i="69" s="1"/>
  <c r="Q67" i="15"/>
  <c r="B2" i="80"/>
  <c r="B3" i="80"/>
  <c r="B2" i="15"/>
  <c r="Q56" i="15"/>
  <c r="Q62" i="15" s="1"/>
  <c r="C43" i="15"/>
  <c r="Q65" i="15"/>
  <c r="Q75" i="15" s="1"/>
  <c r="Q47" i="15"/>
  <c r="Q53" i="15" s="1"/>
  <c r="C83" i="15"/>
  <c r="C82" i="15" s="1"/>
  <c r="C28" i="68"/>
  <c r="C27" i="68" s="1"/>
  <c r="B3" i="67"/>
  <c r="C71" i="15"/>
  <c r="C46" i="15"/>
  <c r="AO8" i="1"/>
  <c r="AO6" i="1"/>
  <c r="C19" i="9"/>
  <c r="D19" i="81"/>
  <c r="D20" i="81"/>
  <c r="C31" i="68" l="1"/>
  <c r="C52" i="68" s="1"/>
  <c r="B2" i="68" s="1"/>
  <c r="C31" i="69"/>
  <c r="C52" i="69" s="1"/>
  <c r="D103" i="81"/>
  <c r="B6" i="70"/>
  <c r="C21" i="9"/>
  <c r="C102" i="9"/>
  <c r="G19" i="9"/>
  <c r="D22" i="9"/>
  <c r="D102" i="81"/>
  <c r="D21" i="81"/>
  <c r="B8" i="70"/>
  <c r="B3" i="15"/>
  <c r="C20" i="9"/>
  <c r="B3" i="68"/>
  <c r="C57" i="68" l="1"/>
  <c r="C56" i="68" s="1"/>
  <c r="C57" i="69"/>
  <c r="C56" i="69" s="1"/>
  <c r="B2" i="69"/>
  <c r="C103" i="9"/>
  <c r="G20" i="9"/>
  <c r="C32" i="9"/>
  <c r="G21" i="9"/>
  <c r="B2" i="70"/>
  <c r="B3" i="70" s="1"/>
  <c r="C19" i="81"/>
  <c r="B3" i="69"/>
  <c r="C21" i="81" l="1"/>
  <c r="C102" i="81"/>
  <c r="G19" i="81"/>
  <c r="D22" i="81"/>
  <c r="C35" i="9"/>
  <c r="F118" i="9" s="1"/>
  <c r="H118" i="9"/>
  <c r="C20" i="81"/>
  <c r="G20" i="81" l="1"/>
  <c r="C103" i="81"/>
  <c r="C34" i="9"/>
  <c r="D118" i="9" s="1"/>
  <c r="D4" i="52" s="1"/>
  <c r="B47" i="72" s="1"/>
  <c r="G15" i="74"/>
  <c r="G21" i="81"/>
  <c r="C32" i="81"/>
  <c r="D15" i="74"/>
  <c r="H101" i="9"/>
  <c r="D14" i="74"/>
  <c r="C104" i="9"/>
  <c r="H119" i="9"/>
  <c r="H5" i="52" s="1"/>
  <c r="I118" i="9"/>
  <c r="H4" i="52"/>
  <c r="G118" i="9"/>
  <c r="G4" i="52" s="1"/>
  <c r="B52" i="72" s="1"/>
  <c r="F4" i="52"/>
  <c r="B51" i="72" s="1"/>
  <c r="F119" i="9"/>
  <c r="F5" i="52" s="1"/>
  <c r="B53" i="72" s="1"/>
  <c r="D119" i="9"/>
  <c r="D5" i="52" s="1"/>
  <c r="B49" i="72" s="1"/>
  <c r="E15" i="74" l="1"/>
  <c r="F15" i="74"/>
  <c r="H118" i="81"/>
  <c r="C35" i="81"/>
  <c r="F118" i="81" s="1"/>
  <c r="E14" i="74"/>
  <c r="B5" i="74"/>
  <c r="F14" i="74"/>
  <c r="I4" i="52"/>
  <c r="E118" i="9"/>
  <c r="E4" i="52" s="1"/>
  <c r="B48" i="72" s="1"/>
  <c r="C105" i="9"/>
  <c r="H102" i="9"/>
  <c r="D7" i="53" s="1"/>
  <c r="B21" i="72" s="1"/>
  <c r="M48" i="9"/>
  <c r="D45" i="9"/>
  <c r="H107" i="9"/>
  <c r="D5" i="53"/>
  <c r="C34" i="81" l="1"/>
  <c r="D118" i="81" s="1"/>
  <c r="D119" i="81" s="1"/>
  <c r="H101" i="81"/>
  <c r="H119" i="81"/>
  <c r="I118" i="81"/>
  <c r="C104" i="81"/>
  <c r="F119" i="81"/>
  <c r="G118" i="81"/>
  <c r="M49" i="9"/>
  <c r="H108" i="9"/>
  <c r="D15" i="53" s="1"/>
  <c r="B31" i="72" s="1"/>
  <c r="D122" i="9"/>
  <c r="D13" i="53"/>
  <c r="D6" i="53"/>
  <c r="B22" i="72" s="1"/>
  <c r="B20" i="72"/>
  <c r="D53" i="9"/>
  <c r="D48" i="9" s="1"/>
  <c r="M52" i="9" s="1"/>
  <c r="C64" i="9"/>
  <c r="C63" i="9" s="1"/>
  <c r="C67" i="9" s="1"/>
  <c r="C68" i="9" s="1"/>
  <c r="D54" i="9" s="1"/>
  <c r="D55" i="9"/>
  <c r="M53" i="9" s="1"/>
  <c r="C93" i="9"/>
  <c r="C86" i="9" s="1"/>
  <c r="D52" i="9"/>
  <c r="C72" i="9"/>
  <c r="C78" i="9"/>
  <c r="C73" i="9" s="1"/>
  <c r="C85" i="9"/>
  <c r="D5" i="74"/>
  <c r="C5" i="74"/>
  <c r="C95" i="9" l="1"/>
  <c r="C79" i="9"/>
  <c r="C80" i="9" s="1"/>
  <c r="H102" i="81"/>
  <c r="C105" i="81"/>
  <c r="E118" i="81"/>
  <c r="D45" i="81"/>
  <c r="M48" i="81"/>
  <c r="H107" i="81"/>
  <c r="D14" i="53"/>
  <c r="B32" i="72" s="1"/>
  <c r="B30" i="72"/>
  <c r="C96" i="9"/>
  <c r="E96" i="9" s="1"/>
  <c r="E97" i="9" s="1"/>
  <c r="D123" i="9"/>
  <c r="D9" i="52" s="1"/>
  <c r="D8" i="52"/>
  <c r="G14" i="74"/>
  <c r="B6" i="74" s="1"/>
  <c r="L68" i="9"/>
  <c r="M68" i="9" s="1"/>
  <c r="L65" i="9"/>
  <c r="M65" i="9" s="1"/>
  <c r="L66" i="9"/>
  <c r="M66" i="9" s="1"/>
  <c r="L64" i="9"/>
  <c r="M64" i="9" s="1"/>
  <c r="L63" i="9"/>
  <c r="M63" i="9" s="1"/>
  <c r="L67" i="9"/>
  <c r="M67" i="9" s="1"/>
  <c r="M69" i="9" l="1"/>
  <c r="N69" i="9" s="1"/>
  <c r="E80" i="9"/>
  <c r="E81" i="9" s="1"/>
  <c r="C81" i="9"/>
  <c r="D52" i="81"/>
  <c r="C85" i="81"/>
  <c r="C64" i="81"/>
  <c r="C63" i="81" s="1"/>
  <c r="C67" i="81" s="1"/>
  <c r="C68" i="81" s="1"/>
  <c r="D54" i="81" s="1"/>
  <c r="C72" i="81"/>
  <c r="D53" i="81"/>
  <c r="D48" i="81" s="1"/>
  <c r="M52" i="81" s="1"/>
  <c r="D55" i="81"/>
  <c r="M53" i="81" s="1"/>
  <c r="C78" i="81"/>
  <c r="C73" i="81" s="1"/>
  <c r="C93" i="81"/>
  <c r="C86" i="81" s="1"/>
  <c r="D122" i="81"/>
  <c r="D123" i="81" s="1"/>
  <c r="H108" i="81"/>
  <c r="M49" i="81"/>
  <c r="C6" i="74"/>
  <c r="D6" i="74"/>
  <c r="C97" i="9"/>
  <c r="D58" i="9" s="1"/>
  <c r="D56" i="9" s="1"/>
  <c r="M54" i="9" s="1"/>
  <c r="N57" i="9" s="1"/>
  <c r="C79" i="81" l="1"/>
  <c r="C95" i="81"/>
  <c r="C96" i="81" s="1"/>
  <c r="E96" i="81" s="1"/>
  <c r="E97" i="81" s="1"/>
  <c r="L63" i="81"/>
  <c r="M63" i="81" s="1"/>
  <c r="L65" i="81"/>
  <c r="M65" i="81" s="1"/>
  <c r="L67" i="81"/>
  <c r="M67" i="81" s="1"/>
  <c r="L64" i="81"/>
  <c r="M64" i="81" s="1"/>
  <c r="L66" i="81"/>
  <c r="M66" i="81" s="1"/>
  <c r="L68" i="81"/>
  <c r="M68" i="81" s="1"/>
  <c r="N58" i="9"/>
  <c r="P57" i="9"/>
  <c r="N59" i="9"/>
  <c r="C97" i="81"/>
  <c r="D58" i="81" s="1"/>
  <c r="D56" i="81" s="1"/>
  <c r="M54" i="81" s="1"/>
  <c r="N57" i="81" s="1"/>
  <c r="C80" i="81" l="1"/>
  <c r="E80" i="81" s="1"/>
  <c r="E81" i="81" s="1"/>
  <c r="M69" i="81"/>
  <c r="N69" i="81" s="1"/>
  <c r="P57" i="81"/>
  <c r="N58" i="81"/>
  <c r="N59" i="81"/>
  <c r="N60" i="9"/>
  <c r="N61" i="9"/>
  <c r="C81" i="81" l="1"/>
  <c r="N61" i="8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<sst xmlns="http://schemas.openxmlformats.org/spreadsheetml/2006/main" count="8124" uniqueCount="3153">
  <si>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</si>
  <si>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</si>
  <si>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</si>
  <si>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</si>
  <si>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</si>
  <si>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</si>
  <si>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</si>
  <si>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</si>
  <si>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</si>
  <si>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</si>
  <si>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</si>
  <si>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</si>
  <si>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</si>
  <si>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</si>
  <si>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</si>
  <si>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</si>
  <si>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</si>
  <si>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</si>
  <si>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</si>
  <si>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</si>
  <si>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</si>
  <si>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</si>
  <si>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</si>
  <si>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</si>
  <si>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</si>
  <si>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</si>
  <si>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</si>
  <si>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</si>
  <si>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</si>
  <si>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</si>
  <si>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</si>
  <si>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</si>
  <si>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</si>
  <si>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</si>
  <si>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</si>
  <si>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</si>
  <si>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</si>
  <si>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</si>
  <si>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</si>
  <si>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</si>
  <si>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</si>
  <si>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</si>
  <si>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</si>
  <si>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</si>
  <si>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</si>
  <si>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</si>
  <si>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</si>
  <si>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</si>
  <si>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</si>
  <si>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</si>
  <si>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</si>
  <si>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</si>
  <si>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</si>
  <si>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</si>
  <si>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</si>
  <si>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</si>
  <si>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</si>
  <si>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</si>
  <si>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</si>
  <si>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</si>
  <si>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</si>
  <si>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</si>
  <si>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</si>
  <si>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</si>
  <si>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</si>
  <si>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</si>
  <si>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</si>
  <si>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</si>
  <si>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</si>
  <si>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</si>
  <si>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</si>
  <si>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</si>
  <si>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</si>
  <si>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</si>
  <si>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</si>
  <si>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</si>
  <si>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</si>
  <si>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</si>
  <si>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</si>
  <si>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</si>
  <si>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</si>
  <si>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</si>
  <si>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</si>
  <si>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</si>
  <si>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</si>
  <si>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</si>
  <si>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</si>
  <si>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</si>
  <si>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</si>
  <si>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</si>
  <si>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</si>
  <si>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</si>
  <si>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</si>
  <si>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</si>
  <si>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</si>
  <si>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</si>
  <si>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</si>
  <si>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</si>
  <si>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</si>
  <si>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</si>
  <si>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</si>
  <si>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</si>
  <si>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</si>
  <si>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</si>
  <si>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</si>
  <si>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</si>
  <si>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</si>
  <si>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</si>
  <si>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</si>
  <si>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</si>
  <si>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</si>
  <si>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</si>
  <si>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</si>
  <si>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</si>
  <si>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</si>
  <si>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</si>
  <si>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</si>
  <si>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</si>
  <si>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</si>
  <si>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</si>
  <si>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</si>
  <si>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</si>
  <si>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</si>
  <si>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</si>
  <si>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</si>
  <si>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</si>
  <si>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</si>
  <si>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</si>
  <si>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</si>
  <si>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</si>
  <si>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</si>
  <si>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</si>
  <si>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</si>
  <si>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</si>
  <si>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</si>
  <si>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</si>
  <si>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</si>
  <si>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</si>
  <si>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</si>
  <si>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</si>
  <si>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</si>
  <si>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</si>
  <si>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</si>
  <si>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</si>
  <si>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</si>
  <si>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</si>
  <si>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</si>
  <si>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</si>
  <si>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</si>
  <si>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</si>
  <si>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</si>
  <si>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</si>
  <si>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</si>
  <si>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</si>
  <si>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</si>
  <si>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</si>
  <si>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</si>
  <si>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</si>
  <si>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</si>
  <si>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</si>
  <si>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</si>
  <si>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</si>
  <si>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</si>
  <si>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</si>
  <si>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</si>
  <si>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</si>
  <si>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</si>
  <si>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</si>
  <si>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</si>
  <si>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</si>
  <si>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</si>
  <si>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</si>
  <si>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</si>
  <si>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</si>
  <si>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</si>
  <si>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</si>
  <si>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</si>
  <si>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</si>
  <si>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</si>
  <si>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</si>
  <si>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</si>
  <si>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</si>
  <si>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</si>
  <si>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</si>
  <si>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</si>
  <si>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</si>
  <si>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</si>
  <si>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</si>
  <si>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</si>
  <si>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</si>
  <si>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</si>
  <si>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</si>
  <si>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</si>
  <si>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</si>
  <si>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</si>
  <si>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</si>
  <si>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</si>
  <si>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</si>
  <si>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</si>
  <si>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</si>
  <si>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</si>
  <si>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</si>
  <si>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</si>
  <si>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</si>
  <si>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</si>
  <si>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</si>
  <si>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</si>
  <si>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</si>
  <si>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</si>
  <si>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</si>
  <si>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</si>
  <si>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</si>
  <si>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</si>
  <si>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</si>
  <si>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</si>
  <si>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</si>
  <si>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</si>
  <si>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</si>
  <si>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</si>
  <si>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</si>
  <si>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</si>
  <si>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</si>
  <si>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</si>
  <si>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</si>
  <si>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</si>
  <si>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</si>
  <si>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</si>
  <si>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</si>
  <si>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</si>
  <si>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</si>
  <si>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</si>
  <si>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</si>
  <si>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</si>
  <si>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</si>
  <si>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</si>
  <si>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</si>
  <si>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</si>
  <si>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</si>
  <si>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</si>
  <si>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</si>
  <si>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</si>
  <si>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</si>
  <si>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</si>
  <si>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</si>
  <si>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</si>
  <si>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</si>
  <si>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</si>
  <si>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</si>
  <si>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</si>
  <si>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</si>
  <si>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</si>
  <si>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</si>
  <si>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</si>
  <si>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</si>
  <si>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</si>
  <si>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</si>
  <si>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</si>
  <si>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</si>
  <si>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</si>
  <si>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</si>
  <si>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</si>
  <si>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</si>
  <si>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</si>
  <si>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</si>
  <si>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</si>
  <si>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</si>
  <si>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</si>
  <si>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</si>
  <si>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</si>
  <si>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</si>
  <si>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</si>
  <si>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</si>
  <si>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</si>
  <si>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</si>
  <si>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</si>
  <si>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</si>
  <si>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</si>
  <si>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</si>
  <si>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</si>
  <si>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</si>
  <si>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</si>
  <si>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</si>
  <si>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</si>
  <si>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</si>
  <si>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</si>
  <si>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</si>
  <si>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</si>
  <si>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</si>
  <si>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</si>
  <si>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</si>
  <si>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</si>
  <si>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</si>
  <si>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</si>
  <si>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</si>
  <si>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</si>
  <si>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</si>
  <si>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</si>
  <si>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</si>
  <si>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</si>
  <si>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</si>
  <si>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</si>
  <si>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</si>
  <si>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</si>
  <si>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</si>
  <si>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</si>
  <si>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</si>
  <si>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</si>
  <si>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</si>
  <si>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</si>
  <si>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</si>
  <si>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</si>
  <si>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</si>
  <si>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</si>
  <si>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</si>
  <si>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</si>
  <si>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</si>
  <si>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</si>
  <si>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</si>
  <si>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</si>
  <si>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</si>
  <si>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</si>
  <si>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</si>
  <si>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</si>
  <si>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</si>
  <si>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</si>
  <si>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</si>
  <si>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</si>
  <si>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</si>
  <si>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</si>
  <si>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</si>
  <si>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</si>
  <si>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</si>
  <si>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</si>
  <si>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</si>
  <si>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</si>
  <si>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</si>
  <si>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</si>
  <si>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</si>
  <si>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</si>
  <si>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</si>
  <si>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</si>
  <si>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</si>
  <si>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</si>
  <si>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</si>
  <si>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</si>
  <si>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</si>
  <si>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</si>
  <si>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</si>
  <si>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</si>
  <si>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</si>
  <si>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</si>
  <si>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</si>
  <si>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</si>
  <si>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</si>
  <si>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</si>
  <si>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</si>
  <si>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</si>
  <si>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</si>
  <si>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</si>
  <si>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</si>
  <si>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</si>
  <si>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</si>
  <si>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</si>
  <si>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</si>
  <si>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</si>
  <si>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</si>
  <si>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</si>
  <si>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</si>
  <si>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</si>
  <si>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</si>
  <si>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</si>
  <si>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</si>
  <si>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</si>
  <si>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</si>
  <si>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</si>
  <si>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</si>
  <si>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</si>
  <si>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</si>
  <si>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</si>
  <si>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</si>
  <si>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</si>
  <si>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</si>
  <si>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</si>
  <si>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</si>
  <si>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</si>
  <si>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</si>
  <si>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</si>
  <si>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</si>
  <si>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</si>
  <si>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</si>
  <si>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</si>
  <si>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</si>
  <si>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</si>
  <si>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</si>
  <si>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</si>
  <si>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</si>
  <si>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</si>
  <si>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</si>
  <si>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</si>
  <si>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</si>
  <si>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</si>
  <si>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</si>
  <si>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</si>
  <si>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</si>
  <si>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</si>
  <si>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</si>
  <si>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</si>
  <si>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</si>
  <si>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</si>
  <si>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</si>
  <si>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</si>
  <si>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</si>
  <si>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</si>
  <si>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</si>
  <si>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</si>
  <si>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</si>
  <si>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</si>
  <si>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</si>
  <si>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</si>
  <si>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</si>
  <si>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</si>
  <si>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</si>
  <si>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</si>
  <si>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</si>
  <si>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</si>
  <si>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</si>
  <si>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</si>
  <si>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</si>
  <si>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</si>
  <si>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</si>
  <si>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</si>
  <si>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</si>
  <si>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</si>
  <si>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</si>
  <si>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</si>
  <si>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</si>
  <si>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</si>
  <si>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</si>
  <si>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</si>
  <si>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</si>
  <si>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</si>
  <si>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</si>
  <si>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</si>
  <si>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</si>
  <si>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</si>
  <si>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</si>
  <si>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</si>
  <si>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</si>
  <si>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</si>
  <si>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</si>
  <si>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</si>
  <si>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</si>
  <si>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</si>
  <si>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</si>
  <si>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</si>
  <si>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</si>
  <si>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</si>
  <si>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</si>
  <si>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</si>
  <si>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</si>
  <si>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</si>
  <si>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</si>
  <si>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</si>
  <si>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</si>
  <si>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</si>
  <si>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</si>
  <si>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</si>
  <si>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</si>
  <si>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</si>
  <si>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</si>
  <si>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</si>
  <si>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</si>
  <si>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</si>
  <si>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</si>
  <si>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</si>
  <si>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</si>
  <si>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</si>
  <si>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</si>
  <si>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</si>
  <si>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</si>
  <si>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</si>
  <si>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</si>
  <si>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</si>
  <si>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</si>
  <si>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</si>
  <si>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</si>
  <si>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</si>
  <si>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</si>
  <si>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</si>
  <si>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</si>
  <si>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</si>
  <si>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</si>
  <si>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</si>
  <si>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</si>
  <si>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</si>
  <si>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</si>
  <si>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</si>
  <si>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</si>
  <si>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</si>
  <si>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</si>
  <si>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</si>
  <si>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</si>
  <si>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</si>
  <si>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</si>
  <si>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</si>
  <si>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</si>
  <si>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</si>
  <si>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</si>
  <si>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</si>
  <si>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</si>
  <si>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</si>
  <si>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</si>
  <si>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</si>
  <si>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</si>
  <si>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</si>
  <si>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</si>
  <si>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</si>
  <si>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</si>
  <si>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</si>
  <si>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</si>
  <si>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</si>
  <si>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</si>
  <si>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</si>
  <si>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</si>
  <si>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</si>
  <si>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</si>
  <si>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</si>
  <si>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</si>
  <si>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</si>
  <si>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</si>
  <si>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</si>
  <si>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</si>
  <si>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</si>
  <si>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</si>
  <si>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</si>
  <si>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</si>
  <si>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</si>
  <si>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</si>
  <si>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</si>
  <si>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</si>
  <si>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</si>
  <si>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</si>
  <si>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</si>
  <si>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</si>
  <si>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</si>
  <si>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</si>
  <si>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</si>
  <si>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</si>
  <si>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</si>
  <si>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</si>
  <si>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</si>
  <si>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</si>
  <si>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</si>
  <si>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</si>
  <si>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</si>
  <si>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</si>
  <si>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</si>
  <si>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</si>
  <si>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</si>
  <si>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</si>
  <si>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</si>
  <si>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</si>
  <si>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</si>
  <si>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</si>
  <si>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</si>
  <si>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</si>
  <si>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</si>
  <si>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</si>
  <si>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</si>
  <si>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</si>
  <si>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</si>
  <si>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</si>
  <si>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</si>
  <si>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</si>
  <si>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</si>
  <si>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</si>
  <si>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</si>
  <si>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</si>
  <si>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</si>
  <si>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</si>
  <si>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</si>
  <si>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</si>
  <si>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</si>
  <si>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</si>
  <si>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</si>
  <si>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</si>
  <si>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</si>
  <si>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</si>
  <si>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</si>
  <si>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</si>
  <si>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</si>
  <si>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</si>
  <si>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</si>
  <si>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</si>
  <si>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</si>
  <si>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</si>
  <si>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</si>
  <si>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</si>
  <si>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</si>
  <si>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</si>
  <si>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</si>
  <si>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</si>
  <si>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</si>
  <si>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</si>
  <si>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</si>
  <si>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</si>
  <si>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</si>
  <si>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</si>
  <si>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</si>
  <si>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</si>
  <si>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</si>
  <si>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</si>
  <si>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</si>
  <si>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</si>
  <si>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</si>
  <si>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</si>
  <si>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</si>
  <si>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</si>
  <si>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</si>
  <si>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</si>
  <si>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</si>
  <si>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</si>
  <si>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</si>
  <si>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</si>
  <si>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</si>
  <si>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</si>
  <si>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</si>
  <si>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</si>
  <si>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</si>
  <si>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</si>
  <si>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</si>
  <si>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</si>
  <si>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</si>
  <si>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</si>
  <si>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</si>
  <si>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</si>
  <si>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</si>
  <si>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</si>
  <si>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</si>
  <si>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</si>
  <si>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</si>
  <si>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</si>
  <si>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</si>
  <si>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</si>
  <si>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</si>
  <si>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</si>
  <si>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</si>
  <si>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</si>
  <si>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</si>
  <si>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</si>
  <si>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</si>
  <si>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</si>
  <si>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</si>
  <si>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</si>
  <si>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</si>
  <si>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</si>
  <si>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</si>
  <si>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</si>
  <si>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</si>
  <si>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</si>
  <si>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</si>
  <si>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</si>
  <si>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</si>
  <si>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</si>
  <si>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</si>
  <si>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</si>
  <si>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</si>
  <si>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</si>
  <si>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</si>
  <si>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</si>
  <si>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</si>
  <si>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</si>
  <si>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</si>
  <si>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</si>
  <si>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</si>
  <si>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</si>
  <si>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</si>
  <si>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</si>
  <si>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</si>
  <si>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</si>
  <si>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</si>
  <si>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</si>
  <si>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</si>
  <si>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</si>
  <si>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</si>
  <si>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</si>
  <si>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</si>
  <si>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</si>
  <si>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</si>
  <si>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</si>
  <si>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</si>
  <si>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</si>
  <si>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</si>
  <si>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</si>
  <si>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</si>
  <si>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</si>
  <si>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</si>
  <si>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</si>
  <si>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</si>
  <si>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</si>
  <si>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</si>
  <si>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</si>
  <si>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</si>
  <si>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</si>
  <si>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</si>
  <si>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</si>
  <si>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</si>
  <si>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</si>
  <si>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</si>
  <si>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</si>
  <si>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</si>
  <si>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</si>
  <si>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</si>
  <si>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</si>
  <si>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</si>
  <si>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</si>
  <si>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</si>
  <si>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</si>
  <si>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</si>
  <si>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</si>
  <si>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</si>
  <si>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</si>
  <si>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</si>
  <si>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</si>
  <si>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</si>
  <si>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</si>
  <si>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</si>
  <si>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</si>
  <si>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</si>
  <si>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</si>
  <si>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</si>
  <si>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</si>
  <si>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</si>
  <si>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</si>
  <si>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</si>
  <si>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</si>
  <si>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</si>
  <si>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</si>
  <si>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</si>
  <si>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</si>
  <si>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</si>
  <si>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</si>
  <si>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</si>
  <si>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</si>
  <si>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</si>
  <si>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</si>
  <si>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</si>
  <si>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</si>
  <si>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</si>
  <si>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</si>
  <si>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</si>
  <si>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</si>
  <si>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</si>
  <si>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</si>
  <si>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</si>
  <si>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</si>
  <si>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</si>
  <si>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</si>
  <si>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</si>
  <si>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</si>
  <si>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</si>
  <si>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</si>
  <si>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</si>
  <si>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</si>
  <si>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</si>
  <si>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</si>
  <si>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</si>
  <si>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</si>
  <si>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</si>
  <si>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</si>
  <si>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</si>
  <si>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</si>
  <si>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</si>
  <si>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</si>
  <si>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</si>
  <si>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</si>
  <si>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</si>
  <si>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</si>
  <si>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</si>
  <si>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</si>
  <si>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</si>
  <si>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</si>
  <si>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</si>
  <si>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</si>
  <si>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</si>
  <si>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</si>
  <si>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</si>
  <si>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</si>
  <si>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</si>
  <si>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</si>
  <si>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</si>
  <si>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</si>
  <si>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</si>
  <si>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</si>
  <si>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</si>
  <si>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</si>
  <si>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</si>
  <si>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</si>
  <si>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</si>
  <si>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</si>
  <si>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</si>
  <si>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</si>
  <si>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</si>
  <si>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</si>
  <si>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</si>
  <si>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</si>
  <si>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</si>
  <si>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</si>
  <si>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</si>
  <si>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</si>
  <si>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</si>
  <si>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</si>
  <si>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</si>
  <si>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</si>
  <si>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</si>
  <si>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</si>
  <si>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</si>
  <si>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</si>
  <si>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</si>
  <si>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</si>
  <si>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</si>
  <si>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</si>
  <si>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</si>
  <si>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</si>
  <si>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</si>
  <si>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</si>
  <si>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</si>
  <si>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</si>
  <si>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</si>
  <si>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</si>
  <si>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</si>
  <si>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</si>
  <si>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</si>
  <si>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</si>
  <si>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</si>
  <si>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</si>
  <si>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</si>
  <si>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</si>
  <si>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</si>
  <si>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</si>
  <si>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</si>
  <si>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</si>
  <si>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</si>
  <si>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</si>
  <si>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</si>
  <si>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</si>
  <si>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</si>
  <si>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</si>
  <si>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</si>
  <si>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</si>
  <si>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</si>
  <si>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</si>
  <si>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</si>
  <si>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</si>
  <si>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</si>
  <si>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</si>
  <si>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</si>
  <si>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</si>
  <si>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</si>
  <si>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</si>
  <si>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</si>
  <si>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</si>
  <si>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</si>
  <si>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</si>
  <si>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</si>
  <si>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</si>
  <si>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</si>
  <si>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</si>
  <si>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</si>
  <si>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</si>
  <si>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</si>
  <si>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</si>
  <si>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</si>
  <si>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</si>
  <si>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</si>
  <si>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</si>
  <si>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</si>
  <si>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</si>
  <si>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</si>
  <si>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</si>
  <si>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</si>
  <si>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</si>
  <si>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</si>
  <si>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</si>
  <si>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</si>
  <si>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</si>
  <si>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</si>
  <si>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</si>
  <si>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</si>
  <si>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</si>
  <si>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</si>
  <si>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</si>
  <si>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</si>
  <si>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</si>
  <si>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</si>
  <si>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</si>
  <si>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</si>
  <si>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</si>
  <si>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</si>
  <si>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</si>
  <si>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</si>
  <si>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</si>
  <si>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</si>
  <si>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</si>
  <si>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</si>
  <si>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</si>
  <si>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</si>
  <si>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</si>
  <si>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</si>
  <si>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</si>
  <si>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</si>
  <si>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</si>
  <si>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</si>
  <si>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</si>
  <si>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</si>
  <si>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</si>
  <si>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</si>
  <si>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</si>
  <si>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</si>
  <si>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</si>
  <si>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</si>
  <si>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</si>
  <si>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</si>
  <si>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</si>
  <si>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</si>
  <si>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</si>
  <si>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</si>
  <si>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</si>
  <si>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</si>
  <si>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</si>
  <si>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</si>
  <si>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</si>
  <si>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</si>
  <si>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</si>
  <si>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</si>
  <si>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</si>
  <si>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</si>
  <si>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</si>
  <si>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</si>
  <si>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</si>
  <si>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</si>
  <si>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</si>
  <si>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</si>
  <si>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</si>
  <si>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</si>
  <si>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</si>
  <si>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</si>
  <si>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</si>
  <si>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</si>
  <si>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</si>
  <si>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</si>
  <si>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</si>
  <si>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</si>
  <si>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</si>
  <si>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</si>
  <si>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</si>
  <si>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</si>
  <si>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</si>
  <si>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</si>
  <si>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</si>
  <si>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</si>
  <si>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</si>
  <si>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</si>
  <si>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</si>
  <si>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</si>
  <si>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</si>
  <si>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</si>
  <si>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</si>
  <si>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</si>
  <si>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</si>
  <si>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</si>
  <si>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</si>
  <si>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</si>
  <si>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</si>
  <si>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</si>
  <si>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</si>
  <si>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</si>
  <si>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</si>
  <si>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</si>
  <si>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</si>
  <si>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</si>
  <si>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</si>
  <si>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</si>
  <si>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</si>
  <si>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</si>
  <si>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</si>
  <si>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</si>
  <si>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</si>
  <si>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</si>
  <si>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</si>
  <si>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</si>
  <si>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</si>
  <si>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</si>
  <si>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</si>
  <si>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</si>
  <si>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</si>
  <si>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</si>
  <si>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</si>
  <si>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</si>
  <si>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</si>
  <si>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</si>
  <si>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</si>
  <si>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</si>
  <si>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</si>
  <si>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</si>
  <si>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</si>
  <si>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</si>
  <si>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</si>
  <si>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</si>
  <si>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</si>
  <si>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</si>
  <si>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</si>
  <si>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</si>
  <si>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</si>
  <si>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</si>
  <si>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</si>
  <si>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</si>
  <si>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</si>
  <si>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</si>
  <si>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</si>
  <si>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</si>
  <si>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</si>
  <si>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</si>
  <si>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</si>
  <si>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</si>
  <si>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</si>
  <si>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</si>
  <si>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</si>
  <si>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</si>
  <si>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</si>
  <si>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</si>
  <si>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</si>
  <si>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</si>
  <si>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</si>
  <si>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</si>
  <si>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</si>
  <si>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</si>
  <si>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</si>
  <si>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</si>
  <si>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</si>
  <si>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</si>
  <si>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</si>
  <si>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</si>
  <si>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</si>
  <si>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</si>
  <si>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</si>
  <si>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</si>
  <si>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</si>
  <si>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</si>
  <si>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</si>
  <si>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</si>
  <si>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</si>
  <si>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</si>
  <si>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</si>
  <si>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</si>
  <si>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</si>
  <si>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</si>
  <si>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</si>
  <si>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</si>
  <si>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</si>
  <si>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</si>
  <si>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</si>
  <si>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</si>
  <si>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</si>
  <si>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</si>
  <si>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</si>
  <si>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</si>
  <si>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</si>
  <si>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</si>
  <si>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</si>
  <si>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</si>
  <si>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</si>
  <si>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</si>
  <si>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</si>
  <si>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</si>
  <si>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</si>
  <si>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</si>
  <si>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</si>
  <si>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</si>
  <si>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</si>
  <si>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</si>
  <si>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</si>
  <si>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</si>
  <si>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</si>
  <si>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</si>
  <si>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</si>
  <si>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</si>
  <si>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</si>
  <si>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</si>
  <si>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</si>
  <si>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</si>
  <si>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</si>
  <si>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</si>
  <si>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</si>
  <si>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</si>
  <si>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</si>
  <si>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</si>
  <si>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</si>
  <si>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</si>
  <si>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</si>
  <si>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</si>
  <si>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</si>
  <si>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</si>
  <si>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</si>
  <si>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</si>
  <si>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</si>
  <si>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</si>
  <si>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</si>
  <si>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</si>
  <si>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</si>
  <si>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</si>
  <si>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</si>
  <si>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</si>
  <si>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</si>
  <si>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</si>
  <si>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</si>
  <si>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</si>
  <si>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</si>
  <si>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</si>
  <si>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</si>
  <si>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</si>
  <si>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</si>
  <si>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</si>
  <si>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</si>
  <si>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</si>
  <si>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</si>
  <si>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</si>
  <si>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</si>
  <si>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</si>
  <si>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</si>
  <si>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</si>
  <si>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</si>
  <si>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</si>
  <si>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</si>
  <si>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</si>
  <si>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</si>
  <si>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</si>
  <si>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</si>
  <si>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</si>
  <si>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</si>
  <si>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</si>
  <si>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</si>
  <si>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</si>
  <si>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</si>
  <si>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</si>
  <si>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</si>
  <si>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</si>
  <si>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</si>
  <si>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</si>
  <si>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</si>
  <si>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</si>
  <si>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</si>
  <si>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</si>
  <si>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</si>
  <si>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</si>
  <si>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</si>
  <si>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</si>
  <si>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</si>
  <si>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</si>
  <si>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</si>
  <si>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</si>
  <si>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</si>
  <si>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</si>
  <si>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</si>
  <si>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</si>
  <si>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</si>
  <si>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</si>
  <si>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</si>
  <si>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</si>
  <si>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</si>
  <si>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</si>
  <si>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</si>
  <si>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</si>
  <si>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</si>
  <si>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</si>
  <si>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</si>
  <si>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</si>
  <si>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</si>
  <si>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</si>
  <si>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</si>
  <si>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</si>
  <si>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</si>
  <si>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</si>
  <si>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</si>
  <si>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</si>
  <si>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</si>
  <si>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</si>
  <si>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</si>
  <si>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</si>
  <si>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</si>
  <si>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</si>
  <si>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</si>
  <si>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</si>
  <si>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</si>
  <si>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</si>
  <si>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</si>
  <si>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</si>
  <si>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</si>
  <si>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</si>
  <si>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</si>
  <si>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</si>
  <si>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</si>
  <si>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</si>
  <si>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</si>
  <si>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</si>
  <si>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</si>
  <si>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</si>
  <si>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</si>
  <si>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</si>
  <si>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</si>
  <si>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</si>
  <si>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</si>
  <si>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</si>
  <si>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</si>
  <si>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</si>
  <si>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</si>
  <si>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</si>
  <si>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</si>
  <si>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</si>
  <si>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</si>
  <si>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</si>
  <si>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</si>
  <si>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</si>
  <si>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</si>
  <si>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</si>
  <si>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</si>
  <si>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</si>
  <si>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</si>
  <si>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</si>
  <si>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</si>
  <si>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</si>
  <si>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</si>
  <si>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</si>
  <si>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</si>
  <si>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</si>
  <si>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</si>
  <si>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</si>
  <si>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</si>
  <si>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</si>
  <si>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</si>
  <si>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</si>
  <si>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</si>
  <si>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</si>
  <si>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</si>
  <si>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</si>
  <si>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</si>
  <si>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</si>
  <si>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</si>
  <si>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</si>
  <si>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</si>
  <si>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</si>
  <si>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</si>
  <si>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</si>
  <si>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</si>
  <si>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</si>
  <si>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</si>
  <si>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</si>
  <si>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</si>
  <si>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</si>
  <si>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</si>
  <si>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</si>
  <si>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</si>
  <si>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</si>
  <si>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</si>
  <si>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</si>
  <si>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</si>
  <si>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</si>
  <si>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</si>
  <si>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</si>
  <si>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</si>
  <si>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</si>
  <si>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</si>
  <si>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</si>
  <si>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</si>
  <si>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</si>
  <si>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</si>
  <si>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</si>
  <si>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</si>
  <si>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</si>
  <si>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</si>
  <si>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</si>
  <si>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</si>
  <si>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</si>
  <si>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</si>
  <si>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</si>
  <si>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</si>
  <si>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</si>
  <si>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</si>
  <si>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</si>
  <si>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</si>
  <si>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</si>
  <si>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</si>
  <si>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</si>
  <si>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</si>
  <si>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</si>
  <si>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</si>
  <si>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</si>
  <si>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</si>
  <si>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</si>
  <si>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</si>
  <si>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</si>
  <si>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</si>
  <si>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</si>
  <si>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</si>
  <si>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</si>
  <si>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</si>
  <si>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</si>
  <si>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</si>
  <si>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</si>
  <si>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</si>
  <si>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</si>
  <si>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</si>
  <si>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</si>
  <si>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</si>
  <si>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</si>
  <si>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</si>
  <si>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</si>
  <si>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</si>
  <si>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</si>
  <si>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</si>
  <si>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</si>
  <si>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</si>
  <si>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</si>
  <si>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</si>
  <si>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</si>
  <si>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</si>
  <si>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</si>
  <si>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</si>
  <si>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</si>
  <si>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</si>
  <si>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</si>
  <si>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</si>
  <si>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</si>
  <si>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</si>
  <si>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</si>
  <si>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</si>
  <si>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</si>
  <si>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</si>
  <si>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</si>
  <si>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</si>
  <si>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</si>
  <si>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</si>
  <si>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</si>
  <si>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</si>
  <si>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</si>
  <si>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</si>
  <si>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</si>
  <si>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</si>
  <si>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</si>
  <si>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</si>
  <si>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</si>
  <si>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</si>
  <si>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</si>
  <si>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</si>
  <si>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</si>
  <si>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</si>
  <si>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</si>
  <si>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</si>
  <si>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</si>
  <si>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</si>
  <si>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</si>
  <si>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</si>
  <si>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</si>
  <si>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</si>
  <si>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</si>
  <si>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</si>
  <si>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</si>
  <si>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</si>
  <si>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</si>
  <si>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</si>
  <si>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</si>
  <si>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</si>
  <si>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</si>
  <si>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</si>
  <si>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</si>
  <si>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</si>
  <si>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</si>
  <si>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</si>
  <si>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</si>
  <si>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</si>
  <si>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</si>
  <si>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</si>
  <si>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</si>
  <si>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</si>
  <si>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</si>
  <si>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</si>
  <si>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</si>
  <si>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</si>
  <si>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</si>
  <si>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</si>
  <si>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</si>
  <si>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</si>
  <si>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</si>
  <si>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</si>
  <si>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</si>
  <si>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</si>
  <si>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</si>
  <si>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</si>
  <si>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</si>
  <si>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</si>
  <si>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</si>
  <si>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</si>
  <si>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</si>
  <si>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</si>
  <si>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</si>
  <si>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</si>
  <si>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</si>
  <si>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</si>
  <si>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</si>
  <si>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</si>
  <si>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</si>
  <si>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</si>
  <si>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</si>
  <si>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</si>
  <si>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</si>
  <si>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</si>
  <si>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</si>
  <si>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</si>
  <si>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</si>
  <si>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</si>
  <si>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</si>
  <si>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</si>
  <si>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</si>
  <si>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</si>
  <si>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</si>
  <si>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</si>
  <si>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</si>
  <si>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</si>
  <si>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</si>
  <si>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</si>
  <si>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</si>
  <si>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</si>
  <si>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</si>
  <si>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</si>
  <si>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</si>
  <si>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</si>
  <si>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</si>
  <si>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</si>
  <si>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</si>
  <si>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</si>
  <si>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</si>
  <si>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</si>
  <si>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</si>
  <si>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</si>
  <si>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</si>
  <si>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</si>
  <si>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</si>
  <si>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</si>
  <si>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</si>
  <si>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</si>
  <si>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</si>
  <si>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</si>
  <si>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</si>
  <si>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</si>
  <si>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</si>
  <si>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</si>
  <si>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</si>
  <si>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</si>
  <si>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</si>
  <si>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</si>
  <si>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</si>
  <si>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</si>
  <si>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</si>
  <si>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</si>
  <si>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</si>
  <si>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</si>
  <si>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</si>
  <si>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</si>
  <si>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</si>
  <si>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</si>
  <si>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</si>
  <si>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</si>
  <si>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</si>
  <si>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</si>
  <si>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</si>
  <si>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</si>
  <si>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</si>
  <si>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</si>
  <si>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</si>
  <si>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</si>
  <si>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</si>
  <si>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</si>
  <si>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</si>
  <si>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</si>
  <si>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</si>
  <si>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</si>
  <si>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</si>
  <si>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</si>
  <si>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</si>
  <si>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</si>
  <si>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</si>
  <si>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</si>
  <si>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</si>
  <si>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</si>
  <si>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</si>
  <si>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</si>
  <si>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</si>
  <si>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</si>
  <si>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</si>
  <si>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</si>
  <si>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</si>
  <si>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</si>
  <si>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</si>
  <si>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</si>
  <si>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</si>
  <si>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</si>
  <si>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</si>
  <si>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</si>
  <si>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</si>
  <si>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</si>
  <si>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</si>
  <si>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</si>
  <si>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</si>
  <si>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</si>
  <si>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</si>
  <si>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</si>
  <si>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</si>
  <si>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</si>
  <si>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</si>
  <si>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</si>
  <si>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</si>
  <si>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</si>
  <si>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</si>
  <si>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</si>
  <si>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</si>
  <si>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</si>
  <si>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</si>
  <si>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</si>
  <si>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</si>
  <si>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</si>
  <si>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</si>
  <si>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</si>
  <si>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</si>
  <si>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</si>
  <si>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</si>
  <si>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</si>
  <si>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</si>
  <si>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</si>
  <si>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</si>
  <si>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</si>
  <si>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</si>
  <si>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</si>
  <si>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</si>
  <si>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</si>
  <si>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</si>
  <si>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</si>
  <si>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</si>
  <si>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</si>
  <si>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</si>
  <si>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</si>
  <si>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</si>
  <si>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</si>
  <si>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</si>
  <si>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</si>
  <si>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</si>
  <si>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</si>
  <si>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</si>
  <si>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</si>
  <si>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</si>
  <si>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</si>
  <si>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</si>
  <si>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</si>
  <si>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</si>
  <si>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</si>
  <si>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</si>
  <si>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</si>
  <si>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</si>
  <si>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</si>
  <si>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</si>
  <si>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</si>
  <si>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</si>
  <si>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</si>
  <si>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</si>
  <si>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</si>
  <si>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</si>
  <si>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</si>
  <si>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</si>
  <si>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</si>
  <si>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</si>
  <si>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</si>
  <si>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</si>
  <si>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</si>
  <si>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</si>
  <si>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</si>
  <si>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</si>
  <si>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</si>
  <si>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</si>
  <si>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</si>
  <si>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</si>
  <si>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</si>
  <si>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</si>
  <si>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</si>
  <si>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</si>
  <si>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</si>
  <si>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</si>
  <si>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</si>
  <si>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</si>
  <si>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</si>
  <si>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</si>
  <si>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</si>
  <si>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</si>
  <si>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</si>
  <si>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</si>
  <si>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</si>
  <si>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</si>
  <si>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</si>
  <si>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</si>
  <si>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</si>
  <si>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</si>
  <si>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</si>
  <si>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</si>
  <si>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</si>
  <si>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</si>
  <si>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</si>
  <si>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</si>
  <si>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</si>
  <si>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</si>
  <si>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</si>
  <si>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</si>
  <si>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</si>
  <si>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</si>
  <si>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</si>
  <si>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</si>
  <si>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</si>
  <si>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</si>
  <si>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</si>
  <si>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</si>
  <si>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</si>
  <si>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</si>
  <si>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</si>
  <si>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</si>
  <si>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</si>
  <si>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</si>
  <si>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</si>
  <si>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</si>
  <si>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</si>
  <si>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</si>
  <si>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</si>
  <si>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</si>
  <si>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</si>
  <si>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</si>
  <si>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</si>
  <si>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</si>
  <si>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</si>
  <si>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</si>
  <si>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</si>
  <si>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</si>
  <si>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</si>
  <si>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</si>
  <si>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</si>
  <si>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</si>
  <si>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</si>
  <si>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</si>
  <si>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</si>
  <si>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</si>
  <si>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</si>
  <si>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</si>
  <si>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</si>
  <si>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</si>
  <si>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</si>
  <si>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</si>
  <si>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</si>
  <si>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</si>
  <si>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</si>
  <si>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</si>
  <si>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</si>
  <si>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</si>
  <si>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</si>
  <si>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</si>
  <si>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</si>
  <si>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</si>
  <si>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</si>
  <si>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</si>
  <si>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</si>
  <si>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</si>
  <si>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</si>
  <si>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</si>
  <si>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</si>
  <si>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</si>
  <si>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</si>
  <si>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</si>
  <si>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</si>
  <si>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</si>
  <si>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</si>
  <si>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</si>
  <si>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</si>
  <si>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</si>
  <si>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</si>
  <si>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</si>
  <si>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</si>
  <si>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</si>
  <si>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</si>
  <si>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</si>
  <si>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</si>
  <si>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</si>
  <si>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</si>
  <si>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</si>
  <si>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</si>
  <si>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</si>
  <si>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</si>
  <si>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</si>
  <si>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</si>
  <si>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</si>
  <si>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</si>
  <si>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</si>
  <si>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</si>
  <si>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</si>
  <si>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</si>
  <si>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</si>
  <si>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</si>
  <si>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</si>
  <si>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</si>
  <si>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</si>
  <si>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</si>
  <si>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</si>
  <si>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</si>
  <si>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</si>
  <si>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</si>
  <si>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</si>
  <si>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</si>
  <si>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</si>
  <si>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</si>
  <si>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</si>
  <si>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</si>
  <si>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</si>
  <si>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</si>
  <si>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</si>
  <si>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</si>
  <si>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</si>
  <si>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</si>
  <si>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</si>
  <si>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</si>
  <si>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</si>
  <si>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</si>
  <si>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</si>
  <si>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</si>
  <si>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</si>
  <si>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</si>
  <si>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</si>
  <si>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</si>
  <si>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</si>
  <si>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</si>
  <si>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</si>
  <si>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</si>
  <si>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</si>
  <si>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</si>
  <si>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</si>
  <si>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</si>
  <si>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</si>
  <si>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</si>
  <si>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</si>
  <si>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</si>
  <si>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</si>
  <si>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</si>
  <si>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</si>
  <si>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</si>
  <si>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</si>
  <si>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</si>
  <si>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</si>
  <si>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</si>
  <si>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</si>
  <si>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</si>
  <si>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</si>
  <si>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</si>
  <si>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</si>
  <si>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</si>
  <si>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</si>
  <si>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</si>
  <si>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</si>
  <si>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</si>
  <si>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</si>
  <si>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</si>
  <si>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</si>
  <si>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</si>
  <si>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</si>
  <si>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</si>
  <si>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</si>
  <si>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</si>
  <si>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</si>
  <si>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</si>
  <si>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</si>
  <si>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</si>
  <si>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</si>
  <si>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</si>
  <si>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</si>
  <si>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</si>
  <si>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</si>
  <si>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</si>
  <si>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</si>
  <si>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</si>
  <si>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</si>
  <si>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</si>
  <si>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</si>
  <si>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</si>
  <si>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</si>
  <si>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</si>
  <si>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</si>
  <si>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</si>
  <si>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</si>
  <si>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</si>
  <si>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</si>
  <si>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</si>
  <si>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</si>
  <si>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</si>
  <si>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</si>
  <si>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</si>
  <si>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</si>
  <si>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</si>
  <si>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</si>
  <si>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</si>
  <si>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</si>
  <si>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</si>
  <si>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</si>
  <si>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</si>
  <si>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</si>
  <si>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</si>
  <si>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</si>
  <si>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</si>
  <si>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</si>
  <si>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</si>
  <si>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</si>
  <si>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</si>
  <si>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</si>
  <si>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</si>
  <si>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</si>
  <si>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</si>
  <si>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</si>
  <si>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</si>
  <si>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</si>
  <si>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</si>
  <si>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</si>
  <si>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</si>
  <si>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</si>
  <si>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</si>
  <si>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</si>
  <si>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</si>
  <si>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</si>
  <si>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</si>
  <si>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</si>
  <si>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</si>
  <si>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</si>
  <si>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</si>
  <si>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</si>
  <si>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</si>
  <si>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</si>
  <si>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</si>
  <si>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</si>
  <si>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</si>
  <si>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</si>
  <si>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</si>
  <si>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</si>
  <si>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</si>
  <si>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</si>
  <si>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</si>
  <si>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</si>
  <si>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</si>
  <si>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</si>
  <si>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</si>
  <si>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</si>
  <si>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</si>
  <si>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</si>
  <si>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</si>
  <si>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</si>
  <si>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</si>
  <si>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</si>
  <si>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</si>
  <si>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</si>
  <si>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</si>
  <si>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</si>
  <si>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</si>
  <si>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</si>
  <si>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</si>
  <si>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</si>
  <si>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</si>
  <si>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</si>
  <si>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</si>
  <si>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</si>
  <si>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</si>
  <si>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</si>
  <si>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</si>
  <si>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</si>
  <si>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</si>
  <si>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</si>
  <si>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</si>
  <si>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</si>
  <si>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</si>
  <si>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</si>
  <si>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</si>
  <si>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</si>
  <si>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</si>
  <si>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</si>
  <si>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</si>
  <si>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</si>
  <si>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</si>
  <si>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</si>
  <si>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</si>
  <si>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</si>
  <si>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</si>
  <si>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</si>
  <si>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</si>
  <si>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</si>
  <si>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</si>
  <si>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</si>
  <si>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</si>
  <si>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</si>
  <si>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</si>
  <si>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</si>
  <si>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</si>
  <si>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</si>
  <si>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</si>
  <si>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</si>
  <si>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</si>
  <si>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</si>
  <si>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</si>
  <si>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</si>
  <si>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</si>
  <si>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</si>
  <si>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</si>
  <si>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</si>
  <si>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</si>
  <si>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</si>
  <si>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</si>
  <si>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</si>
  <si>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</si>
  <si>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</si>
  <si>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</si>
  <si>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</si>
  <si>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</si>
  <si>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</si>
  <si>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</si>
  <si>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</si>
  <si>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</si>
  <si>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</si>
  <si>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</si>
  <si>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</si>
  <si>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</si>
  <si>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</si>
  <si>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</si>
  <si>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</si>
  <si>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</si>
  <si>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</si>
  <si>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</si>
  <si>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</si>
  <si>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</si>
  <si>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</si>
  <si>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</si>
  <si>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</si>
  <si>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</si>
  <si>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</si>
  <si>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</si>
  <si>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</si>
  <si>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</si>
  <si>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</si>
  <si>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</si>
  <si>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</si>
  <si>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</si>
  <si>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</si>
  <si>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</si>
  <si>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</si>
  <si>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</si>
  <si>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</si>
  <si>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</si>
  <si>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</si>
  <si>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</si>
  <si>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</si>
  <si>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</si>
  <si>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</si>
  <si>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</si>
  <si>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</si>
  <si>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</si>
  <si>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</si>
  <si>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</si>
  <si>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</si>
  <si>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</si>
  <si>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</si>
  <si>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</si>
  <si>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</si>
  <si>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</si>
  <si>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</si>
  <si>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</si>
  <si>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</si>
  <si>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</si>
  <si>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</si>
  <si>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</si>
  <si>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</si>
  <si>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</si>
  <si>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</si>
  <si>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</si>
  <si>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</si>
  <si>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</si>
  <si>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</si>
  <si>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</si>
  <si>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</si>
  <si>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</si>
  <si>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</si>
  <si>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</si>
  <si>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</si>
  <si>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</si>
  <si>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</si>
  <si>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</si>
  <si>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</si>
  <si>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</si>
  <si>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</si>
  <si>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</si>
  <si>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</si>
  <si>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</si>
  <si>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</si>
  <si>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</si>
  <si>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</si>
  <si>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</si>
  <si>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</si>
  <si>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</si>
  <si>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</si>
  <si>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</si>
  <si>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</si>
  <si>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</si>
  <si>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</si>
  <si>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</si>
  <si>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</si>
  <si>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</si>
  <si>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</si>
  <si>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</si>
  <si>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</si>
  <si>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</si>
  <si>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</si>
  <si>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</si>
  <si>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</si>
  <si>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</si>
  <si>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</si>
  <si>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</si>
  <si>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</si>
  <si>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</si>
  <si>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</si>
  <si>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</si>
  <si>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</si>
  <si>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</si>
  <si>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</si>
  <si>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</si>
  <si>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</si>
  <si>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</si>
  <si>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</si>
  <si>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</si>
  <si>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</si>
  <si>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</si>
  <si>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</si>
  <si>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</si>
  <si>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</si>
  <si>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</si>
  <si>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</si>
  <si>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</si>
  <si>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</si>
  <si>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</si>
  <si>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</si>
  <si>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</si>
  <si>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</si>
  <si>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</si>
  <si>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</si>
  <si>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</si>
  <si>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</si>
  <si>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</si>
  <si>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</si>
  <si>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</si>
  <si>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</si>
  <si>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</si>
  <si>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</si>
  <si>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</si>
  <si>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</si>
  <si>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</si>
  <si>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</si>
  <si>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</si>
  <si>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</si>
  <si>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</si>
  <si>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</si>
  <si>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</si>
  <si>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</si>
  <si>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</si>
  <si>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</si>
  <si>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</si>
  <si>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</si>
  <si>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</si>
  <si>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</si>
  <si>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</si>
  <si>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</si>
  <si>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</si>
  <si>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</si>
  <si>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</si>
  <si>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</si>
  <si>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</si>
  <si>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</si>
  <si>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</si>
  <si>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</si>
  <si>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</si>
  <si>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</si>
  <si>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</si>
  <si>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</si>
  <si>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</si>
  <si>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</si>
  <si>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</si>
  <si>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</si>
  <si>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</si>
  <si>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</si>
  <si>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</si>
  <si>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</si>
  <si>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</si>
  <si>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</si>
  <si>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</si>
  <si>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</si>
  <si>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</si>
  <si>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</si>
  <si>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</si>
  <si>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</si>
  <si>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</si>
  <si>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</si>
  <si>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</si>
  <si>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</si>
  <si>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</si>
  <si>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</si>
  <si>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</si>
  <si>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</si>
  <si>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</si>
  <si>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</si>
  <si>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</si>
  <si>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</si>
  <si>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</si>
  <si>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</si>
  <si>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</si>
  <si>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</si>
  <si>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</si>
  <si>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</si>
  <si>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</si>
  <si>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</si>
  <si>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</si>
  <si>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</si>
  <si>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</si>
  <si>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</si>
  <si>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</si>
  <si>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</si>
  <si>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</si>
  <si>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</si>
  <si>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</si>
  <si>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</si>
  <si>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</si>
  <si>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</si>
  <si>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</si>
  <si>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</si>
  <si>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</si>
  <si>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</si>
  <si>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</si>
  <si>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</si>
  <si>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</si>
  <si>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</si>
  <si>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</si>
  <si>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</si>
  <si>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</si>
  <si>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</si>
  <si>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</si>
  <si>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</si>
  <si>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</si>
  <si>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</si>
  <si>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</si>
  <si>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</si>
  <si>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</si>
  <si>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</si>
  <si>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</si>
  <si>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</si>
  <si>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</si>
  <si>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</si>
  <si>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</si>
  <si>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</si>
  <si>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</si>
  <si>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</si>
  <si>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</si>
  <si>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</si>
  <si>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</si>
  <si>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</si>
  <si>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</si>
  <si>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</si>
  <si>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</si>
  <si>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</si>
  <si>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</si>
  <si>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</si>
  <si>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</si>
  <si>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</si>
  <si>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</si>
  <si>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</si>
  <si>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</si>
  <si>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</si>
  <si>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</si>
  <si>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</si>
  <si>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</si>
  <si>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</si>
  <si>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</si>
  <si>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</si>
  <si>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</si>
  <si>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</si>
  <si>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</si>
  <si>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</si>
  <si>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</si>
  <si>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</si>
  <si>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</si>
  <si>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</si>
  <si>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</si>
  <si>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</si>
  <si>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</si>
  <si>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</si>
  <si>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</si>
  <si>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</si>
  <si>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</si>
  <si>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</si>
  <si>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</si>
  <si>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</si>
  <si>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</si>
  <si>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</si>
  <si>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</si>
  <si>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</si>
  <si>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</si>
  <si>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</si>
  <si>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</si>
  <si>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</si>
  <si>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</si>
  <si>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</si>
  <si>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</si>
  <si>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</si>
  <si>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</si>
  <si>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</si>
  <si>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</si>
  <si>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</si>
  <si>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</si>
  <si>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</si>
  <si>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</si>
  <si>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</si>
  <si>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</si>
  <si>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</si>
  <si>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</si>
  <si>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</si>
  <si>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</si>
  <si>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</si>
  <si>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</si>
  <si>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</si>
  <si>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</si>
  <si>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</si>
  <si>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</si>
  <si>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</si>
  <si>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</si>
  <si>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</si>
  <si>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</si>
  <si>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</si>
  <si>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</si>
  <si>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</si>
  <si>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</si>
  <si>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</si>
  <si>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</si>
  <si>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</si>
  <si>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</si>
  <si>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</si>
  <si>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</si>
  <si>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</si>
  <si>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</si>
  <si>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</si>
  <si>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</si>
  <si>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</si>
  <si>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</si>
  <si>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</si>
  <si>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</si>
  <si>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</si>
  <si>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</si>
  <si>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</si>
  <si>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</si>
  <si>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</si>
  <si>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</si>
  <si>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</si>
  <si>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</si>
  <si>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</si>
  <si>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</si>
  <si>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</si>
  <si>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</si>
  <si>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</si>
  <si>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</si>
  <si>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</si>
  <si>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</si>
  <si>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</si>
  <si>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</si>
  <si>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</si>
  <si>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</si>
  <si>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</si>
  <si>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</si>
  <si>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</si>
  <si>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</si>
  <si>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</si>
  <si>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</si>
  <si>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</si>
  <si>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</si>
  <si>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</si>
  <si>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</si>
  <si>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</si>
  <si>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</si>
  <si>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</si>
  <si>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</si>
  <si>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</si>
  <si>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</si>
  <si>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</si>
  <si>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</si>
  <si>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</si>
  <si>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</si>
  <si>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</si>
  <si>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</si>
  <si>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</si>
  <si>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</si>
  <si>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</si>
  <si>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</si>
  <si>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</si>
  <si>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</si>
  <si>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</si>
  <si>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</si>
  <si>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</si>
  <si>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</si>
  <si>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</si>
  <si>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</si>
  <si>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</si>
  <si>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</si>
  <si>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</si>
  <si>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</si>
  <si>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</si>
  <si>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</si>
  <si>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</si>
  <si>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</si>
  <si>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</si>
  <si>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</si>
  <si>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</si>
  <si>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</si>
  <si>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</si>
  <si>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</si>
  <si>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</si>
  <si>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</si>
  <si>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</si>
  <si>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</si>
  <si>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</si>
  <si>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</si>
  <si>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</si>
  <si>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</si>
  <si>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</si>
  <si>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</si>
  <si>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</si>
  <si>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</si>
  <si>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</si>
  <si>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</si>
  <si>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</si>
  <si>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</si>
  <si>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</si>
  <si>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</si>
  <si>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</si>
  <si>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</si>
  <si>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</si>
  <si>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</si>
  <si>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</si>
  <si>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</si>
  <si>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</si>
  <si>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</si>
  <si>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</si>
  <si>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</si>
  <si>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</si>
  <si>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</si>
  <si>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</si>
  <si>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</si>
  <si>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</si>
  <si>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</si>
  <si>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</si>
  <si>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</si>
  <si>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</si>
  <si>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</si>
  <si>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</si>
  <si>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</si>
  <si>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</si>
  <si>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</si>
  <si>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</si>
  <si>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</si>
  <si>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</si>
  <si>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</si>
  <si>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</si>
  <si>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</si>
  <si>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</si>
  <si>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</si>
  <si>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</si>
  <si>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</si>
  <si>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</si>
  <si>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</si>
  <si>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</si>
  <si>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</si>
  <si>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</si>
  <si>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</si>
  <si>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</si>
  <si>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</si>
  <si>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</si>
  <si>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</si>
  <si>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</si>
  <si>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</si>
  <si>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</si>
  <si>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</si>
  <si>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</si>
  <si>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</si>
  <si>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</si>
  <si>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</si>
  <si>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</si>
  <si>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</si>
  <si>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</si>
  <si>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</si>
  <si>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</si>
  <si>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</si>
  <si>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</si>
  <si>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</si>
  <si>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</si>
  <si>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</si>
  <si>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</si>
  <si>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</si>
  <si>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</si>
  <si>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</si>
  <si>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</si>
  <si>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</si>
  <si>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</si>
  <si>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</si>
  <si>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</si>
  <si>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</si>
  <si>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</si>
  <si>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</si>
  <si>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</si>
  <si>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</si>
  <si>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</si>
  <si>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</si>
  <si>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</si>
  <si>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</si>
  <si>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</si>
  <si>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</si>
  <si>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</si>
  <si>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</si>
  <si>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</si>
  <si>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</si>
  <si>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</si>
  <si>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</si>
  <si>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</si>
  <si>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</si>
  <si>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</si>
  <si>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</si>
  <si>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</si>
  <si>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</si>
  <si>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</si>
  <si>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</si>
  <si>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</si>
  <si>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</si>
  <si>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</si>
  <si>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</si>
  <si>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</si>
  <si>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</si>
  <si>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</si>
  <si>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</si>
  <si>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</si>
  <si>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</si>
  <si>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</si>
  <si>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</si>
  <si>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</si>
  <si>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</si>
  <si>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</si>
  <si>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</si>
  <si>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</si>
  <si>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</si>
  <si>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</si>
  <si>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</si>
  <si>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</si>
  <si>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</si>
  <si>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</si>
  <si>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</si>
  <si>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</si>
  <si>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</si>
  <si>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</si>
  <si>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</si>
  <si>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</si>
  <si>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</si>
  <si>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</si>
  <si>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</si>
  <si>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</si>
  <si>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</si>
  <si>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</si>
  <si>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</si>
  <si>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</si>
  <si>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</si>
  <si>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</si>
  <si>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</si>
  <si>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</si>
  <si>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</si>
  <si>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</si>
  <si>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</si>
  <si>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</si>
  <si>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</si>
  <si>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</si>
  <si>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</si>
  <si>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</si>
  <si>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</si>
  <si>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</si>
  <si>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</si>
  <si>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</si>
  <si>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</si>
  <si>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</si>
  <si>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</si>
  <si>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</si>
  <si>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</si>
  <si>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</si>
  <si>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</si>
  <si>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</si>
  <si>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</si>
  <si>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</si>
  <si>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</si>
  <si>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</si>
  <si>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</si>
  <si>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</si>
  <si>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</si>
  <si>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</si>
  <si>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</si>
  <si>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</si>
  <si>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</si>
  <si>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</si>
  <si>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</si>
  <si>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</si>
  <si>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</si>
  <si>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</si>
  <si>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</si>
  <si>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</si>
  <si>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</si>
  <si>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</si>
  <si>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</si>
  <si>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</si>
  <si>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</si>
  <si>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</si>
  <si>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</si>
  <si>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</si>
  <si>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</si>
  <si>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</si>
  <si>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</si>
  <si>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</si>
  <si>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</si>
  <si>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</si>
  <si>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</si>
  <si>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</si>
  <si>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</si>
  <si>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</si>
  <si>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</si>
  <si>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</si>
  <si>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</si>
  <si>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</si>
  <si>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</si>
  <si>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</si>
  <si>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</si>
  <si>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</si>
  <si>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</si>
  <si>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</si>
  <si>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</si>
  <si>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</si>
  <si>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</si>
  <si>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</si>
  <si>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</si>
  <si>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</si>
  <si>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</si>
  <si>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</si>
  <si>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</si>
  <si>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</si>
  <si>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</si>
  <si>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</si>
  <si>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</si>
  <si>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</si>
  <si>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</si>
  <si>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</si>
  <si>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</si>
  <si>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</si>
  <si>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</si>
  <si>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</si>
  <si>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</si>
  <si>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</si>
  <si>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</si>
  <si>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</si>
  <si>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</si>
  <si>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</si>
  <si>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</si>
  <si>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</si>
  <si>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</si>
  <si>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</si>
  <si>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</si>
  <si>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</si>
  <si>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</si>
  <si>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</si>
  <si>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</si>
  <si>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</si>
  <si>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</si>
  <si>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</si>
  <si>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</si>
  <si>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</si>
  <si>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</si>
  <si>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</si>
  <si>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</si>
  <si>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</si>
  <si>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</si>
  <si>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</si>
  <si>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</si>
  <si>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</si>
  <si>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</si>
  <si>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</si>
  <si>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</si>
  <si>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</si>
  <si>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</si>
  <si>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</si>
  <si>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</si>
  <si>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</si>
  <si>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</si>
  <si>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</si>
  <si>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</si>
  <si>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</si>
  <si>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</si>
  <si>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</si>
  <si>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</si>
  <si>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</si>
  <si>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</si>
  <si>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</si>
  <si>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</si>
  <si>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</si>
  <si>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</si>
  <si>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</si>
  <si>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</si>
  <si>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</si>
  <si>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</si>
  <si>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</si>
  <si>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</si>
  <si>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</si>
  <si>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</si>
  <si>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</si>
  <si>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</si>
  <si>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</si>
  <si>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</si>
  <si>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</si>
  <si>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</si>
  <si>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</si>
  <si>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</si>
  <si>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</si>
  <si>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</si>
  <si>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</si>
  <si>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</si>
  <si>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</si>
  <si>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</si>
  <si>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</si>
  <si>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</si>
  <si>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</si>
  <si>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</si>
  <si>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</si>
  <si>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</si>
  <si>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</si>
  <si>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</si>
  <si>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</si>
  <si>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</si>
  <si>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</si>
  <si>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</si>
  <si>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</si>
  <si>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</si>
  <si>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</si>
  <si>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</si>
  <si>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</si>
  <si>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</si>
  <si>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</si>
  <si>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</si>
  <si>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</si>
  <si>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</si>
  <si>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</si>
  <si>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</si>
  <si>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</si>
  <si>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</si>
  <si>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</si>
  <si>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</si>
  <si>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</si>
  <si>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</si>
  <si>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</si>
  <si>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</si>
  <si>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</si>
  <si>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</si>
  <si>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</si>
  <si>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</si>
  <si>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</si>
  <si>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</si>
  <si>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</si>
  <si>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</si>
  <si>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</si>
  <si>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</si>
  <si>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</si>
  <si>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</si>
  <si>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</si>
  <si>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</si>
  <si>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</si>
  <si>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</si>
  <si>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</si>
  <si>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</si>
  <si>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</si>
  <si>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</si>
  <si>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</si>
  <si>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</si>
  <si>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</si>
  <si>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</si>
  <si>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</si>
  <si>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</si>
  <si>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</si>
  <si>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</si>
  <si>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</si>
  <si>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</si>
  <si>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</si>
  <si>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</si>
  <si>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</si>
  <si>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</si>
  <si>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</si>
  <si>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</si>
  <si>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</si>
  <si>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</si>
  <si>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</si>
  <si>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</si>
  <si>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</si>
  <si>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</si>
  <si>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</si>
  <si>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</si>
  <si>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</si>
  <si>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</si>
  <si>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</si>
  <si>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</si>
  <si>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</si>
  <si>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</si>
  <si>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</si>
  <si>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</si>
  <si>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</si>
  <si>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</si>
  <si>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</si>
  <si>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</si>
  <si>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</si>
  <si>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</si>
  <si>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</si>
  <si>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</si>
  <si>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</si>
  <si>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</si>
  <si>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</si>
  <si>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</si>
  <si>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</si>
  <si>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</si>
  <si>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</si>
  <si>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</si>
  <si>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</si>
  <si>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</si>
  <si>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</si>
  <si>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</si>
  <si>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</si>
  <si>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</si>
  <si>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</si>
  <si>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</si>
  <si>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</si>
  <si>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</si>
  <si>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</si>
  <si>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</si>
  <si>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</si>
  <si>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</si>
  <si>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</si>
  <si>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</si>
  <si>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</si>
  <si>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</si>
  <si>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</si>
  <si>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</si>
  <si>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</si>
  <si>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</si>
  <si>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</si>
  <si>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</si>
  <si>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</si>
  <si>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</si>
  <si>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</si>
  <si>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</si>
  <si>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</si>
  <si>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</si>
  <si>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</si>
  <si>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</si>
  <si>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</si>
  <si>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</si>
  <si>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</si>
  <si>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</si>
  <si>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</si>
  <si>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</si>
  <si>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</si>
  <si>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</si>
  <si>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</si>
  <si>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</si>
  <si>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</si>
  <si>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</si>
  <si>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</si>
  <si>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</si>
  <si>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</si>
  <si>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</si>
  <si>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</si>
  <si>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</si>
  <si>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</si>
  <si>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</si>
  <si>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</si>
  <si>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</si>
  <si>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</si>
  <si>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</si>
  <si>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</si>
  <si>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</si>
  <si>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</si>
  <si>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</si>
  <si>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</si>
  <si>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</si>
  <si>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</si>
  <si>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</si>
  <si>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</si>
  <si>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</si>
  <si>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</si>
  <si>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</si>
  <si>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</si>
  <si>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</si>
  <si>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</si>
  <si>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</si>
  <si>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</si>
  <si>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</si>
  <si>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</si>
  <si>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</si>
  <si>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</si>
  <si>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</si>
  <si>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</si>
  <si>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</si>
  <si>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</si>
  <si>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</si>
  <si>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</si>
  <si>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</si>
  <si>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</si>
  <si>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</si>
  <si>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</si>
  <si>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</si>
  <si>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</si>
  <si>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</si>
  <si>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</si>
  <si>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</si>
  <si>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</si>
  <si>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</si>
  <si>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</si>
  <si>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</si>
  <si>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</si>
  <si>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</si>
  <si>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</si>
  <si>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</si>
  <si>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</si>
  <si>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</si>
  <si>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</si>
  <si>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</si>
  <si>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</si>
  <si>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</si>
  <si>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</si>
  <si>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</si>
  <si>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</si>
  <si>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</si>
  <si>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</si>
  <si>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</si>
  <si>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</si>
  <si>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</si>
  <si>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</si>
  <si>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</si>
  <si>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</si>
  <si>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</si>
  <si>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</si>
  <si>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</si>
  <si>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</si>
  <si>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</si>
  <si>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</si>
  <si>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</si>
  <si>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</si>
  <si>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</si>
  <si>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</si>
  <si>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</si>
  <si>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</si>
  <si>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</si>
  <si>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</si>
  <si>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</si>
  <si>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</si>
  <si>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</si>
  <si>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</si>
  <si>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</si>
  <si>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</si>
  <si>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</si>
  <si>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</si>
  <si>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</si>
  <si>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</si>
  <si>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</si>
  <si>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</si>
  <si>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</si>
  <si>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</si>
  <si>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</si>
  <si>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</si>
  <si>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</si>
  <si>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</si>
  <si>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</si>
  <si>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</si>
  <si>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</si>
  <si>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</si>
  <si>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</si>
  <si>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</si>
  <si>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</si>
  <si>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</si>
  <si>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</si>
  <si>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</si>
  <si>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</si>
  <si>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</si>
  <si>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</si>
  <si>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</si>
  <si>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</si>
  <si>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</si>
  <si>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</si>
  <si>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</si>
  <si>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</si>
  <si>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</si>
  <si>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</si>
  <si>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</si>
  <si>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</si>
  <si>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</si>
  <si>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</si>
  <si>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</si>
  <si>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</si>
  <si>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</si>
  <si>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</si>
  <si>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</si>
  <si>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</si>
  <si>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</si>
  <si>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</si>
  <si>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</si>
  <si>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</si>
  <si>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</si>
  <si>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</si>
  <si>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</si>
  <si>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</si>
  <si>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</si>
  <si>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</si>
  <si>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</si>
  <si>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</si>
  <si>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</si>
  <si>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</si>
  <si>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</si>
  <si>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</si>
  <si>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</si>
  <si>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</si>
  <si>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</si>
  <si>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</si>
  <si>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</si>
  <si>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</si>
  <si>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</si>
  <si>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</si>
  <si>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</si>
  <si>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</si>
  <si>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</si>
  <si>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</si>
  <si>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</si>
  <si>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</si>
  <si>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</si>
  <si>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</si>
  <si>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</si>
  <si>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</si>
  <si>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</si>
  <si>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</si>
  <si>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</si>
  <si>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</si>
  <si>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</si>
  <si>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</si>
  <si>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</si>
  <si>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</si>
  <si>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</si>
  <si>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</si>
  <si>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</si>
  <si>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</si>
  <si>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</si>
  <si>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</si>
  <si>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</si>
  <si>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</si>
  <si>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</si>
  <si>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</si>
  <si>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</si>
  <si>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</si>
  <si>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</si>
  <si>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</si>
  <si>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</si>
  <si>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</si>
  <si>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</si>
  <si>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</si>
  <si>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</si>
  <si>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</si>
  <si>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</si>
  <si>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</si>
  <si>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</si>
  <si>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</si>
  <si>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</si>
  <si>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</si>
  <si>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</si>
  <si>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</si>
  <si>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</si>
  <si>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</si>
  <si>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</si>
  <si>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</si>
  <si>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</si>
  <si>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</si>
  <si>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</si>
  <si>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</si>
  <si>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</si>
  <si>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</si>
  <si>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</si>
  <si>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</si>
  <si>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</si>
  <si>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</si>
  <si>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</si>
  <si>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</si>
  <si>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</si>
  <si>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</si>
  <si>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</si>
  <si>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</si>
  <si>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</si>
  <si>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</si>
  <si>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</si>
  <si>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</si>
  <si>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</si>
  <si>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</si>
  <si>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</si>
  <si>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</si>
  <si>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</si>
  <si>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</si>
  <si>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</si>
  <si>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</si>
  <si>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</si>
  <si>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</si>
  <si>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</si>
  <si>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</si>
  <si>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</si>
  <si>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</si>
  <si>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</si>
  <si>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</si>
  <si>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</si>
  <si>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</si>
  <si>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</si>
  <si>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</si>
  <si>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</si>
  <si>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</si>
  <si>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</si>
  <si>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</si>
  <si>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</si>
  <si>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</si>
  <si>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</si>
  <si>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</si>
  <si>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</si>
  <si>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</si>
  <si>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</si>
  <si>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</si>
  <si>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</si>
  <si>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</si>
  <si>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</si>
  <si>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</si>
  <si>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</si>
  <si>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抵押</t>
  </si>
  <si>
    <t>房地产抵押价值</t>
  </si>
  <si>
    <t>北京市</t>
  </si>
  <si>
    <t>企业</t>
  </si>
  <si>
    <t>出让</t>
  </si>
  <si>
    <r>
      <t>18-1</t>
    </r>
    <r>
      <rPr>
        <sz val="10"/>
        <color indexed="8"/>
        <rFont val="宋体"/>
        <family val="3"/>
        <charset val="134"/>
      </rPr>
      <t>号</t>
    </r>
    <phoneticPr fontId="4" type="noConversion"/>
  </si>
  <si>
    <t>地上</t>
  </si>
  <si>
    <t>办公楼</t>
  </si>
  <si>
    <r>
      <t>18-2</t>
    </r>
    <r>
      <rPr>
        <sz val="10"/>
        <color indexed="8"/>
        <rFont val="宋体"/>
        <family val="3"/>
        <charset val="134"/>
      </rPr>
      <t>号</t>
    </r>
    <phoneticPr fontId="4" type="noConversion"/>
  </si>
  <si>
    <r>
      <rPr>
        <sz val="10"/>
        <color indexed="8"/>
        <rFont val="宋体"/>
        <family val="3"/>
        <charset val="134"/>
      </rPr>
      <t>附房</t>
    </r>
    <r>
      <rPr>
        <sz val="10"/>
        <color indexed="8"/>
        <rFont val="Arial"/>
        <family val="2"/>
      </rPr>
      <t>1</t>
    </r>
    <phoneticPr fontId="4" type="noConversion"/>
  </si>
  <si>
    <r>
      <rPr>
        <sz val="10"/>
        <color indexed="8"/>
        <rFont val="宋体"/>
        <family val="3"/>
        <charset val="134"/>
      </rPr>
      <t>附房</t>
    </r>
    <r>
      <rPr>
        <sz val="10"/>
        <color indexed="8"/>
        <rFont val="Arial"/>
        <family val="2"/>
      </rPr>
      <t>2</t>
    </r>
    <r>
      <rPr>
        <sz val="11"/>
        <color theme="1"/>
        <rFont val="宋体"/>
        <family val="2"/>
        <charset val="134"/>
        <scheme val="minor"/>
      </rPr>
      <t/>
    </r>
  </si>
  <si>
    <r>
      <rPr>
        <sz val="10"/>
        <color indexed="8"/>
        <rFont val="宋体"/>
        <family val="3"/>
        <charset val="134"/>
      </rPr>
      <t>附房</t>
    </r>
    <r>
      <rPr>
        <sz val="10"/>
        <color indexed="8"/>
        <rFont val="Arial"/>
        <family val="2"/>
      </rPr>
      <t>3</t>
    </r>
    <r>
      <rPr>
        <sz val="11"/>
        <color theme="1"/>
        <rFont val="宋体"/>
        <family val="2"/>
        <charset val="134"/>
        <scheme val="minor"/>
      </rPr>
      <t/>
    </r>
  </si>
  <si>
    <r>
      <rPr>
        <sz val="10"/>
        <color indexed="8"/>
        <rFont val="宋体"/>
        <family val="3"/>
        <charset val="134"/>
      </rPr>
      <t>附房</t>
    </r>
    <r>
      <rPr>
        <sz val="10"/>
        <color indexed="8"/>
        <rFont val="Arial"/>
        <family val="2"/>
      </rPr>
      <t>4</t>
    </r>
    <r>
      <rPr>
        <sz val="11"/>
        <color theme="1"/>
        <rFont val="宋体"/>
        <family val="2"/>
        <charset val="134"/>
        <scheme val="minor"/>
      </rPr>
      <t/>
    </r>
  </si>
  <si>
    <r>
      <rPr>
        <sz val="10"/>
        <color indexed="8"/>
        <rFont val="宋体"/>
        <family val="3"/>
        <charset val="134"/>
      </rPr>
      <t>附房</t>
    </r>
    <r>
      <rPr>
        <sz val="10"/>
        <color indexed="8"/>
        <rFont val="Arial"/>
        <family val="2"/>
      </rPr>
      <t>5</t>
    </r>
    <r>
      <rPr>
        <sz val="11"/>
        <color theme="1"/>
        <rFont val="宋体"/>
        <family val="2"/>
        <charset val="134"/>
        <scheme val="minor"/>
      </rPr>
      <t/>
    </r>
  </si>
  <si>
    <t>是</t>
  </si>
  <si>
    <r>
      <t>2</t>
    </r>
    <r>
      <rPr>
        <sz val="11"/>
        <color indexed="8"/>
        <rFont val="宋体"/>
        <family val="3"/>
        <charset val="134"/>
      </rPr>
      <t>号楼</t>
    </r>
    <r>
      <rPr>
        <sz val="11"/>
        <color indexed="8"/>
        <rFont val="Arial"/>
        <family val="2"/>
      </rPr>
      <t>-101</t>
    </r>
    <phoneticPr fontId="4" type="noConversion"/>
  </si>
  <si>
    <r>
      <t>2</t>
    </r>
    <r>
      <rPr>
        <sz val="11"/>
        <color indexed="8"/>
        <rFont val="宋体"/>
        <family val="3"/>
        <charset val="134"/>
      </rPr>
      <t>号楼</t>
    </r>
    <r>
      <rPr>
        <sz val="11"/>
        <color indexed="8"/>
        <rFont val="Arial"/>
        <family val="2"/>
      </rPr>
      <t>-201</t>
    </r>
    <phoneticPr fontId="4" type="noConversion"/>
  </si>
  <si>
    <r>
      <t>2</t>
    </r>
    <r>
      <rPr>
        <sz val="11"/>
        <color indexed="8"/>
        <rFont val="宋体"/>
        <family val="3"/>
        <charset val="134"/>
      </rPr>
      <t>号楼</t>
    </r>
    <r>
      <rPr>
        <sz val="11"/>
        <color indexed="8"/>
        <rFont val="Arial"/>
        <family val="2"/>
      </rPr>
      <t>-301</t>
    </r>
    <phoneticPr fontId="4" type="noConversion"/>
  </si>
  <si>
    <r>
      <t>2</t>
    </r>
    <r>
      <rPr>
        <sz val="11"/>
        <color indexed="8"/>
        <rFont val="宋体"/>
        <family val="3"/>
        <charset val="134"/>
      </rPr>
      <t>号楼</t>
    </r>
    <r>
      <rPr>
        <sz val="11"/>
        <color indexed="8"/>
        <rFont val="Arial"/>
        <family val="2"/>
      </rPr>
      <t>101</t>
    </r>
    <phoneticPr fontId="4" type="noConversion"/>
  </si>
  <si>
    <r>
      <t>2</t>
    </r>
    <r>
      <rPr>
        <sz val="11"/>
        <color indexed="8"/>
        <rFont val="宋体"/>
        <family val="3"/>
        <charset val="134"/>
      </rPr>
      <t>号楼</t>
    </r>
    <r>
      <rPr>
        <sz val="11"/>
        <color indexed="8"/>
        <rFont val="Arial"/>
        <family val="2"/>
      </rPr>
      <t>201</t>
    </r>
    <phoneticPr fontId="4" type="noConversion"/>
  </si>
  <si>
    <r>
      <t>2</t>
    </r>
    <r>
      <rPr>
        <sz val="11"/>
        <color indexed="8"/>
        <rFont val="宋体"/>
        <family val="3"/>
        <charset val="134"/>
      </rPr>
      <t>号楼</t>
    </r>
    <r>
      <rPr>
        <sz val="11"/>
        <color indexed="8"/>
        <rFont val="Arial"/>
        <family val="2"/>
      </rPr>
      <t>301</t>
    </r>
    <r>
      <rPr>
        <sz val="11"/>
        <color theme="1"/>
        <rFont val="宋体"/>
        <family val="2"/>
        <charset val="134"/>
        <scheme val="minor"/>
      </rPr>
      <t/>
    </r>
  </si>
  <si>
    <r>
      <t>2</t>
    </r>
    <r>
      <rPr>
        <sz val="11"/>
        <color indexed="8"/>
        <rFont val="宋体"/>
        <family val="3"/>
        <charset val="134"/>
      </rPr>
      <t>号楼</t>
    </r>
    <r>
      <rPr>
        <sz val="11"/>
        <color indexed="8"/>
        <rFont val="Arial"/>
        <family val="2"/>
      </rPr>
      <t>401</t>
    </r>
    <r>
      <rPr>
        <sz val="11"/>
        <color theme="1"/>
        <rFont val="宋体"/>
        <family val="2"/>
        <charset val="134"/>
        <scheme val="minor"/>
      </rPr>
      <t/>
    </r>
  </si>
  <si>
    <r>
      <t>2</t>
    </r>
    <r>
      <rPr>
        <sz val="11"/>
        <color indexed="8"/>
        <rFont val="宋体"/>
        <family val="3"/>
        <charset val="134"/>
      </rPr>
      <t>号楼</t>
    </r>
    <r>
      <rPr>
        <sz val="11"/>
        <color indexed="8"/>
        <rFont val="Arial"/>
        <family val="2"/>
      </rPr>
      <t>501</t>
    </r>
    <r>
      <rPr>
        <sz val="11"/>
        <color theme="1"/>
        <rFont val="宋体"/>
        <family val="2"/>
        <charset val="134"/>
        <scheme val="minor"/>
      </rPr>
      <t/>
    </r>
  </si>
  <si>
    <r>
      <t>2</t>
    </r>
    <r>
      <rPr>
        <sz val="11"/>
        <color indexed="8"/>
        <rFont val="宋体"/>
        <family val="3"/>
        <charset val="134"/>
      </rPr>
      <t>号楼</t>
    </r>
    <r>
      <rPr>
        <sz val="11"/>
        <color indexed="8"/>
        <rFont val="Arial"/>
        <family val="2"/>
      </rPr>
      <t>601</t>
    </r>
    <r>
      <rPr>
        <sz val="11"/>
        <color theme="1"/>
        <rFont val="宋体"/>
        <family val="2"/>
        <charset val="134"/>
        <scheme val="minor"/>
      </rPr>
      <t/>
    </r>
  </si>
  <si>
    <r>
      <t>2</t>
    </r>
    <r>
      <rPr>
        <sz val="11"/>
        <color indexed="8"/>
        <rFont val="宋体"/>
        <family val="3"/>
        <charset val="134"/>
      </rPr>
      <t>号楼</t>
    </r>
    <r>
      <rPr>
        <sz val="11"/>
        <color indexed="8"/>
        <rFont val="Arial"/>
        <family val="2"/>
      </rPr>
      <t>701</t>
    </r>
    <r>
      <rPr>
        <sz val="11"/>
        <color theme="1"/>
        <rFont val="宋体"/>
        <family val="2"/>
        <charset val="134"/>
        <scheme val="minor"/>
      </rPr>
      <t/>
    </r>
  </si>
  <si>
    <r>
      <t>2</t>
    </r>
    <r>
      <rPr>
        <sz val="11"/>
        <color indexed="8"/>
        <rFont val="宋体"/>
        <family val="3"/>
        <charset val="134"/>
      </rPr>
      <t>号楼</t>
    </r>
    <r>
      <rPr>
        <sz val="11"/>
        <color indexed="8"/>
        <rFont val="Arial"/>
        <family val="2"/>
      </rPr>
      <t>801</t>
    </r>
    <r>
      <rPr>
        <sz val="11"/>
        <color theme="1"/>
        <rFont val="宋体"/>
        <family val="2"/>
        <charset val="134"/>
        <scheme val="minor"/>
      </rPr>
      <t/>
    </r>
  </si>
  <si>
    <r>
      <t>2</t>
    </r>
    <r>
      <rPr>
        <sz val="11"/>
        <color indexed="8"/>
        <rFont val="宋体"/>
        <family val="3"/>
        <charset val="134"/>
      </rPr>
      <t>号楼</t>
    </r>
    <r>
      <rPr>
        <sz val="11"/>
        <color indexed="8"/>
        <rFont val="Arial"/>
        <family val="2"/>
      </rPr>
      <t>901</t>
    </r>
    <r>
      <rPr>
        <sz val="11"/>
        <color theme="1"/>
        <rFont val="宋体"/>
        <family val="2"/>
        <charset val="134"/>
        <scheme val="minor"/>
      </rPr>
      <t/>
    </r>
  </si>
  <si>
    <r>
      <t>2</t>
    </r>
    <r>
      <rPr>
        <sz val="11"/>
        <color indexed="8"/>
        <rFont val="宋体"/>
        <family val="3"/>
        <charset val="134"/>
      </rPr>
      <t>号楼</t>
    </r>
    <r>
      <rPr>
        <sz val="11"/>
        <color indexed="8"/>
        <rFont val="Arial"/>
        <family val="2"/>
      </rPr>
      <t>902</t>
    </r>
    <phoneticPr fontId="4" type="noConversion"/>
  </si>
  <si>
    <t>地下</t>
  </si>
  <si>
    <t>车库</t>
  </si>
  <si>
    <t>成新度</t>
  </si>
  <si>
    <t>售价</t>
  </si>
  <si>
    <t>正常</t>
  </si>
  <si>
    <t>工业</t>
    <phoneticPr fontId="33" type="noConversion"/>
  </si>
  <si>
    <t>低层区</t>
    <phoneticPr fontId="33" type="noConversion"/>
  </si>
  <si>
    <t>中层区</t>
  </si>
  <si>
    <t>中层区</t>
    <phoneticPr fontId="33" type="noConversion"/>
  </si>
  <si>
    <t>高层区</t>
    <phoneticPr fontId="33" type="noConversion"/>
  </si>
  <si>
    <t>钢混</t>
  </si>
  <si>
    <t>钢混</t>
    <phoneticPr fontId="33" type="noConversion"/>
  </si>
  <si>
    <t>普通装修</t>
  </si>
  <si>
    <t>普通装修</t>
    <phoneticPr fontId="33" type="noConversion"/>
  </si>
  <si>
    <t>甲级</t>
    <phoneticPr fontId="33" type="noConversion"/>
  </si>
  <si>
    <t>非甲级</t>
    <phoneticPr fontId="33" type="noConversion"/>
  </si>
  <si>
    <t>普通物业</t>
    <phoneticPr fontId="33" type="noConversion"/>
  </si>
  <si>
    <t>六通</t>
    <phoneticPr fontId="33" type="noConversion"/>
  </si>
  <si>
    <t>标准层高</t>
    <phoneticPr fontId="33" type="noConversion"/>
  </si>
  <si>
    <t>地下车库</t>
    <phoneticPr fontId="8" type="noConversion"/>
  </si>
  <si>
    <t>精装修</t>
    <phoneticPr fontId="33" type="noConversion"/>
  </si>
  <si>
    <t>普通装修</t>
    <phoneticPr fontId="33" type="noConversion"/>
  </si>
  <si>
    <t>简单装修</t>
    <phoneticPr fontId="33" type="noConversion"/>
  </si>
  <si>
    <t>毛坯</t>
    <phoneticPr fontId="33" type="noConversion"/>
  </si>
  <si>
    <t>非生产用房</t>
  </si>
  <si>
    <t>押二</t>
  </si>
  <si>
    <t>按租金收入计税</t>
  </si>
  <si>
    <t>现房</t>
  </si>
  <si>
    <t>低层区</t>
    <phoneticPr fontId="26" type="noConversion"/>
  </si>
  <si>
    <t>中层区</t>
    <phoneticPr fontId="26" type="noConversion"/>
  </si>
  <si>
    <t>高层区</t>
    <phoneticPr fontId="26" type="noConversion"/>
  </si>
  <si>
    <t>典型户型修正</t>
  </si>
  <si>
    <t>工业用地</t>
  </si>
  <si>
    <t>不临58条商业街</t>
  </si>
  <si>
    <t>通电</t>
  </si>
  <si>
    <t>通路</t>
  </si>
  <si>
    <t>与级别开发程度不一致</t>
  </si>
  <si>
    <t>通讯</t>
  </si>
  <si>
    <t>通上水</t>
  </si>
  <si>
    <t>通下水</t>
  </si>
  <si>
    <t>平整</t>
  </si>
  <si>
    <t>地价指数</t>
  </si>
  <si>
    <t>容积率修正</t>
  </si>
  <si>
    <t>Ⅴ-01</t>
  </si>
  <si>
    <t>燃气</t>
  </si>
  <si>
    <t>好</t>
  </si>
  <si>
    <t>较好</t>
  </si>
  <si>
    <t>收益法-车库（元）</t>
  </si>
  <si>
    <t>未包含在土地购买价格中</t>
  </si>
  <si>
    <t>已包含在土地取得成本中</t>
  </si>
  <si>
    <t>成本法 (元)</t>
  </si>
  <si>
    <t>办公</t>
    <phoneticPr fontId="8" type="noConversion"/>
  </si>
  <si>
    <t>收益法-办公</t>
  </si>
  <si>
    <t>科贸</t>
    <phoneticPr fontId="4" type="noConversion"/>
  </si>
  <si>
    <t>辉煌</t>
    <phoneticPr fontId="4" type="noConversion"/>
  </si>
  <si>
    <t>嘉华</t>
    <phoneticPr fontId="4" type="noConversion"/>
  </si>
  <si>
    <t>情况3</t>
  </si>
  <si>
    <t>出让金+开发费</t>
  </si>
  <si>
    <t>企业提供（在右侧录入）</t>
  </si>
  <si>
    <t>地上</t>
    <phoneticPr fontId="26" type="noConversion"/>
  </si>
  <si>
    <t>地下</t>
    <phoneticPr fontId="26" type="noConversion"/>
  </si>
  <si>
    <t>地上</t>
    <phoneticPr fontId="26" type="noConversion"/>
  </si>
  <si>
    <t>地下</t>
    <phoneticPr fontId="26" type="noConversion"/>
  </si>
  <si>
    <t>地上租金</t>
    <phoneticPr fontId="144" type="noConversion"/>
  </si>
  <si>
    <t>地下租金</t>
    <phoneticPr fontId="144" type="noConversion"/>
  </si>
  <si>
    <t>地上面积</t>
    <phoneticPr fontId="144" type="noConversion"/>
  </si>
  <si>
    <t>地下面积</t>
    <phoneticPr fontId="144" type="noConversion"/>
  </si>
  <si>
    <t>总价</t>
    <phoneticPr fontId="144" type="noConversion"/>
  </si>
  <si>
    <t>平均</t>
    <phoneticPr fontId="14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</si>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</sst>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58" fontId="51" fillId="0" borderId="1" xfId="0" applyNumberFormat="1"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4</xdr:row>
      <xdr:rowOff>19050</xdr:rowOff>
    </xdr:from>
    <xdr:to>
      <xdr:col>10</xdr:col>
      <xdr:colOff>180189</xdr:colOff>
      <xdr:row>37</xdr:row>
      <xdr:rowOff>161200</xdr:rowOff>
    </xdr:to>
    <xdr:pic>
      <xdr:nvPicPr>
        <xdr:cNvPr id="6" name="图片 5"/>
        <xdr:cNvPicPr>
          <a:picLocks noChangeAspect="1"/>
        </xdr:cNvPicPr>
      </xdr:nvPicPr>
      <xdr:blipFill>
        <a:blip xmlns:r="http://schemas.openxmlformats.org/officeDocument/2006/relationships" r:embed="rId1"/>
        <a:stretch>
          <a:fillRect/>
        </a:stretch>
      </xdr:blipFill>
      <xdr:spPr>
        <a:xfrm>
          <a:off x="742950" y="704850"/>
          <a:ext cx="6295239" cy="5800000"/>
        </a:xfrm>
        <a:prstGeom prst="rect">
          <a:avLst/>
        </a:prstGeom>
      </xdr:spPr>
    </xdr:pic>
    <xdr:clientData/>
  </xdr:twoCellAnchor>
  <xdr:twoCellAnchor editAs="oneCell">
    <xdr:from>
      <xdr:col>11</xdr:col>
      <xdr:colOff>266700</xdr:colOff>
      <xdr:row>2</xdr:row>
      <xdr:rowOff>104775</xdr:rowOff>
    </xdr:from>
    <xdr:to>
      <xdr:col>24</xdr:col>
      <xdr:colOff>265586</xdr:colOff>
      <xdr:row>28</xdr:row>
      <xdr:rowOff>47075</xdr:rowOff>
    </xdr:to>
    <xdr:pic>
      <xdr:nvPicPr>
        <xdr:cNvPr id="7" name="图片 6"/>
        <xdr:cNvPicPr>
          <a:picLocks noChangeAspect="1"/>
        </xdr:cNvPicPr>
      </xdr:nvPicPr>
      <xdr:blipFill>
        <a:blip xmlns:r="http://schemas.openxmlformats.org/officeDocument/2006/relationships" r:embed="rId2"/>
        <a:stretch>
          <a:fillRect/>
        </a:stretch>
      </xdr:blipFill>
      <xdr:spPr>
        <a:xfrm>
          <a:off x="7810500" y="447675"/>
          <a:ext cx="8914286" cy="4400000"/>
        </a:xfrm>
        <a:prstGeom prst="rect">
          <a:avLst/>
        </a:prstGeom>
      </xdr:spPr>
    </xdr:pic>
    <xdr:clientData/>
  </xdr:twoCellAnchor>
  <xdr:twoCellAnchor editAs="oneCell">
    <xdr:from>
      <xdr:col>11</xdr:col>
      <xdr:colOff>400050</xdr:colOff>
      <xdr:row>29</xdr:row>
      <xdr:rowOff>161925</xdr:rowOff>
    </xdr:from>
    <xdr:to>
      <xdr:col>24</xdr:col>
      <xdr:colOff>370365</xdr:colOff>
      <xdr:row>41</xdr:row>
      <xdr:rowOff>152144</xdr:rowOff>
    </xdr:to>
    <xdr:pic>
      <xdr:nvPicPr>
        <xdr:cNvPr id="8" name="图片 7"/>
        <xdr:cNvPicPr>
          <a:picLocks noChangeAspect="1"/>
        </xdr:cNvPicPr>
      </xdr:nvPicPr>
      <xdr:blipFill>
        <a:blip xmlns:r="http://schemas.openxmlformats.org/officeDocument/2006/relationships" r:embed="rId3"/>
        <a:stretch>
          <a:fillRect/>
        </a:stretch>
      </xdr:blipFill>
      <xdr:spPr>
        <a:xfrm>
          <a:off x="7943850" y="5133975"/>
          <a:ext cx="8885715"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北京市房地产抵押价值预评估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受贵公司委托，我公司对北京市房地产抵押价值进行了预评估。</v>
      </c>
    </row>
    <row r="7" spans="1:2" s="1589" customFormat="1">
      <c r="A7" s="1587" t="s">
        <v>1260</v>
      </c>
      <c r="B7" s="1588" t="str">
        <f>'预评函-1'!A7</f>
        <v>估价对象为北京市房地产，为所有。根据《国有土地使用证》[]，估价对象（分摊）出让国有建设用地使用权面积为8811.78平方米，建筑面积为32523.98平方米。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估价对象为北京市房地产,属开发建设的，该项目尚在开发建设中。根据《国有土地使用证》[]，估价对象（分摊）出让国有建设用地使用权面积为8811.78平方米，规划建筑面积为32523.98平方米。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2019年11月21日（评估专业人员实地查勘之日）</v>
      </c>
    </row>
    <row r="13" spans="1:2" s="1589" customFormat="1">
      <c r="A13" s="1587" t="s">
        <v>1223</v>
      </c>
      <c r="B13" s="1588" t="str">
        <f>'预评函-1'!A18</f>
        <v>本次估价的“房地产价值”是指在正常市场情况下，在价值时点2019年11月21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89972</v>
      </c>
    </row>
    <row r="21" spans="1:2" s="1589" customFormat="1">
      <c r="A21" s="1587" t="s">
        <v>1231</v>
      </c>
      <c r="B21" s="1588">
        <f ca="1">'预评函-2'!D7</f>
        <v>29722</v>
      </c>
    </row>
    <row r="22" spans="1:2" s="1589" customFormat="1">
      <c r="A22" s="1587" t="s">
        <v>1232</v>
      </c>
      <c r="B22" s="1588" t="str">
        <f ca="1">'预评函-2'!D6</f>
        <v>捌亿玖仟玖佰柒拾贰万元整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89972</v>
      </c>
    </row>
    <row r="31" spans="1:2" s="1589" customFormat="1">
      <c r="A31" s="1587" t="s">
        <v>1270</v>
      </c>
      <c r="B31" s="1588">
        <f ca="1">'预评函-2'!D15</f>
        <v>27663</v>
      </c>
    </row>
    <row r="32" spans="1:2" s="1589" customFormat="1">
      <c r="A32" s="1587" t="s">
        <v>1237</v>
      </c>
      <c r="B32" s="1588" t="str">
        <f ca="1">'预评函-2'!D14</f>
        <v>捌亿玖仟玖佰柒拾贰万元整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北京市房地产</v>
      </c>
    </row>
    <row r="42" spans="1:2" s="1589" customFormat="1">
      <c r="A42" s="1587" t="s">
        <v>1284</v>
      </c>
      <c r="B42" s="1588" t="str">
        <f>'预评函-3'!B2</f>
        <v>建筑面积</v>
      </c>
    </row>
    <row r="43" spans="1:2" s="1589" customFormat="1">
      <c r="A43" s="1587" t="s">
        <v>1285</v>
      </c>
      <c r="B43" s="1588">
        <f>'预评函-3'!B4</f>
        <v>32523.979999999992</v>
      </c>
    </row>
    <row r="44" spans="1:2" s="1589" customFormat="1">
      <c r="A44" s="1587" t="s">
        <v>1269</v>
      </c>
      <c r="B44" s="1588" t="str">
        <f>'预评函-3'!C2</f>
        <v>(分摊)土地面积</v>
      </c>
    </row>
    <row r="45" spans="1:2" s="1589" customFormat="1">
      <c r="A45" s="1587" t="s">
        <v>1241</v>
      </c>
      <c r="B45" s="1588">
        <f>'预评函-3'!C4</f>
        <v>8811.7800000000007</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f>'预评函-4'!A4</f>
        <v>0</v>
      </c>
    </row>
    <row r="71" spans="1:2">
      <c r="A71" s="1587" t="s">
        <v>1257</v>
      </c>
      <c r="B71" s="1588">
        <f>'预评函-4'!B4</f>
        <v>0</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3114</v>
      </c>
      <c r="C17" s="2010"/>
    </row>
    <row r="18" spans="1:3">
      <c r="A18" s="2009" t="s">
        <v>1762</v>
      </c>
      <c r="B18" s="2009" t="s">
        <v>3135</v>
      </c>
      <c r="C18" s="2010"/>
    </row>
    <row r="19" spans="1:3">
      <c r="A19" s="2009" t="s">
        <v>1763</v>
      </c>
      <c r="B19" s="2009" t="s">
        <v>3130</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23"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7" t="s">
        <v>861</v>
      </c>
      <c r="C54" s="2014" t="s">
        <v>1277</v>
      </c>
    </row>
    <row r="55" spans="1:4">
      <c r="A55" s="3023"/>
      <c r="B55" s="2017" t="s">
        <v>862</v>
      </c>
      <c r="C55" s="2014" t="s">
        <v>1278</v>
      </c>
    </row>
    <row r="56" spans="1:4">
      <c r="A56" s="3023"/>
      <c r="B56" s="2017" t="s">
        <v>863</v>
      </c>
      <c r="C56" s="2014" t="s">
        <v>1282</v>
      </c>
    </row>
    <row r="57" spans="1:4">
      <c r="A57" s="3023"/>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75" style="2027" customWidth="1"/>
    <col min="2" max="2" width="11.875" style="2027" customWidth="1"/>
    <col min="3" max="3" width="11.5" style="2027" customWidth="1"/>
    <col min="4" max="4" width="12"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32" t="str">
        <f>IF(B10="北京市","北京市",C10)&amp;F10&amp;IF(结果表!G1="在建","出让国有建设用地使用权及在建建筑物",IF(结果表!G1="土地","出让国有建设用地使用权",))&amp;B9&amp;"预评估"</f>
        <v>北京市房地产抵押价值预评估</v>
      </c>
      <c r="C1" s="3033"/>
      <c r="D1" s="3033"/>
      <c r="E1" s="3033"/>
      <c r="F1" s="3033"/>
      <c r="G1" s="3033"/>
      <c r="H1" s="3033"/>
      <c r="I1" s="303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1773</v>
      </c>
      <c r="B3" s="2031">
        <v>43790</v>
      </c>
      <c r="C3" s="2032" t="s">
        <v>1774</v>
      </c>
      <c r="D3" s="2031">
        <f>B3</f>
        <v>43790</v>
      </c>
      <c r="E3" s="2021"/>
      <c r="F3" s="2021"/>
      <c r="G3" s="2021"/>
      <c r="H3" s="2021"/>
      <c r="I3" s="2021"/>
      <c r="J3" s="2021"/>
      <c r="K3" s="2022"/>
      <c r="L3" s="2023"/>
      <c r="M3" s="2023"/>
      <c r="N3" s="2024"/>
      <c r="O3" s="2025"/>
      <c r="P3" s="2024"/>
      <c r="Q3" s="2024"/>
      <c r="R3" s="2024"/>
      <c r="S3" s="2026"/>
    </row>
    <row r="4" spans="1:19" ht="18" customHeight="1" thickBot="1">
      <c r="A4" s="2033" t="s">
        <v>1775</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t="s">
        <v>3055</v>
      </c>
      <c r="C8" s="2051"/>
      <c r="D8" s="3035" t="s">
        <v>1780</v>
      </c>
      <c r="E8" s="2052" t="s">
        <v>3056</v>
      </c>
      <c r="F8" s="2053"/>
      <c r="G8" s="2021"/>
      <c r="H8" s="2021"/>
      <c r="I8" s="2021"/>
      <c r="J8" s="2037"/>
      <c r="K8" s="2038"/>
      <c r="L8" s="2023"/>
      <c r="M8" s="2023"/>
      <c r="N8" s="2024"/>
      <c r="O8" s="2025"/>
      <c r="P8" s="2024"/>
      <c r="Q8" s="2024"/>
      <c r="R8" s="2024"/>
    </row>
    <row r="9" spans="1:19" ht="18" customHeight="1" thickBot="1">
      <c r="A9" s="2035" t="s">
        <v>1781</v>
      </c>
      <c r="B9" s="2054" t="s">
        <v>3056</v>
      </c>
      <c r="C9" s="2055"/>
      <c r="D9" s="3036"/>
      <c r="E9" s="2054"/>
      <c r="F9" s="2056"/>
      <c r="G9" s="2057"/>
      <c r="H9" s="2057"/>
      <c r="I9" s="2057"/>
      <c r="J9" s="2037"/>
      <c r="K9" s="2049"/>
      <c r="L9" s="2023"/>
      <c r="M9" s="2023"/>
      <c r="N9" s="2024"/>
      <c r="O9" s="2025"/>
      <c r="P9" s="2024"/>
      <c r="Q9" s="2024"/>
      <c r="R9" s="2024"/>
    </row>
    <row r="10" spans="1:19" ht="18" customHeight="1" thickTop="1">
      <c r="A10" s="2058" t="s">
        <v>1782</v>
      </c>
      <c r="B10" s="2059" t="s">
        <v>3057</v>
      </c>
      <c r="C10" s="2060"/>
      <c r="D10" s="2042"/>
      <c r="E10" s="2061" t="s">
        <v>1783</v>
      </c>
      <c r="F10" s="2062"/>
      <c r="G10" s="2063"/>
      <c r="H10" s="2064"/>
      <c r="I10" s="2042"/>
      <c r="J10" s="2037"/>
      <c r="K10" s="2049"/>
      <c r="L10" s="2023"/>
      <c r="M10" s="2023"/>
      <c r="N10" s="2024"/>
      <c r="O10" s="2025"/>
      <c r="P10" s="2024"/>
      <c r="Q10" s="2024"/>
      <c r="R10" s="2024"/>
    </row>
    <row r="11" spans="1:19" ht="18" customHeight="1">
      <c r="A11" s="2065" t="s">
        <v>1784</v>
      </c>
      <c r="B11" s="2066" t="s">
        <v>3058</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3059</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c r="F13" s="2075"/>
      <c r="G13" s="2075">
        <v>52076</v>
      </c>
      <c r="H13" s="2075"/>
      <c r="I13" s="1044">
        <v>52076</v>
      </c>
      <c r="J13" s="2037"/>
      <c r="K13" s="2049"/>
      <c r="L13" s="2023"/>
      <c r="M13" s="2023"/>
      <c r="N13" s="2024"/>
      <c r="O13" s="2025"/>
      <c r="P13" s="2024"/>
      <c r="Q13" s="2024"/>
      <c r="R13" s="2024"/>
    </row>
    <row r="14" spans="1:19" ht="18" customHeight="1">
      <c r="A14" s="2072"/>
      <c r="B14" s="2073"/>
      <c r="C14" s="2074" t="s">
        <v>1794</v>
      </c>
      <c r="D14" s="1047"/>
      <c r="E14" s="1047"/>
      <c r="F14" s="1047">
        <v>50</v>
      </c>
      <c r="G14" s="1047">
        <v>50</v>
      </c>
      <c r="H14" s="1047"/>
      <c r="I14" s="1047">
        <v>50</v>
      </c>
      <c r="J14" s="2037"/>
      <c r="K14" s="2076"/>
      <c r="L14" s="2023"/>
      <c r="M14" s="2023"/>
      <c r="N14" s="2024"/>
      <c r="O14" s="2025"/>
      <c r="P14" s="2024"/>
      <c r="Q14" s="2024"/>
      <c r="R14" s="2024"/>
    </row>
    <row r="15" spans="1:19" ht="18" customHeight="1">
      <c r="A15" s="2058"/>
      <c r="B15" s="2077"/>
      <c r="C15" s="2074" t="s">
        <v>1795</v>
      </c>
      <c r="D15" s="1046" t="str">
        <f>IF(B12="出让",IF(D13="","",ROUNDDOWN(MIN((D13-$D$3)/365,D14),2)),D14)</f>
        <v/>
      </c>
      <c r="E15" s="1046" t="str">
        <f>IF(B12="出让",IF(E13="","",ROUNDDOWN(MIN((E13-$D$3)/365,E14),2)),E14)</f>
        <v/>
      </c>
      <c r="F15" s="1046" t="str">
        <f>IF(B12="出让",IF(F13="","",ROUNDDOWN(MIN((F13-$D$3)/365,F14),2)),F14)</f>
        <v/>
      </c>
      <c r="G15" s="1046">
        <f>IF(B12="出让",IF(G13="","",ROUNDDOWN(MIN((G13-$D$3)/365,G14),2)),G14)</f>
        <v>22.7</v>
      </c>
      <c r="H15" s="1046" t="str">
        <f>IF(B12="出让",IF(H13="","",ROUNDDOWN(MIN((H13-$D$3)/365,H14),2)),H14)</f>
        <v/>
      </c>
      <c r="I15" s="1046">
        <f>IF(B12="出让",IF(I13="","",ROUNDDOWN(MIN((I13-$D$3)/365,I14),2)),I14)</f>
        <v>22.7</v>
      </c>
      <c r="J15" s="2037"/>
      <c r="K15" s="2078"/>
      <c r="L15" s="2079"/>
      <c r="M15" s="2079"/>
      <c r="N15" s="2080"/>
      <c r="O15" s="2079"/>
      <c r="P15" s="2080"/>
      <c r="Q15" s="2024"/>
      <c r="R15" s="2024"/>
    </row>
    <row r="16" spans="1:19" ht="30.75" customHeight="1">
      <c r="A16" s="2061" t="s">
        <v>1796</v>
      </c>
      <c r="B16" s="3042"/>
      <c r="C16" s="3043"/>
      <c r="D16" s="3044"/>
      <c r="E16" s="2081" t="s">
        <v>1797</v>
      </c>
      <c r="F16" s="3045"/>
      <c r="G16" s="3046"/>
      <c r="H16" s="3046"/>
      <c r="I16" s="3047"/>
      <c r="J16" s="2024"/>
      <c r="K16" s="2078"/>
      <c r="L16" s="2079"/>
      <c r="M16" s="2079"/>
      <c r="N16" s="2080"/>
      <c r="O16" s="2079"/>
      <c r="P16" s="2080"/>
      <c r="Q16" s="2024"/>
      <c r="R16" s="2024"/>
    </row>
    <row r="17" spans="1:22" ht="18" customHeight="1">
      <c r="A17" s="2082" t="s">
        <v>1798</v>
      </c>
      <c r="B17" s="2030" t="s">
        <v>1799</v>
      </c>
      <c r="C17" s="1051">
        <f>'数据-汇总表'!E3</f>
        <v>32523.979999999992</v>
      </c>
      <c r="D17" s="2083" t="s">
        <v>1800</v>
      </c>
      <c r="E17" s="3048" t="s">
        <v>1801</v>
      </c>
      <c r="F17" s="3049"/>
      <c r="G17" s="3049"/>
      <c r="H17" s="3049"/>
      <c r="I17" s="3050"/>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40">
        <f>'数据-汇总表'!D3</f>
        <v>8811.7800000000007</v>
      </c>
      <c r="D18" s="2086" t="s">
        <v>1800</v>
      </c>
      <c r="E18" s="3051" t="s">
        <v>1804</v>
      </c>
      <c r="F18" s="3052"/>
      <c r="G18" s="3052"/>
      <c r="H18" s="3052"/>
      <c r="I18" s="3053"/>
      <c r="J18" s="2024"/>
      <c r="K18" s="2084"/>
      <c r="L18" s="2079"/>
      <c r="M18" s="2079"/>
      <c r="N18" s="2080"/>
      <c r="O18" s="2079"/>
      <c r="P18" s="2080"/>
      <c r="Q18" s="2024"/>
      <c r="R18" s="2024"/>
      <c r="S18" s="2024"/>
      <c r="T18" s="2024"/>
      <c r="U18" s="2024"/>
      <c r="V18" s="2024"/>
    </row>
    <row r="19" spans="1:22" ht="37.5" customHeight="1" thickTop="1" thickBot="1">
      <c r="A19" s="373" t="s">
        <v>1805</v>
      </c>
      <c r="B19" s="352" t="s">
        <v>1806</v>
      </c>
      <c r="C19" s="2087"/>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1808</v>
      </c>
      <c r="B20" s="3038" t="s">
        <v>1809</v>
      </c>
      <c r="C20" s="3039"/>
      <c r="D20" s="3040" t="s">
        <v>1810</v>
      </c>
      <c r="E20" s="3041"/>
      <c r="F20" s="2093" t="s">
        <v>1811</v>
      </c>
      <c r="G20" s="2037"/>
      <c r="H20" s="2037"/>
      <c r="I20" s="2037"/>
      <c r="J20" s="2037"/>
      <c r="K20" s="3037"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1813</v>
      </c>
      <c r="C21" s="2095" t="s">
        <v>1814</v>
      </c>
      <c r="D21" s="2096" t="s">
        <v>1815</v>
      </c>
      <c r="E21" s="2097" t="s">
        <v>1814</v>
      </c>
      <c r="F21" s="2098"/>
      <c r="G21" s="2037"/>
      <c r="H21" s="2037"/>
      <c r="I21" s="2037"/>
      <c r="J21" s="2037"/>
      <c r="K21" s="303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1816</v>
      </c>
      <c r="C22" s="2095" t="s">
        <v>1817</v>
      </c>
      <c r="D22" s="2021"/>
      <c r="E22" s="2021"/>
      <c r="F22" s="2100"/>
      <c r="G22" s="2037"/>
      <c r="H22" s="2037"/>
      <c r="I22" s="2037"/>
      <c r="J22" s="2037"/>
      <c r="K22" s="303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1818</v>
      </c>
      <c r="B23" s="183" t="s">
        <v>1819</v>
      </c>
      <c r="C23" s="2102"/>
      <c r="D23" s="2103" t="s">
        <v>1819</v>
      </c>
      <c r="E23" s="2104"/>
      <c r="F23" s="2100"/>
      <c r="G23" s="2037"/>
      <c r="H23" s="2037"/>
      <c r="I23" s="2037"/>
      <c r="J23" s="2037"/>
      <c r="K23" s="2105"/>
      <c r="L23" s="745"/>
      <c r="M23" s="2023"/>
      <c r="N23" s="2080"/>
      <c r="O23" s="2079"/>
      <c r="P23" s="2080"/>
      <c r="Q23" s="2024"/>
      <c r="R23" s="2024"/>
      <c r="S23" s="2024"/>
      <c r="T23" s="2024"/>
      <c r="U23" s="2024"/>
      <c r="V23" s="2024"/>
    </row>
    <row r="24" spans="1:22" ht="18" customHeight="1">
      <c r="A24" s="2106"/>
      <c r="B24" s="183" t="s">
        <v>1820</v>
      </c>
      <c r="C24" s="2107"/>
      <c r="D24" s="2101" t="s">
        <v>1820</v>
      </c>
      <c r="E24" s="2108"/>
      <c r="F24" s="2100"/>
      <c r="G24" s="2037"/>
      <c r="H24" s="2037"/>
      <c r="I24" s="2037"/>
      <c r="J24" s="2037"/>
      <c r="K24" s="2105"/>
      <c r="L24" s="745"/>
      <c r="M24" s="2023"/>
      <c r="N24" s="2080"/>
      <c r="O24" s="2079"/>
      <c r="P24" s="2080"/>
      <c r="Q24" s="2024"/>
      <c r="R24" s="2024"/>
      <c r="S24" s="2024"/>
      <c r="T24" s="2024"/>
      <c r="U24" s="2024"/>
      <c r="V24" s="2024"/>
    </row>
    <row r="25" spans="1:22" ht="18" customHeight="1">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25" t="s">
        <v>1824</v>
      </c>
      <c r="B27" s="2058" t="s">
        <v>1825</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25"/>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25"/>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26"/>
      <c r="B30" s="2030" t="s">
        <v>1828</v>
      </c>
      <c r="C30" s="3027"/>
      <c r="D30" s="3028"/>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29" t="s">
        <v>1829</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30"/>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30"/>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1830</v>
      </c>
      <c r="B34" s="2129"/>
      <c r="C34" s="2129"/>
      <c r="D34" s="2129"/>
      <c r="E34" s="2129"/>
      <c r="F34" s="2129"/>
      <c r="G34" s="2129"/>
      <c r="H34" s="2129"/>
      <c r="I34" s="2037"/>
      <c r="J34" s="2037"/>
      <c r="K34" s="1791">
        <f>COUNTIF(B34:H34,"——")</f>
        <v>0</v>
      </c>
      <c r="L34" s="2070" t="s">
        <v>1831</v>
      </c>
      <c r="M34" s="2070" t="s">
        <v>1832</v>
      </c>
      <c r="N34" s="2070" t="s">
        <v>1833</v>
      </c>
      <c r="O34" s="2070" t="s">
        <v>1834</v>
      </c>
      <c r="P34" s="2070" t="s">
        <v>1835</v>
      </c>
      <c r="Q34" s="2070" t="s">
        <v>1836</v>
      </c>
      <c r="R34" s="2070" t="s">
        <v>1837</v>
      </c>
      <c r="S34" s="3024" t="s">
        <v>1838</v>
      </c>
      <c r="T34" s="2130" t="str">
        <f>NUMBERSTRING(7-K34,1)&amp;"通"</f>
        <v>七通</v>
      </c>
      <c r="U34" s="2024"/>
      <c r="V34" s="2024"/>
    </row>
    <row r="35" spans="1:22" ht="18" customHeight="1">
      <c r="A35" s="2131"/>
      <c r="B35" s="3031" t="s">
        <v>1839</v>
      </c>
      <c r="C35" s="3031"/>
      <c r="D35" s="3031"/>
      <c r="E35" s="3031"/>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24"/>
      <c r="V35" s="2024"/>
    </row>
    <row r="36" spans="1:22" ht="18" customHeight="1">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1844</v>
      </c>
      <c r="B37" s="2136"/>
      <c r="C37" s="2136"/>
      <c r="D37" s="2136"/>
      <c r="E37" s="2136" t="s">
        <v>523</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1845</v>
      </c>
      <c r="B38" s="2138"/>
      <c r="C38" s="2138"/>
      <c r="D38" s="2138"/>
      <c r="E38" s="2138" t="s">
        <v>3126</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1848</v>
      </c>
      <c r="B42" s="1791" t="s">
        <v>1849</v>
      </c>
      <c r="C42" s="1791" t="s">
        <v>1850</v>
      </c>
      <c r="D42" s="1791" t="s">
        <v>1851</v>
      </c>
      <c r="E42" s="1791" t="s">
        <v>1852</v>
      </c>
      <c r="F42" s="1791" t="s">
        <v>1853</v>
      </c>
      <c r="G42" s="1791" t="s">
        <v>1854</v>
      </c>
      <c r="H42" s="1791" t="s">
        <v>1855</v>
      </c>
      <c r="I42" s="1791" t="s">
        <v>1856</v>
      </c>
      <c r="J42" s="2148" t="s">
        <v>1857</v>
      </c>
      <c r="K42" s="2071" t="s">
        <v>1858</v>
      </c>
      <c r="L42" s="2071" t="s">
        <v>1859</v>
      </c>
      <c r="M42" s="2071" t="s">
        <v>1860</v>
      </c>
      <c r="N42" s="1791" t="s">
        <v>1861</v>
      </c>
      <c r="O42" s="1791" t="s">
        <v>1862</v>
      </c>
      <c r="P42" s="1791" t="s">
        <v>1863</v>
      </c>
      <c r="Q42" s="2070" t="s">
        <v>1864</v>
      </c>
      <c r="R42" s="2070" t="s">
        <v>1865</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hidden="1" customWidth="1"/>
    <col min="11" max="11" width="11" style="2155" customWidth="1"/>
    <col min="12" max="12" width="9.25" style="2155" hidden="1" customWidth="1"/>
    <col min="13" max="13" width="9.5" style="2155"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1871</v>
      </c>
      <c r="AZ2" s="1266"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8811.7800000000007</v>
      </c>
      <c r="B3" s="14">
        <f>IF(C3="否",G5-AT5,G5)</f>
        <v>32523.979999999992</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9"/>
      <c r="C5" s="1799"/>
      <c r="D5" s="1802"/>
      <c r="E5" s="16" t="s">
        <v>1</v>
      </c>
      <c r="F5" s="16">
        <f>SUM(F13:F587)</f>
        <v>0</v>
      </c>
      <c r="G5" s="16">
        <f>SUM(G13:G587)</f>
        <v>32523.979999999992</v>
      </c>
      <c r="H5" s="16">
        <f t="shared" ref="H5:AT5" si="0">SUM(H13:H656)</f>
        <v>32523.979999999992</v>
      </c>
      <c r="I5" s="16">
        <f t="shared" si="0"/>
        <v>25527.419999999991</v>
      </c>
      <c r="J5" s="16">
        <f t="shared" si="0"/>
        <v>0</v>
      </c>
      <c r="K5" s="16">
        <f t="shared" si="0"/>
        <v>2252.83</v>
      </c>
      <c r="L5" s="16">
        <f t="shared" si="0"/>
        <v>0</v>
      </c>
      <c r="M5" s="16">
        <f t="shared" si="0"/>
        <v>4743.7299999999996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32523.979999999992</v>
      </c>
      <c r="BA5" s="18">
        <f t="shared" si="1"/>
        <v>32523.979999999992</v>
      </c>
      <c r="BB5" s="18">
        <f t="shared" si="1"/>
        <v>25527.419999999991</v>
      </c>
      <c r="BC5" s="18">
        <f t="shared" si="1"/>
        <v>2252.83</v>
      </c>
      <c r="BD5" s="18">
        <f t="shared" si="1"/>
        <v>4743.7299999999996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8811.7799999999988</v>
      </c>
      <c r="F6" s="16" t="s">
        <v>1</v>
      </c>
      <c r="G6" s="16" t="s">
        <v>2</v>
      </c>
      <c r="H6" s="20">
        <f>SUMIF(I$12:AB$12,"总值",I6:AB6)</f>
        <v>8811.7799999999988</v>
      </c>
      <c r="I6" s="16">
        <f t="shared" ref="I6:AB6" si="2">ROUND($A$3*I5/$B$3,2)</f>
        <v>6916.19</v>
      </c>
      <c r="J6" s="16">
        <f t="shared" si="2"/>
        <v>0</v>
      </c>
      <c r="K6" s="16">
        <f t="shared" si="2"/>
        <v>610.36</v>
      </c>
      <c r="L6" s="16">
        <f t="shared" si="2"/>
        <v>0</v>
      </c>
      <c r="M6" s="16">
        <f t="shared" si="2"/>
        <v>1285.23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8811.7800000000007</v>
      </c>
      <c r="AZ6" s="16" t="s">
        <v>3</v>
      </c>
      <c r="BA6" s="16">
        <f>ROUND($AY$6*BA5/$AZ$5,2)</f>
        <v>8811.7800000000007</v>
      </c>
      <c r="BB6" s="16">
        <f>ROUND($AY$6*BB5/$AZ$5,2)</f>
        <v>6916.19</v>
      </c>
      <c r="BC6" s="16">
        <f t="shared" ref="BC6:BH6" si="4">ROUND($AY$6*BC5/$AZ$5,2)</f>
        <v>610.36</v>
      </c>
      <c r="BD6" s="16">
        <f t="shared" si="4"/>
        <v>1285.23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1884</v>
      </c>
      <c r="AV7" s="23" t="s">
        <v>1885</v>
      </c>
      <c r="AW7" s="2162" t="s">
        <v>1886</v>
      </c>
      <c r="AX7" s="23" t="s">
        <v>1879</v>
      </c>
      <c r="AY7" s="1799"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4"/>
      <c r="K8" s="1814"/>
      <c r="L8" s="1814"/>
      <c r="M8" s="1814"/>
      <c r="N8" s="1814"/>
      <c r="O8" s="1814"/>
      <c r="P8" s="1814"/>
      <c r="Q8" s="1814"/>
      <c r="R8" s="1814"/>
      <c r="S8" s="1814"/>
      <c r="T8" s="1814"/>
      <c r="U8" s="1814"/>
      <c r="V8" s="2182"/>
      <c r="W8" s="1814"/>
      <c r="X8" s="1814"/>
      <c r="Y8" s="1814"/>
      <c r="Z8" s="1814"/>
      <c r="AA8" s="2182"/>
      <c r="AB8" s="2183"/>
      <c r="AC8" s="978" t="s">
        <v>1890</v>
      </c>
      <c r="AD8" s="2184"/>
      <c r="AE8" s="2176"/>
      <c r="AF8" s="1814"/>
      <c r="AG8" s="1814"/>
      <c r="AH8" s="1814"/>
      <c r="AI8" s="1814"/>
      <c r="AJ8" s="1814"/>
      <c r="AK8" s="1814"/>
      <c r="AL8" s="1814"/>
      <c r="AM8" s="1814"/>
      <c r="AN8" s="1814"/>
      <c r="AO8" s="1814"/>
      <c r="AP8" s="1814"/>
      <c r="AQ8" s="1814"/>
      <c r="AR8" s="1814"/>
      <c r="AS8" s="1814"/>
      <c r="AT8" s="1288" t="s">
        <v>1891</v>
      </c>
      <c r="AU8" s="2178" t="s">
        <v>1892</v>
      </c>
      <c r="AV8" s="1288"/>
      <c r="AW8" s="2161"/>
      <c r="AX8" s="1288"/>
      <c r="AY8" s="2162"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1895</v>
      </c>
      <c r="I9" s="2187" t="s">
        <v>3061</v>
      </c>
      <c r="J9" s="978"/>
      <c r="K9" s="2187" t="s">
        <v>3083</v>
      </c>
      <c r="L9" s="978"/>
      <c r="M9" s="2187" t="s">
        <v>3083</v>
      </c>
      <c r="N9" s="978"/>
      <c r="O9" s="2187"/>
      <c r="P9" s="978"/>
      <c r="Q9" s="2187"/>
      <c r="R9" s="978"/>
      <c r="S9" s="2187"/>
      <c r="T9" s="978"/>
      <c r="U9" s="2187"/>
      <c r="V9" s="978"/>
      <c r="W9" s="2187"/>
      <c r="X9" s="2188"/>
      <c r="Y9" s="2187"/>
      <c r="Z9" s="978"/>
      <c r="AA9" s="2187"/>
      <c r="AB9" s="978"/>
      <c r="AC9" s="2179"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9"/>
      <c r="AT9" s="2178"/>
      <c r="AU9" s="2178" t="s">
        <v>1898</v>
      </c>
      <c r="AV9" s="1288"/>
      <c r="AW9" s="2161"/>
      <c r="AX9" s="1288"/>
      <c r="AY9" s="28"/>
      <c r="AZ9" s="28" t="s">
        <v>1888</v>
      </c>
      <c r="BA9" s="2190" t="s">
        <v>1899</v>
      </c>
      <c r="BB9" s="2191"/>
      <c r="BC9" s="1334"/>
      <c r="BD9" s="1334"/>
      <c r="BE9" s="1334"/>
      <c r="BF9" s="1334"/>
      <c r="BG9" s="1334"/>
      <c r="BH9" s="1334"/>
      <c r="BI9" s="1334"/>
      <c r="BJ9" s="1334"/>
      <c r="BK9" s="2192"/>
      <c r="BL9" s="15" t="s">
        <v>1900</v>
      </c>
      <c r="BM9" s="1814"/>
      <c r="BN9" s="2181"/>
      <c r="BO9" s="1814"/>
      <c r="BP9" s="1814"/>
      <c r="BQ9" s="1814"/>
      <c r="BR9" s="1814"/>
      <c r="BS9" s="1814"/>
      <c r="BT9" s="26"/>
    </row>
    <row r="10" spans="1:72" s="2185" customFormat="1" ht="12.75">
      <c r="A10" s="2178"/>
      <c r="B10" s="2178"/>
      <c r="C10" s="2178"/>
      <c r="D10" s="2178"/>
      <c r="E10" s="2178"/>
      <c r="F10" s="2178"/>
      <c r="G10" s="1288"/>
      <c r="H10" s="28"/>
      <c r="I10" s="2187" t="s">
        <v>6</v>
      </c>
      <c r="J10" s="978"/>
      <c r="K10" s="2193" t="s">
        <v>3084</v>
      </c>
      <c r="L10" s="978"/>
      <c r="M10" s="2193" t="s">
        <v>27</v>
      </c>
      <c r="N10" s="978"/>
      <c r="O10" s="2193"/>
      <c r="P10" s="978"/>
      <c r="Q10" s="2193"/>
      <c r="R10" s="978"/>
      <c r="S10" s="2193"/>
      <c r="T10" s="978"/>
      <c r="U10" s="2193"/>
      <c r="V10" s="978"/>
      <c r="W10" s="2193"/>
      <c r="X10" s="978"/>
      <c r="Y10" s="2193"/>
      <c r="Z10" s="978"/>
      <c r="AA10" s="2193"/>
      <c r="AB10" s="978"/>
      <c r="AC10" s="1288"/>
      <c r="AD10" s="15" t="s">
        <v>1901</v>
      </c>
      <c r="AE10" s="2194"/>
      <c r="AF10" s="15" t="s">
        <v>1901</v>
      </c>
      <c r="AG10" s="2194"/>
      <c r="AH10" s="15" t="s">
        <v>1902</v>
      </c>
      <c r="AI10" s="2194"/>
      <c r="AJ10" s="15" t="s">
        <v>1902</v>
      </c>
      <c r="AK10" s="2194"/>
      <c r="AL10" s="15" t="s">
        <v>1903</v>
      </c>
      <c r="AM10" s="1294"/>
      <c r="AN10" s="15" t="s">
        <v>1903</v>
      </c>
      <c r="AO10" s="1294"/>
      <c r="AP10" s="15" t="s">
        <v>1904</v>
      </c>
      <c r="AQ10" s="1294"/>
      <c r="AR10" s="15" t="s">
        <v>1904</v>
      </c>
      <c r="AS10" s="1294"/>
      <c r="AT10" s="2178"/>
      <c r="AU10" s="2178"/>
      <c r="AV10" s="1288"/>
      <c r="AW10" s="2161"/>
      <c r="AX10" s="1288"/>
      <c r="AY10" s="28"/>
      <c r="AZ10" s="28"/>
      <c r="BA10" s="2195" t="s">
        <v>1895</v>
      </c>
      <c r="BB10" s="2196"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3062</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1905</v>
      </c>
      <c r="AE11" s="1815"/>
      <c r="AF11" s="2200" t="s">
        <v>1905</v>
      </c>
      <c r="AG11" s="1815"/>
      <c r="AH11" s="2200" t="s">
        <v>1906</v>
      </c>
      <c r="AI11" s="2201"/>
      <c r="AJ11" s="2200" t="s">
        <v>1906</v>
      </c>
      <c r="AK11" s="1815"/>
      <c r="AL11" s="1813"/>
      <c r="AM11" s="1815"/>
      <c r="AN11" s="1813"/>
      <c r="AO11" s="1815"/>
      <c r="AP11" s="1813"/>
      <c r="AQ11" s="1815"/>
      <c r="AR11" s="1813"/>
      <c r="AS11" s="1815"/>
      <c r="AT11" s="2161"/>
      <c r="AU11" s="2178"/>
      <c r="AV11" s="1288"/>
      <c r="AW11" s="2161"/>
      <c r="AX11" s="1288"/>
      <c r="AY11" s="28"/>
      <c r="AZ11" s="28"/>
      <c r="BA11" s="28"/>
      <c r="BB11" s="2183" t="str">
        <f>I10</f>
        <v>工业</v>
      </c>
      <c r="BC11" s="2183" t="str">
        <f>K10</f>
        <v>车库</v>
      </c>
      <c r="BD11" s="2183" t="str">
        <f>M10</f>
        <v>办公</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5"/>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2969" t="s">
        <v>3060</v>
      </c>
      <c r="D13" s="2209" t="s">
        <v>3069</v>
      </c>
      <c r="E13" s="16">
        <f>IF($C$3="是",ROUND($A$3*G13/$B$3,2),ROUND($A$3*(G13-AT13)/$B$3,2))</f>
        <v>2477.42</v>
      </c>
      <c r="F13" s="32"/>
      <c r="G13" s="33">
        <f>H13+AC13+AT13</f>
        <v>9144.07</v>
      </c>
      <c r="H13" s="20">
        <f>SUMIF(I$12:AB$12,"总值",I13:AB13)</f>
        <v>9144.07</v>
      </c>
      <c r="I13" s="2210">
        <v>7782.16</v>
      </c>
      <c r="J13" s="2210"/>
      <c r="K13" s="2210"/>
      <c r="L13" s="2210"/>
      <c r="M13" s="2211">
        <v>1361.91</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18-1号</v>
      </c>
      <c r="AY13" s="1802">
        <f>ROUND($AY$6*AZ13/$AZ$5,2)</f>
        <v>2477.42</v>
      </c>
      <c r="AZ13" s="16">
        <f>BA13+BL13</f>
        <v>9144.07</v>
      </c>
      <c r="BA13" s="16">
        <f>SUM(BB13:BK13)</f>
        <v>9144.07</v>
      </c>
      <c r="BB13" s="16">
        <f>IF($D13="是",I13-J13,0)</f>
        <v>7782.16</v>
      </c>
      <c r="BC13" s="16">
        <f>IF($D13="是",K13-L13,0)</f>
        <v>0</v>
      </c>
      <c r="BD13" s="16">
        <f>IF($D13="是",M13-N13,0)</f>
        <v>1361.91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t="s">
        <v>3063</v>
      </c>
      <c r="D14" s="2209" t="s">
        <v>3069</v>
      </c>
      <c r="E14" s="16">
        <f>IF($C$3="是",ROUND($A$3*G14/$B$3,2),ROUND($A$3*(G14-AT14)/$B$3,2))</f>
        <v>4226.25</v>
      </c>
      <c r="F14" s="32"/>
      <c r="G14" s="33">
        <f>H14+AC14+AT14</f>
        <v>15598.96</v>
      </c>
      <c r="H14" s="20">
        <f>SUMIF(I$12:AB$12,"总值",I14:AB14)</f>
        <v>15598.96</v>
      </c>
      <c r="I14" s="2210">
        <v>12988.41</v>
      </c>
      <c r="J14" s="2210"/>
      <c r="K14" s="2210"/>
      <c r="L14" s="2210"/>
      <c r="M14" s="2211">
        <v>2610.5500000000002</v>
      </c>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18-2号</v>
      </c>
      <c r="AY14" s="1802">
        <f>ROUND($AY$6*AZ14/$AZ$5,2)</f>
        <v>4226.25</v>
      </c>
      <c r="AZ14" s="16">
        <f>BA14+BL14</f>
        <v>15598.96</v>
      </c>
      <c r="BA14" s="16">
        <f>SUM(BB14:BK14)</f>
        <v>15598.96</v>
      </c>
      <c r="BB14" s="16">
        <f>IF($D14="是",I14-J14,0)</f>
        <v>12988.41</v>
      </c>
      <c r="BC14" s="16">
        <f>IF($D14="是",K14-L14,0)</f>
        <v>0</v>
      </c>
      <c r="BD14" s="16">
        <f>IF($D14="是",M14-N14,0)</f>
        <v>2610.5500000000002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t="s">
        <v>3064</v>
      </c>
      <c r="D15" s="2209" t="s">
        <v>3069</v>
      </c>
      <c r="E15" s="16">
        <f>IF($C$3="是",ROUND($A$3*G15/$B$3,2),ROUND($A$3*(G15-AT15)/$B$3,2))</f>
        <v>6.65</v>
      </c>
      <c r="F15" s="32"/>
      <c r="G15" s="33">
        <f>H15+AC15+AT15</f>
        <v>24.55</v>
      </c>
      <c r="H15" s="20">
        <f>SUMIF(I$12:AB$12,"总值",I15:AB15)</f>
        <v>24.55</v>
      </c>
      <c r="I15" s="2210">
        <v>24.55</v>
      </c>
      <c r="J15" s="2210"/>
      <c r="K15" s="2210"/>
      <c r="L15" s="2210"/>
      <c r="M15" s="2211"/>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附房1</v>
      </c>
      <c r="AY15" s="1802">
        <f>ROUND($AY$6*AZ15/$AZ$5,2)</f>
        <v>6.65</v>
      </c>
      <c r="AZ15" s="16">
        <f>BA15+BL15</f>
        <v>24.55</v>
      </c>
      <c r="BA15" s="16">
        <f>SUM(BB15:BK15)</f>
        <v>24.55</v>
      </c>
      <c r="BB15" s="16">
        <f>IF($D15="是",I15-J15,0)</f>
        <v>24.55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t="s">
        <v>3065</v>
      </c>
      <c r="D16" s="2209" t="s">
        <v>3069</v>
      </c>
      <c r="E16" s="16">
        <f>IF($C$3="是",ROUND($A$3*G16/$B$3,2),ROUND($A$3*(G16-AT16)/$B$3,2))</f>
        <v>4.4800000000000004</v>
      </c>
      <c r="F16" s="32"/>
      <c r="G16" s="33">
        <f>H16+AC16+AT16</f>
        <v>16.54</v>
      </c>
      <c r="H16" s="20">
        <f>SUMIF(I$12:AB$12,"总值",I16:AB16)</f>
        <v>16.54</v>
      </c>
      <c r="I16" s="2210">
        <v>16.54</v>
      </c>
      <c r="J16" s="2210"/>
      <c r="K16" s="2210"/>
      <c r="L16" s="2210"/>
      <c r="M16" s="2211"/>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附房2</v>
      </c>
      <c r="AY16" s="1802">
        <f>ROUND($AY$6*AZ16/$AZ$5,2)</f>
        <v>4.4800000000000004</v>
      </c>
      <c r="AZ16" s="16">
        <f>BA16+BL16</f>
        <v>16.54</v>
      </c>
      <c r="BA16" s="16">
        <f>SUM(BB16:BK16)</f>
        <v>16.54</v>
      </c>
      <c r="BB16" s="16">
        <f>IF($D16="是",I16-J16,0)</f>
        <v>16.54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t="s">
        <v>3066</v>
      </c>
      <c r="D17" s="2209" t="s">
        <v>3069</v>
      </c>
      <c r="E17" s="16">
        <f>IF($C$3="是",ROUND($A$3*G17/$B$3,2),ROUND($A$3*(G17-AT17)/$B$3,2))</f>
        <v>4.4800000000000004</v>
      </c>
      <c r="F17" s="32"/>
      <c r="G17" s="33">
        <f>H17+AC17+AT17</f>
        <v>16.54</v>
      </c>
      <c r="H17" s="20">
        <f>SUMIF(I$12:AB$12,"总值",I17:AB17)</f>
        <v>16.54</v>
      </c>
      <c r="I17" s="2210">
        <v>16.54</v>
      </c>
      <c r="J17" s="2210"/>
      <c r="K17" s="2210"/>
      <c r="L17" s="2210"/>
      <c r="M17" s="2211"/>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附房3</v>
      </c>
      <c r="AY17" s="1802">
        <f>ROUND($AY$6*AZ17/$AZ$5,2)</f>
        <v>4.4800000000000004</v>
      </c>
      <c r="AZ17" s="16">
        <f>BA17+BL17</f>
        <v>16.54</v>
      </c>
      <c r="BA17" s="16">
        <f>SUM(BB17:BK17)</f>
        <v>16.54</v>
      </c>
      <c r="BB17" s="16">
        <f>IF($D17="是",I17-J17,0)</f>
        <v>16.54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49" t="s">
        <v>3067</v>
      </c>
      <c r="D18" s="2209" t="s">
        <v>3069</v>
      </c>
      <c r="E18" s="35">
        <f t="shared" ref="E18:E112" si="7">IF($C$3="是",ROUND($A$3*G18/$B$3,2),ROUND($A$3*(G18-AT18)/$B$3,2))</f>
        <v>6.65</v>
      </c>
      <c r="F18" s="36"/>
      <c r="G18" s="37">
        <f t="shared" ref="G18:G109" si="8">H18+AC18+AT18</f>
        <v>24.55</v>
      </c>
      <c r="H18" s="38">
        <f t="shared" ref="H18:H109" si="9">SUMIF(I$12:AB$12,"总值",I18:AB18)</f>
        <v>24.55</v>
      </c>
      <c r="I18" s="39">
        <v>24.55</v>
      </c>
      <c r="J18" s="39"/>
      <c r="K18" s="39"/>
      <c r="L18" s="39"/>
      <c r="M18" s="40"/>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t="str">
        <f t="shared" ref="AX18:AX112" si="13">C18</f>
        <v>附房4</v>
      </c>
      <c r="AY18" s="42">
        <f t="shared" ref="AY18:AY109" si="14">ROUND($AY$6*AZ18/$AZ$5,2)</f>
        <v>6.65</v>
      </c>
      <c r="AZ18" s="35">
        <f t="shared" ref="AZ18:AZ109" si="15">BA18+BL18</f>
        <v>24.55</v>
      </c>
      <c r="BA18" s="35">
        <f t="shared" ref="BA18:BA109" si="16">SUM(BB18:BK18)</f>
        <v>24.55</v>
      </c>
      <c r="BB18" s="35">
        <f t="shared" ref="BB18:BB109" si="17">IF($D18="是",I18-J18,0)</f>
        <v>24.55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49" t="s">
        <v>3068</v>
      </c>
      <c r="D19" s="2209" t="s">
        <v>3069</v>
      </c>
      <c r="E19" s="35">
        <f t="shared" si="7"/>
        <v>38.39</v>
      </c>
      <c r="F19" s="36"/>
      <c r="G19" s="37">
        <f t="shared" si="8"/>
        <v>141.69999999999999</v>
      </c>
      <c r="H19" s="38">
        <f t="shared" si="9"/>
        <v>141.69999999999999</v>
      </c>
      <c r="I19" s="39">
        <v>141.69999999999999</v>
      </c>
      <c r="J19" s="39"/>
      <c r="K19" s="39"/>
      <c r="L19" s="39"/>
      <c r="M19" s="40"/>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t="str">
        <f t="shared" si="13"/>
        <v>附房5</v>
      </c>
      <c r="AY19" s="42">
        <f t="shared" si="14"/>
        <v>38.39</v>
      </c>
      <c r="AZ19" s="35">
        <f t="shared" si="15"/>
        <v>141.69999999999999</v>
      </c>
      <c r="BA19" s="35">
        <f t="shared" si="16"/>
        <v>141.69999999999999</v>
      </c>
      <c r="BB19" s="35">
        <f t="shared" si="17"/>
        <v>141.69999999999999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3070</v>
      </c>
      <c r="D20" s="2209" t="s">
        <v>3069</v>
      </c>
      <c r="E20" s="35">
        <f t="shared" si="7"/>
        <v>208.96</v>
      </c>
      <c r="F20" s="36"/>
      <c r="G20" s="37">
        <f t="shared" si="8"/>
        <v>771.27</v>
      </c>
      <c r="H20" s="38">
        <f t="shared" si="9"/>
        <v>771.27</v>
      </c>
      <c r="I20" s="39"/>
      <c r="J20" s="39"/>
      <c r="K20" s="39"/>
      <c r="L20" s="39"/>
      <c r="M20" s="40">
        <v>771.27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t="str">
        <f t="shared" si="13"/>
        <v>2号楼-101</v>
      </c>
      <c r="AY20" s="42">
        <f t="shared" si="14"/>
        <v>208.96</v>
      </c>
      <c r="AZ20" s="35">
        <f t="shared" si="15"/>
        <v>771.27</v>
      </c>
      <c r="BA20" s="35">
        <f t="shared" si="16"/>
        <v>771.27</v>
      </c>
      <c r="BB20" s="35">
        <f t="shared" si="17"/>
        <v>0</v>
      </c>
      <c r="BC20" s="35">
        <f t="shared" si="18"/>
        <v>0</v>
      </c>
      <c r="BD20" s="35">
        <f t="shared" si="19"/>
        <v>771.27</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3071</v>
      </c>
      <c r="D21" s="2209" t="s">
        <v>3069</v>
      </c>
      <c r="E21" s="35">
        <f t="shared" si="7"/>
        <v>504.15</v>
      </c>
      <c r="F21" s="36"/>
      <c r="G21" s="37">
        <f t="shared" si="8"/>
        <v>1860.79</v>
      </c>
      <c r="H21" s="38">
        <f t="shared" si="9"/>
        <v>1860.79</v>
      </c>
      <c r="I21" s="39"/>
      <c r="J21" s="39"/>
      <c r="K21" s="39">
        <v>1860.79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t="str">
        <f t="shared" si="13"/>
        <v>2号楼-201</v>
      </c>
      <c r="AY21" s="42">
        <f t="shared" si="14"/>
        <v>504.15</v>
      </c>
      <c r="AZ21" s="35">
        <f t="shared" si="15"/>
        <v>1860.79</v>
      </c>
      <c r="BA21" s="35">
        <f t="shared" si="16"/>
        <v>1860.79</v>
      </c>
      <c r="BB21" s="35">
        <f t="shared" si="17"/>
        <v>0</v>
      </c>
      <c r="BC21" s="35">
        <f t="shared" si="18"/>
        <v>1860.79</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3072</v>
      </c>
      <c r="D22" s="2209" t="s">
        <v>3069</v>
      </c>
      <c r="E22" s="35">
        <f t="shared" si="7"/>
        <v>106.22</v>
      </c>
      <c r="F22" s="36"/>
      <c r="G22" s="37">
        <f t="shared" si="8"/>
        <v>392.04</v>
      </c>
      <c r="H22" s="38">
        <f t="shared" si="9"/>
        <v>392.04</v>
      </c>
      <c r="I22" s="39"/>
      <c r="J22" s="39"/>
      <c r="K22" s="39">
        <v>392.04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t="str">
        <f t="shared" si="13"/>
        <v>2号楼-301</v>
      </c>
      <c r="AY22" s="42">
        <f t="shared" si="14"/>
        <v>106.22</v>
      </c>
      <c r="AZ22" s="35">
        <f t="shared" si="15"/>
        <v>392.04</v>
      </c>
      <c r="BA22" s="35">
        <f t="shared" si="16"/>
        <v>392.04</v>
      </c>
      <c r="BB22" s="35">
        <f t="shared" si="17"/>
        <v>0</v>
      </c>
      <c r="BC22" s="35">
        <f t="shared" si="18"/>
        <v>392.04</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3073</v>
      </c>
      <c r="D23" s="2209" t="s">
        <v>3069</v>
      </c>
      <c r="E23" s="35">
        <f t="shared" si="7"/>
        <v>119.46</v>
      </c>
      <c r="F23" s="36"/>
      <c r="G23" s="37">
        <f t="shared" si="8"/>
        <v>440.92</v>
      </c>
      <c r="H23" s="38">
        <f t="shared" si="9"/>
        <v>440.92</v>
      </c>
      <c r="I23" s="39">
        <v>440.92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t="str">
        <f t="shared" si="13"/>
        <v>2号楼101</v>
      </c>
      <c r="AY23" s="42">
        <f t="shared" si="14"/>
        <v>119.46</v>
      </c>
      <c r="AZ23" s="35">
        <f t="shared" si="15"/>
        <v>440.92</v>
      </c>
      <c r="BA23" s="35">
        <f t="shared" si="16"/>
        <v>440.92</v>
      </c>
      <c r="BB23" s="35">
        <f t="shared" si="17"/>
        <v>440.92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3074</v>
      </c>
      <c r="D24" s="2209" t="s">
        <v>3069</v>
      </c>
      <c r="E24" s="35">
        <f t="shared" si="7"/>
        <v>108.68</v>
      </c>
      <c r="F24" s="36"/>
      <c r="G24" s="37">
        <f t="shared" si="8"/>
        <v>401.13</v>
      </c>
      <c r="H24" s="38">
        <f t="shared" si="9"/>
        <v>401.13</v>
      </c>
      <c r="I24" s="39">
        <v>401.13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t="str">
        <f t="shared" si="13"/>
        <v>2号楼201</v>
      </c>
      <c r="AY24" s="42">
        <f t="shared" si="14"/>
        <v>108.68</v>
      </c>
      <c r="AZ24" s="35">
        <f t="shared" si="15"/>
        <v>401.13</v>
      </c>
      <c r="BA24" s="35">
        <f t="shared" si="16"/>
        <v>401.13</v>
      </c>
      <c r="BB24" s="35">
        <f t="shared" si="17"/>
        <v>401.13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3075</v>
      </c>
      <c r="D25" s="2209" t="s">
        <v>3069</v>
      </c>
      <c r="E25" s="35">
        <f t="shared" si="7"/>
        <v>139.46</v>
      </c>
      <c r="F25" s="36"/>
      <c r="G25" s="37">
        <f t="shared" si="8"/>
        <v>514.76</v>
      </c>
      <c r="H25" s="38">
        <f t="shared" si="9"/>
        <v>514.76</v>
      </c>
      <c r="I25" s="39">
        <v>514.76</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t="str">
        <f t="shared" si="13"/>
        <v>2号楼301</v>
      </c>
      <c r="AY25" s="42">
        <f t="shared" si="14"/>
        <v>139.46</v>
      </c>
      <c r="AZ25" s="35">
        <f t="shared" si="15"/>
        <v>514.76</v>
      </c>
      <c r="BA25" s="35">
        <f t="shared" si="16"/>
        <v>514.76</v>
      </c>
      <c r="BB25" s="35">
        <f t="shared" si="17"/>
        <v>514.76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3076</v>
      </c>
      <c r="D26" s="2209" t="s">
        <v>3069</v>
      </c>
      <c r="E26" s="35">
        <f t="shared" si="7"/>
        <v>139.46</v>
      </c>
      <c r="F26" s="36"/>
      <c r="G26" s="37">
        <f t="shared" si="8"/>
        <v>514.76</v>
      </c>
      <c r="H26" s="38">
        <f t="shared" si="9"/>
        <v>514.76</v>
      </c>
      <c r="I26" s="39">
        <v>514.76</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t="str">
        <f t="shared" si="13"/>
        <v>2号楼401</v>
      </c>
      <c r="AY26" s="42">
        <f t="shared" si="14"/>
        <v>139.46</v>
      </c>
      <c r="AZ26" s="35">
        <f t="shared" si="15"/>
        <v>514.76</v>
      </c>
      <c r="BA26" s="35">
        <f t="shared" si="16"/>
        <v>514.76</v>
      </c>
      <c r="BB26" s="35">
        <f t="shared" si="17"/>
        <v>514.76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3077</v>
      </c>
      <c r="D27" s="2209" t="s">
        <v>3069</v>
      </c>
      <c r="E27" s="35">
        <f t="shared" si="7"/>
        <v>139.46</v>
      </c>
      <c r="F27" s="36"/>
      <c r="G27" s="37">
        <f t="shared" si="8"/>
        <v>514.76</v>
      </c>
      <c r="H27" s="38">
        <f t="shared" si="9"/>
        <v>514.76</v>
      </c>
      <c r="I27" s="39">
        <v>514.76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t="str">
        <f t="shared" si="13"/>
        <v>2号楼501</v>
      </c>
      <c r="AY27" s="42">
        <f t="shared" si="14"/>
        <v>139.46</v>
      </c>
      <c r="AZ27" s="35">
        <f t="shared" si="15"/>
        <v>514.76</v>
      </c>
      <c r="BA27" s="35">
        <f t="shared" si="16"/>
        <v>514.76</v>
      </c>
      <c r="BB27" s="35">
        <f t="shared" si="17"/>
        <v>514.76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3078</v>
      </c>
      <c r="D28" s="2209" t="s">
        <v>3069</v>
      </c>
      <c r="E28" s="35">
        <f t="shared" si="7"/>
        <v>139.46</v>
      </c>
      <c r="F28" s="36"/>
      <c r="G28" s="37">
        <f t="shared" si="8"/>
        <v>514.76</v>
      </c>
      <c r="H28" s="38">
        <f t="shared" si="9"/>
        <v>514.76</v>
      </c>
      <c r="I28" s="39">
        <v>514.76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t="str">
        <f t="shared" si="13"/>
        <v>2号楼601</v>
      </c>
      <c r="AY28" s="42">
        <f t="shared" si="14"/>
        <v>139.46</v>
      </c>
      <c r="AZ28" s="35">
        <f t="shared" si="15"/>
        <v>514.76</v>
      </c>
      <c r="BA28" s="35">
        <f t="shared" si="16"/>
        <v>514.76</v>
      </c>
      <c r="BB28" s="35">
        <f t="shared" si="17"/>
        <v>514.76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3079</v>
      </c>
      <c r="D29" s="2209" t="s">
        <v>3069</v>
      </c>
      <c r="E29" s="35">
        <f t="shared" si="7"/>
        <v>139.46</v>
      </c>
      <c r="F29" s="36"/>
      <c r="G29" s="37">
        <f t="shared" si="8"/>
        <v>514.76</v>
      </c>
      <c r="H29" s="38">
        <f t="shared" si="9"/>
        <v>514.76</v>
      </c>
      <c r="I29" s="39">
        <v>514.76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t="str">
        <f t="shared" si="13"/>
        <v>2号楼701</v>
      </c>
      <c r="AY29" s="42">
        <f t="shared" si="14"/>
        <v>139.46</v>
      </c>
      <c r="AZ29" s="35">
        <f t="shared" si="15"/>
        <v>514.76</v>
      </c>
      <c r="BA29" s="35">
        <f t="shared" si="16"/>
        <v>514.76</v>
      </c>
      <c r="BB29" s="35">
        <f t="shared" si="17"/>
        <v>514.76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3080</v>
      </c>
      <c r="D30" s="2209" t="s">
        <v>3069</v>
      </c>
      <c r="E30" s="35">
        <f t="shared" si="7"/>
        <v>139.46</v>
      </c>
      <c r="F30" s="36"/>
      <c r="G30" s="37">
        <f t="shared" si="8"/>
        <v>514.76</v>
      </c>
      <c r="H30" s="38">
        <f t="shared" si="9"/>
        <v>514.76</v>
      </c>
      <c r="I30" s="39">
        <v>514.76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t="str">
        <f t="shared" si="13"/>
        <v>2号楼801</v>
      </c>
      <c r="AY30" s="42">
        <f t="shared" si="14"/>
        <v>139.46</v>
      </c>
      <c r="AZ30" s="35">
        <f t="shared" si="15"/>
        <v>514.76</v>
      </c>
      <c r="BA30" s="35">
        <f t="shared" si="16"/>
        <v>514.76</v>
      </c>
      <c r="BB30" s="35">
        <f t="shared" si="17"/>
        <v>514.76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3081</v>
      </c>
      <c r="D31" s="2209" t="s">
        <v>3069</v>
      </c>
      <c r="E31" s="35">
        <f t="shared" si="7"/>
        <v>137.91999999999999</v>
      </c>
      <c r="F31" s="36"/>
      <c r="G31" s="37">
        <f t="shared" si="8"/>
        <v>509.06</v>
      </c>
      <c r="H31" s="38">
        <f t="shared" si="9"/>
        <v>509.06</v>
      </c>
      <c r="I31" s="39">
        <v>509.06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t="str">
        <f t="shared" si="13"/>
        <v>2号楼901</v>
      </c>
      <c r="AY31" s="42">
        <f t="shared" si="14"/>
        <v>137.91999999999999</v>
      </c>
      <c r="AZ31" s="35">
        <f t="shared" si="15"/>
        <v>509.06</v>
      </c>
      <c r="BA31" s="35">
        <f t="shared" si="16"/>
        <v>509.06</v>
      </c>
      <c r="BB31" s="35">
        <f t="shared" si="17"/>
        <v>509.06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3082</v>
      </c>
      <c r="D32" s="2209" t="s">
        <v>3069</v>
      </c>
      <c r="E32" s="35">
        <f t="shared" si="7"/>
        <v>25.28</v>
      </c>
      <c r="F32" s="36"/>
      <c r="G32" s="37">
        <f t="shared" si="8"/>
        <v>93.3</v>
      </c>
      <c r="H32" s="38">
        <f t="shared" si="9"/>
        <v>93.3</v>
      </c>
      <c r="I32" s="39">
        <v>93.3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t="str">
        <f t="shared" si="13"/>
        <v>2号楼902</v>
      </c>
      <c r="AY32" s="42">
        <f t="shared" si="14"/>
        <v>25.28</v>
      </c>
      <c r="AZ32" s="35">
        <f t="shared" si="15"/>
        <v>93.3</v>
      </c>
      <c r="BA32" s="35">
        <f t="shared" si="16"/>
        <v>93.3</v>
      </c>
      <c r="BB32" s="35">
        <f t="shared" si="17"/>
        <v>93.3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8"/>
      <c r="C1" s="1388"/>
      <c r="D1" s="1388"/>
      <c r="E1" s="1388"/>
      <c r="F1" s="1388"/>
      <c r="G1" s="1388"/>
      <c r="H1" s="1388"/>
      <c r="I1" s="1388"/>
      <c r="J1" s="1388"/>
      <c r="K1" s="1388"/>
      <c r="L1" s="1388"/>
      <c r="M1" s="1388"/>
      <c r="N1" s="1388"/>
      <c r="O1" s="1388"/>
      <c r="P1" s="1388"/>
    </row>
    <row r="2" spans="1:16" ht="15">
      <c r="A2" s="3065" t="s">
        <v>1935</v>
      </c>
      <c r="B2" s="3065"/>
      <c r="C2" s="3065"/>
      <c r="D2" s="964" t="s">
        <v>1911</v>
      </c>
      <c r="E2" s="2223" t="s">
        <v>1912</v>
      </c>
      <c r="F2" s="1388"/>
      <c r="G2" s="2224"/>
      <c r="H2" s="2225"/>
      <c r="I2" s="2226" t="s">
        <v>1936</v>
      </c>
      <c r="J2" s="1388"/>
      <c r="K2" s="1388"/>
      <c r="L2" s="1388"/>
      <c r="M2" s="1388"/>
      <c r="N2" s="1423"/>
      <c r="O2" s="1388"/>
      <c r="P2" s="1388"/>
    </row>
    <row r="3" spans="1:16" ht="15.75" thickBot="1">
      <c r="A3" s="3066" t="s">
        <v>1909</v>
      </c>
      <c r="B3" s="3066"/>
      <c r="C3" s="3066"/>
      <c r="D3" s="46">
        <f>'数据-基础表'!AY6</f>
        <v>8811.7800000000007</v>
      </c>
      <c r="E3" s="46">
        <f>'数据-基础表'!AZ5</f>
        <v>32523.979999999992</v>
      </c>
      <c r="F3" s="1388"/>
      <c r="G3" s="1395"/>
      <c r="H3" s="1243" t="s">
        <v>1910</v>
      </c>
      <c r="I3" s="55">
        <f>ROUND('数据-基础表'!B3/'数据-基础表'!A3,2)</f>
        <v>3.69</v>
      </c>
      <c r="J3" s="1388"/>
      <c r="K3" s="1388"/>
      <c r="L3" s="1388"/>
      <c r="M3" s="1388"/>
      <c r="N3" s="1423"/>
      <c r="O3" s="1388"/>
      <c r="P3" s="1388"/>
    </row>
    <row r="4" spans="1:16" ht="15">
      <c r="A4" s="3067"/>
      <c r="B4" s="3068"/>
      <c r="C4" s="3069"/>
      <c r="D4" s="2227" t="s">
        <v>1911</v>
      </c>
      <c r="E4" s="2228" t="s">
        <v>1912</v>
      </c>
      <c r="F4" s="1388"/>
      <c r="G4" s="2229" t="s">
        <v>1937</v>
      </c>
      <c r="H4" s="1243" t="s">
        <v>1917</v>
      </c>
      <c r="I4" s="55">
        <f>ROUND(SUMIF('数据-基础表'!I9:AS9,"地上",'数据-基础表'!I5:AS5)/'数据-基础表'!A3,2)</f>
        <v>2.9</v>
      </c>
      <c r="J4" s="1388"/>
      <c r="K4" s="1388"/>
      <c r="L4" s="1388"/>
      <c r="M4" s="1388"/>
      <c r="N4" s="1423"/>
      <c r="O4" s="1388"/>
      <c r="P4" s="1388"/>
    </row>
    <row r="5" spans="1:16">
      <c r="A5" s="47" t="s">
        <v>1913</v>
      </c>
      <c r="B5" s="3070" t="s">
        <v>1914</v>
      </c>
      <c r="C5" s="3070"/>
      <c r="D5" s="48">
        <f>ROUND($D$3*E5/$E$3,2)</f>
        <v>0</v>
      </c>
      <c r="E5" s="49">
        <f>SUMIF('数据-基础表'!$11:$11,"住宅",'数据-基础表'!$5:$5)</f>
        <v>0</v>
      </c>
      <c r="F5" s="1388"/>
      <c r="G5" s="1395"/>
      <c r="H5" s="1243" t="s">
        <v>1910</v>
      </c>
      <c r="I5" s="55">
        <f>ROUND(E31/D31,2)</f>
        <v>3.69</v>
      </c>
      <c r="J5" s="1388"/>
      <c r="K5" s="1388"/>
      <c r="L5" s="1388"/>
      <c r="M5" s="1388"/>
      <c r="N5" s="1388"/>
      <c r="O5" s="1388"/>
      <c r="P5" s="1388"/>
    </row>
    <row r="6" spans="1:16" ht="15" thickBot="1">
      <c r="A6" s="2230"/>
      <c r="B6" s="3070" t="s">
        <v>1915</v>
      </c>
      <c r="C6" s="3070"/>
      <c r="D6" s="48">
        <f>ROUND($D$3*E6/$E$3,2)</f>
        <v>8811.7800000000007</v>
      </c>
      <c r="E6" s="49">
        <f>E3-E5</f>
        <v>32523.979999999992</v>
      </c>
      <c r="F6" s="1388"/>
      <c r="G6" s="2231" t="s">
        <v>1916</v>
      </c>
      <c r="H6" s="1395" t="s">
        <v>1917</v>
      </c>
      <c r="I6" s="936">
        <f>ROUND(F31/D31,2)</f>
        <v>2.9</v>
      </c>
      <c r="J6" s="1388"/>
      <c r="K6" s="1388"/>
      <c r="L6" s="1388"/>
      <c r="M6" s="1388"/>
      <c r="N6" s="1388"/>
      <c r="O6" s="1388"/>
      <c r="P6" s="1388"/>
    </row>
    <row r="7" spans="1:16" ht="15">
      <c r="A7" s="3062"/>
      <c r="B7" s="3063"/>
      <c r="C7" s="3064"/>
      <c r="D7" s="2227" t="s">
        <v>1911</v>
      </c>
      <c r="E7" s="2232" t="s">
        <v>1918</v>
      </c>
      <c r="F7" s="1388"/>
      <c r="G7" s="2224" t="s">
        <v>1919</v>
      </c>
      <c r="H7" s="64"/>
      <c r="I7" s="420"/>
      <c r="J7" s="1388"/>
      <c r="K7" s="1388"/>
      <c r="L7" s="1388"/>
      <c r="M7" s="1388"/>
      <c r="N7" s="1388"/>
      <c r="O7" s="1388"/>
      <c r="P7" s="1388"/>
    </row>
    <row r="8" spans="1:16">
      <c r="A8" s="47" t="s">
        <v>1920</v>
      </c>
      <c r="B8" s="50" t="s">
        <v>1921</v>
      </c>
      <c r="C8" s="48" t="s">
        <v>1922</v>
      </c>
      <c r="D8" s="48">
        <f t="shared" ref="D8:D15" si="0">ROUND($D$3*E8/$E$3,2)</f>
        <v>6916.19</v>
      </c>
      <c r="E8" s="51">
        <f>SUMIF('数据-基础表'!BB10:BK10,"地上",'数据-基础表'!BB5:BK5)</f>
        <v>25527.419999999991</v>
      </c>
      <c r="F8" s="1388"/>
      <c r="G8" s="2233"/>
      <c r="H8" s="2233"/>
      <c r="I8" s="1388"/>
      <c r="J8" s="1388"/>
      <c r="K8" s="1388"/>
      <c r="L8" s="1388"/>
      <c r="M8" s="1388"/>
      <c r="N8" s="1388"/>
      <c r="O8" s="1388"/>
      <c r="P8" s="1388"/>
    </row>
    <row r="9" spans="1:16">
      <c r="A9" s="2234"/>
      <c r="B9" s="2235"/>
      <c r="C9" s="48" t="s">
        <v>1923</v>
      </c>
      <c r="D9" s="48">
        <f t="shared" si="0"/>
        <v>0</v>
      </c>
      <c r="E9" s="52">
        <v>0</v>
      </c>
      <c r="F9" s="1388"/>
      <c r="G9" s="2233"/>
      <c r="H9" s="2233"/>
      <c r="I9" s="1388"/>
      <c r="J9" s="1388"/>
      <c r="K9" s="1388"/>
      <c r="L9" s="1388"/>
      <c r="M9" s="1388"/>
      <c r="N9" s="1388"/>
      <c r="O9" s="1388"/>
      <c r="P9" s="1388"/>
    </row>
    <row r="10" spans="1:16">
      <c r="A10" s="2234"/>
      <c r="B10" s="2235"/>
      <c r="C10" s="48" t="s">
        <v>1932</v>
      </c>
      <c r="D10" s="48">
        <f t="shared" si="0"/>
        <v>0</v>
      </c>
      <c r="E10" s="51">
        <f>SUMPRODUCT(('数据-基础表'!BB10:BK10="地下")*('数据-基础表'!BB11:BK11="商业")*('数据-基础表'!BB5:BK5))</f>
        <v>0</v>
      </c>
      <c r="F10" s="1388"/>
      <c r="G10" s="2233"/>
      <c r="H10" s="2233"/>
      <c r="I10" s="1388"/>
      <c r="J10" s="1388"/>
      <c r="K10" s="1388"/>
      <c r="L10" s="1388"/>
      <c r="M10" s="1388"/>
      <c r="N10" s="1388"/>
      <c r="O10" s="1388"/>
      <c r="P10" s="1388"/>
    </row>
    <row r="11" spans="1:16">
      <c r="A11" s="2234"/>
      <c r="B11" s="2235"/>
      <c r="C11" s="48" t="s">
        <v>1924</v>
      </c>
      <c r="D11" s="48">
        <f t="shared" si="0"/>
        <v>1285.23</v>
      </c>
      <c r="E11" s="51">
        <f>SUMPRODUCT(('数据-基础表'!BB10:BK10="地下")*('数据-基础表'!BB11:BK11="办公")*('数据-基础表'!BB5:BK5))+'数据-基础表'!BP5</f>
        <v>4743.7299999999996</v>
      </c>
      <c r="F11" s="1388"/>
      <c r="G11" s="2233"/>
      <c r="H11" s="2233"/>
      <c r="I11" s="1388"/>
      <c r="J11" s="1388"/>
      <c r="K11" s="1388"/>
      <c r="L11" s="1388"/>
      <c r="M11" s="1388"/>
      <c r="N11" s="1388"/>
      <c r="O11" s="1388"/>
      <c r="P11" s="1388"/>
    </row>
    <row r="12" spans="1:16">
      <c r="A12" s="2234"/>
      <c r="B12" s="2235"/>
      <c r="C12" s="48" t="s">
        <v>1925</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1926</v>
      </c>
      <c r="D13" s="48">
        <f t="shared" si="0"/>
        <v>610.36</v>
      </c>
      <c r="E13" s="51">
        <f>SUMPRODUCT(('数据-基础表'!BB10:BK10="地下")*('数据-基础表'!BB11:BK11="车库")*('数据-基础表'!BB5:BK5))</f>
        <v>2252.83</v>
      </c>
      <c r="F13" s="1388"/>
      <c r="G13" s="2233"/>
      <c r="H13" s="2233"/>
      <c r="I13" s="1388"/>
      <c r="J13" s="1388"/>
      <c r="K13" s="1388"/>
      <c r="L13" s="1388"/>
      <c r="M13" s="1388"/>
      <c r="N13" s="1388"/>
      <c r="O13" s="1388"/>
      <c r="P13" s="1388"/>
    </row>
    <row r="14" spans="1:16">
      <c r="A14" s="2234"/>
      <c r="B14" s="2235"/>
      <c r="C14" s="48" t="s">
        <v>1938</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1933</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1927</v>
      </c>
      <c r="D16" s="50">
        <f>SUM(D8:D15)</f>
        <v>8811.7800000000007</v>
      </c>
      <c r="E16" s="53">
        <f>SUM(E8:E15)</f>
        <v>32523.979999999989</v>
      </c>
      <c r="F16" s="1388"/>
      <c r="G16" s="2233"/>
      <c r="H16" s="2236" t="s">
        <v>1939</v>
      </c>
      <c r="I16" s="2237"/>
      <c r="J16" s="1388"/>
      <c r="K16" s="3059" t="s">
        <v>1939</v>
      </c>
      <c r="L16" s="3060"/>
      <c r="M16" s="3060"/>
      <c r="N16" s="3060"/>
      <c r="O16" s="3060"/>
      <c r="P16" s="3061"/>
    </row>
    <row r="17" spans="1:19" ht="15">
      <c r="A17" s="2238" t="s">
        <v>1940</v>
      </c>
      <c r="B17" s="2239" t="s">
        <v>1941</v>
      </c>
      <c r="C17" s="2240" t="s">
        <v>1942</v>
      </c>
      <c r="D17" s="2241" t="s">
        <v>1930</v>
      </c>
      <c r="E17" s="2242" t="s">
        <v>1931</v>
      </c>
      <c r="F17" s="2243"/>
      <c r="G17" s="2244"/>
      <c r="H17" s="2245" t="s">
        <v>1943</v>
      </c>
      <c r="I17" s="2246" t="s">
        <v>1928</v>
      </c>
      <c r="J17" s="1388"/>
      <c r="K17" s="3056" t="s">
        <v>1944</v>
      </c>
      <c r="L17" s="3057"/>
      <c r="M17" s="3058"/>
      <c r="N17" s="3056" t="s">
        <v>1945</v>
      </c>
      <c r="O17" s="3057"/>
      <c r="P17" s="3058"/>
      <c r="R17" s="2224" t="s">
        <v>1946</v>
      </c>
      <c r="S17" s="64"/>
    </row>
    <row r="18" spans="1:19" ht="15">
      <c r="A18" s="2234"/>
      <c r="B18" s="2247"/>
      <c r="C18" s="2248"/>
      <c r="D18" s="2249"/>
      <c r="E18" s="2250" t="s">
        <v>1947</v>
      </c>
      <c r="F18" s="2251" t="s">
        <v>1948</v>
      </c>
      <c r="G18" s="2252" t="s">
        <v>1949</v>
      </c>
      <c r="H18" s="1258" t="s">
        <v>1950</v>
      </c>
      <c r="I18" s="2253" t="s">
        <v>1951</v>
      </c>
      <c r="J18" s="1388"/>
      <c r="K18" s="1258" t="s">
        <v>1952</v>
      </c>
      <c r="L18" s="2254" t="s">
        <v>1953</v>
      </c>
      <c r="M18" s="1043" t="s">
        <v>1954</v>
      </c>
      <c r="N18" s="1258" t="s">
        <v>1952</v>
      </c>
      <c r="O18" s="2254" t="s">
        <v>1953</v>
      </c>
      <c r="P18" s="1043" t="s">
        <v>1954</v>
      </c>
      <c r="R18" s="1243" t="s">
        <v>1955</v>
      </c>
      <c r="S18" s="1243" t="s">
        <v>1956</v>
      </c>
    </row>
    <row r="19" spans="1:19">
      <c r="A19" s="2255"/>
      <c r="B19" s="50" t="s">
        <v>1929</v>
      </c>
      <c r="C19" s="2970" t="s">
        <v>3134</v>
      </c>
      <c r="D19" s="48">
        <f>ROUND($D$3*E19/$E$3,2)</f>
        <v>8201.42</v>
      </c>
      <c r="E19" s="56">
        <f t="shared" ref="E19:E26" si="1">SUM(F19:G19)</f>
        <v>30271.149999999991</v>
      </c>
      <c r="F19" s="57">
        <f>'数据-基础表'!I5</f>
        <v>25527.419999999991</v>
      </c>
      <c r="G19" s="58">
        <f>'数据-基础表'!M5</f>
        <v>4743.7299999999996</v>
      </c>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8201.42</v>
      </c>
      <c r="S19" s="1244">
        <f t="shared" si="5"/>
        <v>30271.149999999991</v>
      </c>
    </row>
    <row r="20" spans="1:19">
      <c r="A20" s="2258"/>
      <c r="B20" s="50" t="s">
        <v>1957</v>
      </c>
      <c r="C20" s="2970"/>
      <c r="D20" s="48">
        <f t="shared" ref="D20:D26" si="6">ROUND($D$3*E20/$E$3,2)</f>
        <v>0</v>
      </c>
      <c r="E20" s="56">
        <f t="shared" si="1"/>
        <v>0</v>
      </c>
      <c r="F20" s="57"/>
      <c r="G20" s="58"/>
      <c r="H20" s="720">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0</v>
      </c>
      <c r="S20" s="1244">
        <f t="shared" si="5"/>
        <v>0</v>
      </c>
    </row>
    <row r="21" spans="1:19">
      <c r="A21" s="2258"/>
      <c r="B21" s="50" t="s">
        <v>1957</v>
      </c>
      <c r="C21" s="2970" t="s">
        <v>3102</v>
      </c>
      <c r="D21" s="48">
        <f t="shared" si="6"/>
        <v>610.36</v>
      </c>
      <c r="E21" s="56">
        <f t="shared" si="1"/>
        <v>2252.83</v>
      </c>
      <c r="F21" s="57"/>
      <c r="G21" s="58">
        <f>'数据-基础表'!K5</f>
        <v>2252.83</v>
      </c>
      <c r="H21" s="720">
        <f t="shared" si="7"/>
        <v>0</v>
      </c>
      <c r="I21" s="51">
        <f t="shared" si="2"/>
        <v>0</v>
      </c>
      <c r="J21" s="1388"/>
      <c r="K21" s="1387">
        <f t="shared" si="3"/>
        <v>0</v>
      </c>
      <c r="L21" s="1243">
        <f t="shared" si="4"/>
        <v>0</v>
      </c>
      <c r="M21" s="1399">
        <f t="shared" si="8"/>
        <v>0</v>
      </c>
      <c r="N21" s="2256"/>
      <c r="O21" s="2257"/>
      <c r="P21" s="1399">
        <f t="shared" si="9"/>
        <v>0</v>
      </c>
      <c r="R21" s="1243">
        <f t="shared" si="5"/>
        <v>610.36</v>
      </c>
      <c r="S21" s="1244">
        <f t="shared" si="5"/>
        <v>2252.83</v>
      </c>
    </row>
    <row r="22" spans="1:19">
      <c r="A22" s="2258"/>
      <c r="B22" s="50" t="s">
        <v>1957</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8811.7800000000007</v>
      </c>
      <c r="E27" s="1390">
        <f>IF(SUM(E19:E26)='数据-基础表'!BA5,SUM(E19:E26),IF(F27="地上面积有误","面积有误","地下面积有误"))</f>
        <v>32523.979999999989</v>
      </c>
      <c r="F27" s="1389">
        <f>IF(SUM(F19:F26)=E8,SUM(F19:F26),"地上面积有误")</f>
        <v>25527.419999999991</v>
      </c>
      <c r="G27" s="1391">
        <f>SUM(G19:G26)</f>
        <v>6996.5599999999995</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8811.7800000000007</v>
      </c>
      <c r="S27" s="1243">
        <f>IF(SUM(S19:S26)=$E$3,SUM(S19:S26),SUM(S19:S26)&amp;"误差"&amp;ROUND(SUM(S19:S26)-E3,2))</f>
        <v>32523.979999999989</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4" t="s">
        <v>1962</v>
      </c>
      <c r="D31" s="726">
        <f>D27+D30</f>
        <v>8811.7800000000007</v>
      </c>
      <c r="E31" s="726">
        <f>E27+E30</f>
        <v>32523.979999999989</v>
      </c>
      <c r="F31" s="727">
        <f>F27+F30</f>
        <v>25527.419999999991</v>
      </c>
      <c r="G31" s="728">
        <f>G27+G30</f>
        <v>6996.5599999999995</v>
      </c>
      <c r="H31" s="1388"/>
      <c r="I31" s="1388"/>
      <c r="J31" s="1388"/>
      <c r="K31" s="1388"/>
      <c r="L31" s="1388"/>
      <c r="M31" s="1388"/>
      <c r="N31" s="1388"/>
      <c r="O31" s="1388"/>
      <c r="P31" s="1388"/>
    </row>
    <row r="32" spans="1:19">
      <c r="A32" s="2229"/>
      <c r="B32" s="2229" t="s">
        <v>1963</v>
      </c>
      <c r="C32" s="2229"/>
      <c r="D32" s="2229"/>
      <c r="E32" s="1270">
        <f>SUMIF(C19:C26,"*住宅*",E19:E26)</f>
        <v>0</v>
      </c>
      <c r="F32" s="2229"/>
      <c r="G32" s="2229"/>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9"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29"/>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1" t="s">
        <v>1965</v>
      </c>
      <c r="B2" s="1262">
        <f>项目基本情况!D3</f>
        <v>43790</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3085</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70" t="s">
        <v>2005</v>
      </c>
      <c r="AP5" s="1245"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办公</v>
      </c>
      <c r="B6" s="2302" t="str">
        <f>IF(A6=0,"","经营性")</f>
        <v>经营性</v>
      </c>
      <c r="C6" s="2303" t="s">
        <v>6</v>
      </c>
      <c r="D6" s="1048">
        <f>SUMIF(项目基本情况!D$12:I$12,C6,项目基本情况!D$14:I$14)</f>
        <v>50</v>
      </c>
      <c r="E6" s="1045">
        <f>IF(B6="","",SUMIF(项目基本情况!D$12:I$12,C6,项目基本情况!D$13:I$13))</f>
        <v>52076</v>
      </c>
      <c r="F6" s="72">
        <f>SUMIF(项目基本情况!D$12:I$12,C6,项目基本情况!D$15:I$15)</f>
        <v>22.7</v>
      </c>
      <c r="G6" s="73">
        <f>IF(ISERROR(ROUND(POWER(1+H6,D6-F6)*(POWER(1+H6,F6)-1)/(POWER(1+H6,D6)-1),3)),0,ROUND(POWER(1+H6,D6-F6)*(POWER(1+H6,F6)-1)/(POWER(1+H6,D6)-1),3))</f>
        <v>0.68600000000000005</v>
      </c>
      <c r="H6" s="799">
        <v>0.04</v>
      </c>
      <c r="I6" s="799">
        <v>4.4999999999999998E-2</v>
      </c>
      <c r="J6" s="74">
        <v>8.5000000000000006E-2</v>
      </c>
      <c r="K6" s="1247">
        <f>SUMIF('数据-汇总表'!C$19:C$33,A6,'数据-汇总表'!E$19:E$33)</f>
        <v>30271.149999999991</v>
      </c>
      <c r="L6" s="800">
        <v>2700</v>
      </c>
      <c r="M6" s="75">
        <f t="shared" ref="M6:M14" si="0">ROUND(K6*L6/10000,0)</f>
        <v>8173</v>
      </c>
      <c r="N6" s="798">
        <v>0.72</v>
      </c>
      <c r="O6" s="75" t="str">
        <f>IF($N$5="成新度","——",ROUND(M6*N6,0))</f>
        <v>——</v>
      </c>
      <c r="P6" s="76" t="str">
        <f>IF($N$5="成新度","——",M6-O6)</f>
        <v>——</v>
      </c>
      <c r="Q6" s="801">
        <v>0.1</v>
      </c>
      <c r="R6" s="77">
        <f ca="1">SUMIF('数据-汇总表'!C$19:C$33,A6,'数据-汇总表'!R$19:R$27)</f>
        <v>8201.42</v>
      </c>
      <c r="S6" s="54">
        <f>IF('数据-汇总表'!$I$17="按面积比例",SUMIF('数据-汇总表'!C$19:C$33,A6,'数据-汇总表'!K$19:K$33),SUMIF('数据-汇总表'!C$19:C$33,A6,'数据-汇总表'!N$19:N$33))</f>
        <v>0</v>
      </c>
      <c r="T6" s="1439">
        <f>ROUND($L$14*S6/10000,0)</f>
        <v>0</v>
      </c>
      <c r="U6" s="78">
        <v>5.8</v>
      </c>
      <c r="V6" s="79">
        <v>0.02</v>
      </c>
      <c r="W6" s="79">
        <v>0.1</v>
      </c>
      <c r="X6" s="1257"/>
      <c r="Y6" s="80">
        <f>N6</f>
        <v>0.72</v>
      </c>
      <c r="Z6" s="81"/>
      <c r="AA6" s="74"/>
      <c r="AB6" s="74"/>
      <c r="AC6" s="1257"/>
      <c r="AD6" s="82"/>
      <c r="AE6" s="1258">
        <f ca="1">IF(AN6="",0,SUMIF(INDIRECT("'"&amp;AN6&amp;"'"&amp;"!E:E"),$AE$5,INDIRECT("'"&amp;AN6&amp;"'"&amp;"!F:F")))</f>
        <v>22.7</v>
      </c>
      <c r="AF6" s="1800"/>
      <c r="AG6" s="147">
        <f>IF(AF6="",0,AE6-AF6)</f>
        <v>0</v>
      </c>
      <c r="AH6" s="83"/>
      <c r="AI6" s="85">
        <v>365</v>
      </c>
      <c r="AJ6" s="86"/>
      <c r="AK6" s="87">
        <v>1.4999999999999999E-2</v>
      </c>
      <c r="AL6" s="88">
        <v>1.5E-3</v>
      </c>
      <c r="AM6" s="89">
        <v>0.01</v>
      </c>
      <c r="AN6" s="2304" t="s">
        <v>3135</v>
      </c>
      <c r="AO6" s="55">
        <f ca="1">SUMIF(INDIRECT("'"&amp;AN6&amp;"'"&amp;"!A:A"),"总价",INDIRECT("'"&amp;AN6&amp;"'"&amp;"!B:B"))</f>
        <v>77315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f>'数据-汇总表'!C20</f>
        <v>0</v>
      </c>
      <c r="B7" s="2302" t="str">
        <f t="shared" ref="B7:B13" si="1">IF(A7=0,"","经营性")</f>
        <v/>
      </c>
      <c r="C7" s="2303"/>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地下车库</v>
      </c>
      <c r="B8" s="2302" t="str">
        <f t="shared" si="1"/>
        <v>经营性</v>
      </c>
      <c r="C8" s="2303" t="s">
        <v>3084</v>
      </c>
      <c r="D8" s="1048">
        <f>SUMIF(项目基本情况!D$12:I$12,C8,项目基本情况!D$14:I$14)</f>
        <v>50</v>
      </c>
      <c r="E8" s="1045">
        <f>IF(B8="","",SUMIF(项目基本情况!D$12:I$12,C8,项目基本情况!D$13:I$13))</f>
        <v>52076</v>
      </c>
      <c r="F8" s="72">
        <f>SUMIF(项目基本情况!D$12:I$12,C8,项目基本情况!D$15:I$15)</f>
        <v>22.7</v>
      </c>
      <c r="G8" s="73">
        <f t="shared" si="2"/>
        <v>0.68600000000000005</v>
      </c>
      <c r="H8" s="799">
        <v>0.04</v>
      </c>
      <c r="I8" s="799">
        <v>4.4999999999999998E-2</v>
      </c>
      <c r="J8" s="74">
        <v>8.5000000000000006E-2</v>
      </c>
      <c r="K8" s="1247">
        <f>SUMIF('数据-汇总表'!C$19:C$33,A8,'数据-汇总表'!E$19:E$33)</f>
        <v>2252.83</v>
      </c>
      <c r="L8" s="800">
        <v>2000</v>
      </c>
      <c r="M8" s="75">
        <f>ROUND(K8*L8/10000,0)</f>
        <v>451</v>
      </c>
      <c r="N8" s="798">
        <v>0.72</v>
      </c>
      <c r="O8" s="75" t="str">
        <f t="shared" si="3"/>
        <v>——</v>
      </c>
      <c r="P8" s="76" t="str">
        <f t="shared" si="4"/>
        <v>——</v>
      </c>
      <c r="Q8" s="801">
        <v>0.03</v>
      </c>
      <c r="R8" s="77">
        <f ca="1">SUMIF('数据-汇总表'!C$19:C$33,A8,'数据-汇总表'!R$19:R$27)</f>
        <v>610.36</v>
      </c>
      <c r="S8" s="54">
        <f>IF('数据-汇总表'!$I$17="按面积比例",SUMIF('数据-汇总表'!C$19:C$33,A8,'数据-汇总表'!K$19:K$33),SUMIF('数据-汇总表'!C$19:C$33,A8,'数据-汇总表'!N$19:N$33))</f>
        <v>0</v>
      </c>
      <c r="T8" s="1439">
        <f t="shared" si="5"/>
        <v>0</v>
      </c>
      <c r="U8" s="802">
        <v>0.8</v>
      </c>
      <c r="V8" s="803">
        <v>0.02</v>
      </c>
      <c r="W8" s="803">
        <v>0.1</v>
      </c>
      <c r="X8" s="1257"/>
      <c r="Y8" s="804">
        <f>N8</f>
        <v>0.72</v>
      </c>
      <c r="Z8" s="81"/>
      <c r="AA8" s="74"/>
      <c r="AB8" s="74"/>
      <c r="AC8" s="1257"/>
      <c r="AD8" s="82"/>
      <c r="AE8" s="1258">
        <f t="shared" ca="1" si="6"/>
        <v>22.7</v>
      </c>
      <c r="AF8" s="1800"/>
      <c r="AG8" s="147">
        <f t="shared" si="7"/>
        <v>0</v>
      </c>
      <c r="AH8" s="805"/>
      <c r="AI8" s="85">
        <v>365</v>
      </c>
      <c r="AJ8" s="86"/>
      <c r="AK8" s="806">
        <v>1.4999999999999999E-2</v>
      </c>
      <c r="AL8" s="807">
        <v>1.5E-3</v>
      </c>
      <c r="AM8" s="808">
        <v>0.01</v>
      </c>
      <c r="AN8" s="2304" t="s">
        <v>3130</v>
      </c>
      <c r="AO8" s="55">
        <f t="shared" ca="1" si="8"/>
        <v>898</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2009</v>
      </c>
      <c r="B14" s="2302" t="s">
        <v>2010</v>
      </c>
      <c r="C14" s="2307" t="s">
        <v>2009</v>
      </c>
      <c r="D14" s="1048"/>
      <c r="E14" s="1045"/>
      <c r="F14" s="72"/>
      <c r="G14" s="73"/>
      <c r="H14" s="1246"/>
      <c r="I14" s="1246"/>
      <c r="J14" s="1246"/>
      <c r="K14" s="1247">
        <f>SUMIF('数据-汇总表'!C$19:C$33,A14,'数据-汇总表'!E$19:E$33)</f>
        <v>0</v>
      </c>
      <c r="L14" s="91">
        <v>2000</v>
      </c>
      <c r="M14" s="75">
        <f t="shared" si="0"/>
        <v>0</v>
      </c>
      <c r="N14" s="92">
        <v>0.72</v>
      </c>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7"/>
      <c r="AH14" s="1258"/>
      <c r="AI14" s="1811"/>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2011</v>
      </c>
      <c r="B15" s="2302" t="s">
        <v>2010</v>
      </c>
      <c r="C15" s="2307" t="s">
        <v>2012</v>
      </c>
      <c r="D15" s="1048"/>
      <c r="E15" s="1045"/>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7"/>
      <c r="AH15" s="1258"/>
      <c r="AI15" s="1811"/>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2013</v>
      </c>
      <c r="B16" s="97"/>
      <c r="C16" s="1002"/>
      <c r="D16" s="2309"/>
      <c r="E16" s="97"/>
      <c r="F16" s="97"/>
      <c r="G16" s="98">
        <f>ROUND(SUMPRODUCT(G6:G13,K6:K13)/SUMPRODUCT((G6:G13&gt;0)*(K6:K13)),3)</f>
        <v>0.68600000000000005</v>
      </c>
      <c r="H16" s="99">
        <f>ROUND(SUMPRODUCT(H6:H13,K6:K13)/SUMPRODUCT((H6:H13&gt;0)*(K6:K13)),3)</f>
        <v>0.04</v>
      </c>
      <c r="I16" s="100"/>
      <c r="J16" s="100"/>
      <c r="K16" s="101">
        <f>SUM(K6:K15)</f>
        <v>32523.979999999989</v>
      </c>
      <c r="L16" s="102">
        <f>ROUND(M16*10000/SUM(K6:K14),0)</f>
        <v>2652</v>
      </c>
      <c r="M16" s="102">
        <f>SUM(M6:M14)</f>
        <v>8624</v>
      </c>
      <c r="N16" s="103">
        <f>ROUND(SUMPRODUCT(M6:M14,N6:N14)/M16,3)</f>
        <v>0.72</v>
      </c>
      <c r="O16" s="102">
        <f>SUM(O6:O14)</f>
        <v>0</v>
      </c>
      <c r="P16" s="102">
        <f>SUM(P6:P14)</f>
        <v>0</v>
      </c>
      <c r="Q16" s="104">
        <f>ROUND(SUMPRODUCT(Q6:Q13,K6:K13)/SUMPRODUCT((Q6:Q13&gt;0)*(K6:K13)),2)</f>
        <v>0.1</v>
      </c>
      <c r="R16" s="1251">
        <f ca="1">SUM(R6:R13)</f>
        <v>8811.7800000000007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v>2019</v>
      </c>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v>2002</v>
      </c>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5"/>
      <c r="C25" s="2272"/>
      <c r="D25" s="2273"/>
      <c r="E25" s="2272"/>
      <c r="F25" s="2272"/>
      <c r="G25" s="2272"/>
      <c r="H25" s="2272"/>
      <c r="I25" s="2272"/>
      <c r="J25" s="2272"/>
      <c r="K25" s="168"/>
      <c r="L25" s="168"/>
      <c r="M25" s="1577"/>
      <c r="N25" s="1577">
        <f>N23-N24</f>
        <v>17</v>
      </c>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v>60</v>
      </c>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160</v>
      </c>
      <c r="C27" s="1760" t="s">
        <v>2027</v>
      </c>
      <c r="D27" s="2318"/>
      <c r="E27" s="1423"/>
      <c r="F27" s="1423"/>
      <c r="G27" s="2272"/>
      <c r="H27" s="2272"/>
      <c r="I27" s="2272"/>
      <c r="J27" s="2272"/>
      <c r="K27" s="168"/>
      <c r="L27" s="168"/>
      <c r="M27" s="1577"/>
      <c r="N27" s="1577">
        <f>N26-N25</f>
        <v>43</v>
      </c>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2028</v>
      </c>
      <c r="B28" s="119">
        <v>200</v>
      </c>
      <c r="C28" s="2321"/>
      <c r="D28" s="2318"/>
      <c r="E28" s="1423"/>
      <c r="F28" s="1423"/>
      <c r="G28" s="2272"/>
      <c r="H28" s="2272"/>
      <c r="I28" s="2272"/>
      <c r="J28" s="2272"/>
      <c r="K28" s="168"/>
      <c r="L28" s="168"/>
      <c r="M28" s="1577"/>
      <c r="N28" s="1577">
        <f>N27/N26</f>
        <v>0.71666666666666667</v>
      </c>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2031</v>
      </c>
      <c r="B30" s="721">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2033</v>
      </c>
      <c r="B32" s="722">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2034</v>
      </c>
      <c r="B33" s="723">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2036</v>
      </c>
      <c r="B34" s="122">
        <v>0</v>
      </c>
      <c r="C34" s="1759" t="s">
        <v>2037</v>
      </c>
      <c r="D34" s="2273" t="s">
        <v>2038</v>
      </c>
      <c r="E34" s="729"/>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1.4999999999999999E-2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1.4999999999999999E-2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5.6000000000000001E-2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6.000000000000001E-3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7.0000000000000007E-2</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3</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523</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v>30</v>
      </c>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v>24</v>
      </c>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v>18</v>
      </c>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v>12</v>
      </c>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v>3</v>
      </c>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71" t="s">
        <v>2080</v>
      </c>
      <c r="B1" s="3072"/>
      <c r="C1" s="3072"/>
      <c r="D1" s="3072"/>
      <c r="E1" s="3072"/>
      <c r="F1" s="3072"/>
      <c r="G1" s="307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1"/>
      <c r="G2" s="2359" t="s">
        <v>2082</v>
      </c>
      <c r="H2" s="2362"/>
      <c r="I2" s="2362"/>
      <c r="J2" s="2362"/>
      <c r="K2" s="2362"/>
      <c r="L2" s="2362"/>
      <c r="M2" s="2362"/>
      <c r="N2" s="2362"/>
      <c r="O2" s="2362"/>
      <c r="P2" s="2362"/>
      <c r="Q2" s="2362"/>
      <c r="R2" s="2362"/>
    </row>
    <row r="3" spans="1:29" ht="54">
      <c r="A3" s="415" t="s">
        <v>2083</v>
      </c>
      <c r="B3" s="1264" t="s">
        <v>2084</v>
      </c>
      <c r="C3" s="2364" t="s">
        <v>2085</v>
      </c>
      <c r="D3" s="2365"/>
      <c r="E3" s="431" t="s">
        <v>2083</v>
      </c>
      <c r="F3" s="2366" t="s">
        <v>2086</v>
      </c>
      <c r="G3" s="2367" t="s">
        <v>2087</v>
      </c>
      <c r="H3" s="2362"/>
      <c r="I3" s="2362"/>
      <c r="J3" s="2362"/>
      <c r="K3" s="2362"/>
      <c r="L3" s="2362"/>
      <c r="M3" s="2362"/>
      <c r="N3" s="2362"/>
      <c r="O3" s="2362"/>
      <c r="P3" s="2362"/>
      <c r="Q3" s="2362"/>
      <c r="R3" s="2362"/>
    </row>
    <row r="4" spans="1:29" ht="41.25">
      <c r="A4" s="431"/>
      <c r="B4" s="1791" t="s">
        <v>2088</v>
      </c>
      <c r="C4" s="2368" t="s">
        <v>2089</v>
      </c>
      <c r="D4" s="2365"/>
      <c r="E4" s="2369"/>
      <c r="F4" s="42" t="s">
        <v>2090</v>
      </c>
      <c r="G4" s="2370" t="s">
        <v>2091</v>
      </c>
      <c r="H4" s="2362"/>
      <c r="I4" s="2362"/>
      <c r="J4" s="2362"/>
      <c r="K4" s="2362"/>
      <c r="L4" s="2362"/>
      <c r="M4" s="2362"/>
      <c r="N4" s="2362"/>
      <c r="O4" s="2362"/>
      <c r="P4" s="2362"/>
      <c r="Q4" s="2362"/>
      <c r="R4" s="2362"/>
    </row>
    <row r="5" spans="1:29" ht="41.25">
      <c r="A5" s="431"/>
      <c r="B5" s="1791" t="s">
        <v>2092</v>
      </c>
      <c r="C5" s="2368" t="s">
        <v>2093</v>
      </c>
      <c r="D5" s="2365"/>
      <c r="E5" s="2369"/>
      <c r="F5" s="1791" t="s">
        <v>2094</v>
      </c>
      <c r="G5" s="2370" t="s">
        <v>2095</v>
      </c>
      <c r="H5" s="2362"/>
      <c r="I5" s="2362"/>
      <c r="J5" s="2362"/>
      <c r="K5" s="2362"/>
      <c r="L5" s="2362"/>
      <c r="M5" s="2362"/>
      <c r="N5" s="2362"/>
      <c r="O5" s="2362"/>
      <c r="P5" s="2362"/>
      <c r="Q5" s="2362"/>
      <c r="R5" s="2362"/>
    </row>
    <row r="6" spans="1:29" ht="54">
      <c r="A6" s="431"/>
      <c r="B6" s="1791" t="s">
        <v>2096</v>
      </c>
      <c r="C6" s="2370" t="s">
        <v>2091</v>
      </c>
      <c r="D6" s="2365"/>
      <c r="E6" s="2369"/>
      <c r="F6" s="1791" t="s">
        <v>2097</v>
      </c>
      <c r="G6" s="2370" t="s">
        <v>2098</v>
      </c>
      <c r="H6" s="2362"/>
      <c r="I6" s="2362"/>
      <c r="J6" s="2362"/>
      <c r="K6" s="2362"/>
      <c r="L6" s="2362"/>
      <c r="M6" s="2362"/>
      <c r="N6" s="2362"/>
      <c r="O6" s="2362"/>
      <c r="P6" s="2362"/>
      <c r="Q6" s="2362"/>
      <c r="R6" s="2362"/>
    </row>
    <row r="7" spans="1:29" ht="41.25" thickBot="1">
      <c r="A7" s="431"/>
      <c r="B7" s="1791" t="s">
        <v>2094</v>
      </c>
      <c r="C7" s="2370" t="s">
        <v>2095</v>
      </c>
      <c r="D7" s="2371"/>
      <c r="E7" s="2372"/>
      <c r="F7" s="2373" t="s">
        <v>2099</v>
      </c>
      <c r="G7" s="2374" t="s">
        <v>2100</v>
      </c>
      <c r="H7" s="2362"/>
      <c r="I7" s="2362"/>
      <c r="J7" s="2362"/>
      <c r="K7" s="2362"/>
      <c r="L7" s="2362"/>
      <c r="M7" s="2362"/>
      <c r="N7" s="2362"/>
      <c r="O7" s="2362"/>
      <c r="P7" s="2362"/>
      <c r="Q7" s="2362"/>
      <c r="R7" s="2362"/>
    </row>
    <row r="8" spans="1:29" ht="27">
      <c r="A8" s="431"/>
      <c r="B8" s="1791" t="s">
        <v>2097</v>
      </c>
      <c r="C8" s="2370" t="s">
        <v>2098</v>
      </c>
      <c r="D8" s="2371"/>
      <c r="E8" s="2371"/>
      <c r="F8" s="1130"/>
      <c r="G8" s="1130"/>
      <c r="H8" s="2362"/>
      <c r="I8" s="2362"/>
      <c r="J8" s="2362"/>
      <c r="K8" s="2362"/>
      <c r="L8" s="2362"/>
      <c r="M8" s="2362"/>
      <c r="N8" s="2362"/>
      <c r="O8" s="2362"/>
      <c r="P8" s="2362"/>
      <c r="Q8" s="2362"/>
      <c r="R8" s="2362"/>
    </row>
    <row r="9" spans="1:29" ht="27">
      <c r="A9" s="431"/>
      <c r="B9" s="1791" t="s">
        <v>2101</v>
      </c>
      <c r="C9" s="2368" t="s">
        <v>2102</v>
      </c>
      <c r="D9" s="2365"/>
      <c r="E9" s="2371"/>
      <c r="F9" s="1130"/>
      <c r="G9" s="1130"/>
      <c r="H9" s="2362"/>
      <c r="I9" s="2362"/>
      <c r="J9" s="2362"/>
      <c r="K9" s="2362"/>
      <c r="L9" s="2362"/>
      <c r="M9" s="2362"/>
      <c r="N9" s="2362"/>
      <c r="O9" s="2362"/>
      <c r="P9" s="2362"/>
      <c r="Q9" s="2362"/>
      <c r="R9" s="2362"/>
    </row>
    <row r="10" spans="1:29" s="117" customFormat="1" ht="15.75" thickBot="1">
      <c r="A10" s="2375"/>
      <c r="B10" s="2376" t="s">
        <v>2103</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2104</v>
      </c>
      <c r="B13" s="2382"/>
      <c r="C13" s="2382"/>
      <c r="D13" s="2389"/>
      <c r="E13" s="2382"/>
      <c r="F13" s="2382"/>
      <c r="G13" s="2382"/>
    </row>
    <row r="14" spans="1:29" ht="15.75" thickBot="1">
      <c r="A14" s="2393"/>
      <c r="B14" s="2394"/>
      <c r="C14" s="2395" t="s">
        <v>2105</v>
      </c>
      <c r="D14" s="2365"/>
      <c r="E14" s="2396"/>
      <c r="F14" s="2396"/>
      <c r="G14" s="2359" t="s">
        <v>2106</v>
      </c>
    </row>
    <row r="15" spans="1:29" ht="57">
      <c r="A15" s="68" t="s">
        <v>2107</v>
      </c>
      <c r="B15" s="1263" t="s">
        <v>2084</v>
      </c>
      <c r="C15" s="2397" t="str">
        <f>C3</f>
        <v>估价对象周边居住用地比例、居住小区规模和社区发展完善程度，综合评价居住社区成熟度一般</v>
      </c>
      <c r="D15" s="2365"/>
      <c r="E15" s="2398" t="s">
        <v>2108</v>
      </c>
      <c r="F15" s="1263" t="s">
        <v>2109</v>
      </c>
      <c r="G15" s="135" t="str">
        <f>G3</f>
        <v>估价对象位于XX开发区，园区建设成熟度XX，产业集聚程度XX</v>
      </c>
    </row>
    <row r="16" spans="1:29" ht="42.75">
      <c r="A16" s="645"/>
      <c r="B16" s="2399" t="s">
        <v>2088</v>
      </c>
      <c r="C16" s="2400" t="str">
        <f>C4</f>
        <v>估价对象位于XX商圈，周边商业氛围成熟，人流量大，商业繁华度好</v>
      </c>
      <c r="D16" s="2365"/>
      <c r="E16" s="2401"/>
      <c r="F16" s="2402" t="s">
        <v>2090</v>
      </c>
      <c r="G16" s="136" t="str">
        <f>G4</f>
        <v>估价对象周边道路状况、公共交通通达情况、停车便捷程度，综合评价交通便捷度较好</v>
      </c>
    </row>
    <row r="17" spans="1:18" ht="42.75">
      <c r="A17" s="645"/>
      <c r="B17" s="2399" t="s">
        <v>2092</v>
      </c>
      <c r="C17" s="2400" t="str">
        <f>C5</f>
        <v>估价对象位于XX商圈，周边办公楼项目较多，入驻率高，办公集聚程度较好</v>
      </c>
      <c r="D17" s="2371"/>
      <c r="E17" s="2401"/>
      <c r="F17" s="2402" t="s">
        <v>2110</v>
      </c>
      <c r="G17" s="1565"/>
    </row>
    <row r="18" spans="1:18" ht="57">
      <c r="A18" s="645"/>
      <c r="B18" s="2402" t="s">
        <v>2096</v>
      </c>
      <c r="C18" s="136" t="str">
        <f>C6</f>
        <v>估价对象周边道路状况、公共交通通达情况、停车便捷程度，综合评价交通便捷度较好</v>
      </c>
      <c r="D18" s="2371"/>
      <c r="E18" s="2401"/>
      <c r="F18" s="2402" t="s">
        <v>2099</v>
      </c>
      <c r="G18" s="136" t="str">
        <f>G7</f>
        <v>该园区内是否有污染型企业，绿化情况，卫生条件，整体环境状况判断</v>
      </c>
    </row>
    <row r="19" spans="1:18" ht="28.5">
      <c r="A19" s="645"/>
      <c r="B19" s="2402" t="s">
        <v>2111</v>
      </c>
      <c r="C19" s="1565"/>
      <c r="D19" s="2365"/>
      <c r="E19" s="2401"/>
      <c r="F19" s="1791" t="s">
        <v>2094</v>
      </c>
      <c r="G19" s="136" t="str">
        <f>G5</f>
        <v>估价对象所在区域公共配套设施齐备情况</v>
      </c>
    </row>
    <row r="20" spans="1:18" ht="28.5">
      <c r="A20" s="645"/>
      <c r="B20" s="2402" t="s">
        <v>2112</v>
      </c>
      <c r="C20" s="2400" t="str">
        <f>C9</f>
        <v>区域自然环境：；人文环境；综合评价环境状况一般</v>
      </c>
      <c r="D20" s="2371"/>
      <c r="E20" s="2401"/>
      <c r="F20" s="1791" t="s">
        <v>2113</v>
      </c>
      <c r="G20" s="136" t="str">
        <f>G6</f>
        <v>估价对象所在区域基础设施水平</v>
      </c>
    </row>
    <row r="21" spans="1:18" ht="28.5">
      <c r="A21" s="645"/>
      <c r="B21" s="1791" t="s">
        <v>2094</v>
      </c>
      <c r="C21" s="136" t="str">
        <f>C7</f>
        <v>估价对象所在区域公共配套设施齐备情况</v>
      </c>
      <c r="D21" s="2365"/>
      <c r="E21" s="2401"/>
      <c r="F21" s="2402" t="s">
        <v>2114</v>
      </c>
      <c r="G21" s="2403"/>
    </row>
    <row r="22" spans="1:18" ht="13.5" customHeight="1">
      <c r="A22" s="645"/>
      <c r="B22" s="1791" t="s">
        <v>2097</v>
      </c>
      <c r="C22" s="136" t="str">
        <f>C8</f>
        <v>估价对象所在区域基础设施水平</v>
      </c>
      <c r="D22" s="2365"/>
      <c r="E22" s="2401"/>
      <c r="F22" s="2402" t="s">
        <v>2103</v>
      </c>
      <c r="G22" s="1565"/>
    </row>
    <row r="23" spans="1:18" s="2362" customFormat="1" ht="15.75" thickBot="1">
      <c r="A23" s="645"/>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75" thickBot="1">
      <c r="A24" s="2407"/>
      <c r="B24" s="2405" t="s">
        <v>2116</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32523.979999999989</v>
      </c>
      <c r="C1" s="1738"/>
      <c r="D1" s="1738"/>
      <c r="E1" s="1738"/>
      <c r="F1" s="1738"/>
      <c r="G1" s="1736"/>
    </row>
    <row r="2" spans="1:10" ht="16.5">
      <c r="A2" s="1739" t="s">
        <v>1349</v>
      </c>
      <c r="B2" s="1739">
        <f>SUM(C14:C23)</f>
        <v>8811.7800000000007</v>
      </c>
      <c r="C2" s="1738"/>
      <c r="D2" s="1738"/>
      <c r="E2" s="1738"/>
      <c r="F2" s="1738"/>
      <c r="G2" s="1736"/>
    </row>
    <row r="3" spans="1:10" ht="16.5">
      <c r="A3" s="1739" t="s">
        <v>1358</v>
      </c>
      <c r="B3" s="1740">
        <f>项目基本情况!D3</f>
        <v>43790</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90781</v>
      </c>
      <c r="C5" s="1739">
        <f ca="1">ROUND(B5*10000/$B$1,0)</f>
        <v>27912</v>
      </c>
      <c r="D5" s="1739">
        <f ca="1">ROUND(B5*10000/$B$2,0)</f>
        <v>103022</v>
      </c>
      <c r="E5" s="1738"/>
      <c r="F5" s="1736"/>
      <c r="G5" s="1736"/>
    </row>
    <row r="6" spans="1:10" ht="16.5">
      <c r="A6" s="1739" t="s">
        <v>1352</v>
      </c>
      <c r="B6" s="1739">
        <f ca="1">SUM(G14:G23)</f>
        <v>90781</v>
      </c>
      <c r="C6" s="1739">
        <f ca="1">ROUND(B6*10000/$B$1,0)</f>
        <v>27912</v>
      </c>
      <c r="D6" s="1739">
        <f ca="1">ROUND(B6*10000/$B$2,0)</f>
        <v>103022</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30271.149999999991</v>
      </c>
      <c r="C14" s="1737">
        <f>结果表!C118</f>
        <v>8201.42</v>
      </c>
      <c r="D14" s="1737">
        <f ca="1">结果表!H118</f>
        <v>89972</v>
      </c>
      <c r="E14" s="1737">
        <f ca="1">ROUND(D14*10000/B14,0)</f>
        <v>29722</v>
      </c>
      <c r="F14" s="1737">
        <f ca="1">ROUND(D14*10000/C14,0)</f>
        <v>109703</v>
      </c>
      <c r="G14" s="1737">
        <f ca="1">结果表!D122</f>
        <v>89972</v>
      </c>
      <c r="H14" s="1737" t="str">
        <f>结果表!D124</f>
        <v>——</v>
      </c>
      <c r="I14" s="1737" t="str">
        <f>结果表!D126</f>
        <v>——</v>
      </c>
      <c r="J14" s="1736"/>
    </row>
    <row r="15" spans="1:10" ht="16.5">
      <c r="A15" s="1735" t="s">
        <v>1345</v>
      </c>
      <c r="B15" s="1742">
        <f>'结果表-车库'!B118</f>
        <v>2252.83</v>
      </c>
      <c r="C15" s="1742">
        <f>'结果表-车库'!C118</f>
        <v>610.36</v>
      </c>
      <c r="D15" s="1742">
        <f ca="1">'结果表-车库'!G19</f>
        <v>809</v>
      </c>
      <c r="E15" s="1737">
        <f t="shared" ref="E15:E23" ca="1" si="0">ROUND(D15*10000/B15,0)</f>
        <v>3591</v>
      </c>
      <c r="F15" s="1737">
        <f t="shared" ref="F15:F23" ca="1" si="1">ROUND(D15*10000/C15,0)</f>
        <v>13254</v>
      </c>
      <c r="G15" s="1743">
        <f ca="1">'结果表-车库'!G19</f>
        <v>809</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1" t="s">
        <v>2117</v>
      </c>
      <c r="B1" s="2413"/>
      <c r="C1" s="2414" t="s">
        <v>27</v>
      </c>
      <c r="D1" s="2413"/>
      <c r="E1" s="2413"/>
      <c r="F1" s="2415" t="s">
        <v>2118</v>
      </c>
      <c r="G1" s="2066" t="s">
        <v>3110</v>
      </c>
      <c r="H1" s="2416" t="str">
        <f>IF(G1="现房","——","估价对象范围")</f>
        <v>——</v>
      </c>
      <c r="I1" s="2417"/>
    </row>
    <row r="2" spans="1:12" ht="21.75" customHeight="1" thickBot="1">
      <c r="A2" s="3106" t="str">
        <f>项目基本情况!S2</f>
        <v>北京市房地产</v>
      </c>
      <c r="B2" s="3107"/>
      <c r="C2" s="3107"/>
      <c r="D2" s="3107"/>
      <c r="E2" s="3107"/>
      <c r="F2" s="3107"/>
      <c r="G2" s="3107"/>
      <c r="H2" s="3107"/>
      <c r="I2" s="3108"/>
    </row>
    <row r="3" spans="1:12" ht="12.75">
      <c r="A3" s="3110" t="s">
        <v>2119</v>
      </c>
      <c r="B3" s="3111"/>
      <c r="C3" s="3111"/>
      <c r="D3" s="3111"/>
      <c r="E3" s="3111"/>
      <c r="F3" s="3111"/>
      <c r="G3" s="3111"/>
      <c r="H3" s="3111"/>
      <c r="I3" s="3111"/>
    </row>
    <row r="4" spans="1:12" ht="14.25">
      <c r="A4" s="2420" t="s">
        <v>2120</v>
      </c>
      <c r="B4" s="2421" t="s">
        <v>2121</v>
      </c>
      <c r="C4" s="2422" t="s">
        <v>3135</v>
      </c>
      <c r="D4" s="2422" t="s">
        <v>3114</v>
      </c>
      <c r="E4" s="3103" t="s">
        <v>2122</v>
      </c>
      <c r="F4" s="3104"/>
      <c r="G4" s="3104"/>
      <c r="H4" s="3104"/>
      <c r="I4" s="3112"/>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6" t="s">
        <v>2123</v>
      </c>
      <c r="B5" s="3024">
        <v>25</v>
      </c>
      <c r="C5" s="3089"/>
      <c r="D5" s="3109"/>
      <c r="E5" s="140" t="s">
        <v>2124</v>
      </c>
      <c r="F5" s="2424"/>
      <c r="G5" s="2424"/>
      <c r="H5" s="2424"/>
      <c r="I5" s="1827"/>
    </row>
    <row r="6" spans="1:12" ht="12.75">
      <c r="A6" s="3086"/>
      <c r="B6" s="3024"/>
      <c r="C6" s="3090"/>
      <c r="D6" s="3109"/>
      <c r="E6" s="140" t="s">
        <v>2125</v>
      </c>
      <c r="F6" s="2424"/>
      <c r="G6" s="2424"/>
      <c r="H6" s="2424"/>
      <c r="I6" s="1827"/>
    </row>
    <row r="7" spans="1:12" ht="12.75">
      <c r="A7" s="3086"/>
      <c r="B7" s="3024"/>
      <c r="C7" s="3091"/>
      <c r="D7" s="3109"/>
      <c r="E7" s="140" t="s">
        <v>2126</v>
      </c>
      <c r="F7" s="2424"/>
      <c r="G7" s="2424"/>
      <c r="H7" s="2424"/>
      <c r="I7" s="1827"/>
    </row>
    <row r="8" spans="1:12" ht="12.75">
      <c r="A8" s="3086" t="s">
        <v>2127</v>
      </c>
      <c r="B8" s="3024">
        <v>15</v>
      </c>
      <c r="C8" s="3089"/>
      <c r="D8" s="3109"/>
      <c r="E8" s="140" t="s">
        <v>2128</v>
      </c>
      <c r="F8" s="2424"/>
      <c r="G8" s="2424"/>
      <c r="H8" s="2424"/>
      <c r="I8" s="1827"/>
    </row>
    <row r="9" spans="1:12" ht="12.75">
      <c r="A9" s="3086"/>
      <c r="B9" s="3024"/>
      <c r="C9" s="3091"/>
      <c r="D9" s="3109"/>
      <c r="E9" s="140" t="s">
        <v>2129</v>
      </c>
      <c r="F9" s="2424"/>
      <c r="G9" s="2424"/>
      <c r="H9" s="2424"/>
      <c r="I9" s="1827"/>
    </row>
    <row r="10" spans="1:12" ht="12.75">
      <c r="A10" s="3086" t="s">
        <v>2130</v>
      </c>
      <c r="B10" s="3024">
        <v>15</v>
      </c>
      <c r="C10" s="3089"/>
      <c r="D10" s="3109"/>
      <c r="E10" s="140" t="s">
        <v>2131</v>
      </c>
      <c r="F10" s="2424"/>
      <c r="G10" s="2424"/>
      <c r="H10" s="2424"/>
      <c r="I10" s="1827"/>
    </row>
    <row r="11" spans="1:12" ht="12.75">
      <c r="A11" s="3086"/>
      <c r="B11" s="3024"/>
      <c r="C11" s="3091"/>
      <c r="D11" s="3109"/>
      <c r="E11" s="140" t="s">
        <v>2132</v>
      </c>
      <c r="F11" s="2424"/>
      <c r="G11" s="2424"/>
      <c r="H11" s="2424"/>
      <c r="I11" s="1827"/>
    </row>
    <row r="12" spans="1:12" ht="12.75">
      <c r="A12" s="3086" t="s">
        <v>2133</v>
      </c>
      <c r="B12" s="3024">
        <v>15</v>
      </c>
      <c r="C12" s="3089"/>
      <c r="D12" s="3109"/>
      <c r="E12" s="140" t="s">
        <v>2134</v>
      </c>
      <c r="F12" s="2424"/>
      <c r="G12" s="2424"/>
      <c r="H12" s="2424"/>
      <c r="I12" s="1827"/>
    </row>
    <row r="13" spans="1:12" ht="12.75">
      <c r="A13" s="3086"/>
      <c r="B13" s="3024"/>
      <c r="C13" s="3091"/>
      <c r="D13" s="3109"/>
      <c r="E13" s="140" t="s">
        <v>2135</v>
      </c>
      <c r="F13" s="2424"/>
      <c r="G13" s="2424"/>
      <c r="H13" s="2424"/>
      <c r="I13" s="1827"/>
    </row>
    <row r="14" spans="1:12" ht="12.75">
      <c r="A14" s="3086" t="s">
        <v>2136</v>
      </c>
      <c r="B14" s="3024">
        <v>30</v>
      </c>
      <c r="C14" s="3089">
        <v>5</v>
      </c>
      <c r="D14" s="3109">
        <v>5</v>
      </c>
      <c r="E14" s="140" t="s">
        <v>2137</v>
      </c>
      <c r="F14" s="2424"/>
      <c r="G14" s="2424"/>
      <c r="H14" s="2424"/>
      <c r="I14" s="1827"/>
    </row>
    <row r="15" spans="1:12" ht="12.75">
      <c r="A15" s="3086"/>
      <c r="B15" s="3024"/>
      <c r="C15" s="3090"/>
      <c r="D15" s="3109"/>
      <c r="E15" s="140" t="s">
        <v>2138</v>
      </c>
      <c r="F15" s="2424"/>
      <c r="G15" s="2424"/>
      <c r="H15" s="2424"/>
      <c r="I15" s="1827"/>
    </row>
    <row r="16" spans="1:12" ht="12.75">
      <c r="A16" s="3086"/>
      <c r="B16" s="3024"/>
      <c r="C16" s="3091"/>
      <c r="D16" s="3109"/>
      <c r="E16" s="140" t="s">
        <v>2139</v>
      </c>
      <c r="F16" s="2424"/>
      <c r="G16" s="2424"/>
      <c r="H16" s="2424"/>
      <c r="I16" s="1827"/>
    </row>
    <row r="17" spans="1:35" ht="15">
      <c r="A17" s="2425" t="s">
        <v>2140</v>
      </c>
      <c r="B17" s="64"/>
      <c r="C17" s="141">
        <f>SUM(C5:C16)</f>
        <v>5</v>
      </c>
      <c r="D17" s="141">
        <f>SUM(D5:D16)</f>
        <v>5</v>
      </c>
      <c r="E17" s="138"/>
      <c r="F17" s="138"/>
      <c r="G17" s="138"/>
      <c r="H17" s="138"/>
      <c r="I17" s="138"/>
      <c r="K17" s="2423"/>
      <c r="L17" s="2426" t="s">
        <v>2141</v>
      </c>
      <c r="M17" s="2426" t="s">
        <v>2142</v>
      </c>
    </row>
    <row r="18" spans="1:35" ht="15.75" thickBot="1">
      <c r="A18" s="2427" t="s">
        <v>2143</v>
      </c>
      <c r="B18" s="2428"/>
      <c r="C18" s="142">
        <f>ROUND(C17/SUM(C17:D17),2)</f>
        <v>0.5</v>
      </c>
      <c r="D18" s="142">
        <f>1-C18</f>
        <v>0.5</v>
      </c>
      <c r="E18" s="138"/>
      <c r="F18" s="138"/>
      <c r="G18" s="138"/>
      <c r="H18" s="138"/>
      <c r="I18" s="138"/>
      <c r="K18" s="2423" t="s">
        <v>2144</v>
      </c>
      <c r="L18" s="2423">
        <f>IF(C1="",'数据-汇总表'!E3,SUMIF(项目类型,C1,'数据-汇总表'!E17:E26)+SUMIF(项目类型,C1,'数据-汇总表'!I17:I26))</f>
        <v>30271.149999999991</v>
      </c>
      <c r="M18" s="2423">
        <f>IF(C1="",'数据-汇总表'!E3,SUMIF(项目类型,C1,'数据-汇总表'!E17:E26))</f>
        <v>30271.149999999991</v>
      </c>
    </row>
    <row r="19" spans="1:35" ht="15">
      <c r="A19" s="2429" t="s">
        <v>2145</v>
      </c>
      <c r="B19" s="2430" t="s">
        <v>2146</v>
      </c>
      <c r="C19" s="143">
        <f ca="1">SUMIF(INDIRECT("'"&amp;C4&amp;"'"&amp;"!A:A"),结果表!B19,INDIRECT("'"&amp;C4&amp;"'"&amp;"!B:B"))</f>
        <v>77315</v>
      </c>
      <c r="D19" s="144">
        <f ca="1">SUMIF(INDIRECT("'"&amp;D4&amp;"'"&amp;"!A:A"),结果表!B19,INDIRECT("'"&amp;D4&amp;"'"&amp;"!B:B"))</f>
        <v>102628</v>
      </c>
      <c r="E19" s="2429" t="s">
        <v>2147</v>
      </c>
      <c r="F19" s="2430" t="s">
        <v>2146</v>
      </c>
      <c r="G19" s="145">
        <f ca="1">ROUND(C19*$C$18+D19*$D$18,0)</f>
        <v>89972</v>
      </c>
      <c r="H19" s="2431" t="s">
        <v>2148</v>
      </c>
      <c r="I19" s="138"/>
      <c r="K19" s="2423" t="s">
        <v>2149</v>
      </c>
      <c r="L19" s="2423">
        <f>IF(C1="",'数据-汇总表'!D3,SUMIF(项目类型,C1,'数据-汇总表'!D17:D26)+SUMIF(项目类型,C1,'数据-汇总表'!H17:H27))</f>
        <v>8201.42</v>
      </c>
      <c r="M19" s="2423">
        <f>IF(C1="",'数据-汇总表'!D3,SUMIF(项目类型,C1,'数据-汇总表'!D17:D26))</f>
        <v>8201.42</v>
      </c>
    </row>
    <row r="20" spans="1:35" ht="15">
      <c r="A20" s="2432"/>
      <c r="B20" s="1243" t="s">
        <v>2150</v>
      </c>
      <c r="C20" s="146">
        <f ca="1">SUMIF(INDIRECT("'"&amp;C4&amp;"'"&amp;"!A:A"),结果表!B20,INDIRECT("'"&amp;C4&amp;"'"&amp;"!B:B"))</f>
        <v>25541</v>
      </c>
      <c r="D20" s="147">
        <f ca="1">SUMIF(INDIRECT("'"&amp;D4&amp;"'"&amp;"!A:A"),结果表!B20,INDIRECT("'"&amp;D4&amp;"'"&amp;"!B:B"))</f>
        <v>33903</v>
      </c>
      <c r="E20" s="2432"/>
      <c r="F20" s="1243" t="s">
        <v>2150</v>
      </c>
      <c r="G20" s="148">
        <f ca="1">ROUND(C20*$C$18+D20*$D$18,0)</f>
        <v>29722</v>
      </c>
      <c r="H20" s="977" t="s">
        <v>2151</v>
      </c>
      <c r="I20" s="138"/>
    </row>
    <row r="21" spans="1:35" ht="15" customHeight="1" thickBot="1">
      <c r="A21" s="997"/>
      <c r="B21" s="2433" t="s">
        <v>2152</v>
      </c>
      <c r="C21" s="786">
        <f ca="1">ROUND(C19*10000/L19,0)</f>
        <v>94270</v>
      </c>
      <c r="D21" s="787">
        <f ca="1">ROUND(D19*10000/L19,0)</f>
        <v>125134</v>
      </c>
      <c r="E21" s="997"/>
      <c r="F21" s="2433" t="s">
        <v>2152</v>
      </c>
      <c r="G21" s="149">
        <f ca="1">ROUND(G19*10000/L19,0)</f>
        <v>109703</v>
      </c>
      <c r="H21" s="2434" t="s">
        <v>2151</v>
      </c>
      <c r="I21" s="138"/>
    </row>
    <row r="22" spans="1:35" ht="15" thickBot="1">
      <c r="A22" s="2276" t="s">
        <v>2153</v>
      </c>
      <c r="B22" s="2435"/>
      <c r="C22" s="2436"/>
      <c r="D22" s="788">
        <f ca="1">IF(C19&lt;D19,D19/C19-1,C19/D19-1)</f>
        <v>0.32740089245295212</v>
      </c>
      <c r="E22" s="138"/>
      <c r="F22" s="138"/>
      <c r="G22" s="138"/>
      <c r="H22" s="138"/>
      <c r="I22" s="138"/>
    </row>
    <row r="23" spans="1:35" ht="13.5" thickBot="1">
      <c r="A23" s="2413"/>
      <c r="B23" s="2413"/>
      <c r="C23" s="2413"/>
      <c r="D23" s="2413"/>
      <c r="E23" s="138"/>
      <c r="F23" s="138"/>
      <c r="G23" s="138"/>
      <c r="H23" s="138"/>
      <c r="I23" s="138"/>
    </row>
    <row r="24" spans="1:35" ht="14.25">
      <c r="A24" s="3080" t="s">
        <v>2154</v>
      </c>
      <c r="B24" s="2430" t="s">
        <v>2146</v>
      </c>
      <c r="C24" s="145">
        <f>IF(B30=0,0,D30)</f>
        <v>0</v>
      </c>
      <c r="D24" s="2437"/>
      <c r="E24" s="138"/>
      <c r="F24" s="138"/>
      <c r="G24" s="138"/>
      <c r="H24" s="138"/>
      <c r="I24" s="138"/>
    </row>
    <row r="25" spans="1:35" ht="14.25">
      <c r="A25" s="3081"/>
      <c r="B25" s="1243"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12" t="s">
        <v>3032</v>
      </c>
      <c r="F30" s="138"/>
      <c r="G30" s="138"/>
      <c r="H30" s="138"/>
      <c r="I30" s="138"/>
    </row>
    <row r="31" spans="1:35" s="2441" customFormat="1" ht="15" thickBot="1">
      <c r="A31" s="2440"/>
      <c r="B31" s="2440"/>
      <c r="C31" s="2440"/>
      <c r="D31" s="2440"/>
      <c r="E31" s="138"/>
      <c r="F31" s="138"/>
      <c r="G31" s="138"/>
      <c r="H31" s="138"/>
      <c r="I31" s="138"/>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2160</v>
      </c>
      <c r="B32" s="2443"/>
      <c r="C32" s="153">
        <f ca="1">IF(D32="总价",G19-C24,G20-C25)</f>
        <v>89972</v>
      </c>
      <c r="D32" s="2444" t="s">
        <v>2161</v>
      </c>
      <c r="E32" s="138"/>
      <c r="F32" s="138"/>
      <c r="G32" s="138"/>
      <c r="H32" s="138"/>
      <c r="I32" s="138"/>
    </row>
    <row r="33" spans="1:15" ht="15">
      <c r="A33" s="954" t="s">
        <v>2162</v>
      </c>
      <c r="B33" s="2445"/>
      <c r="C33" s="2446"/>
      <c r="D33" s="2447"/>
      <c r="E33" s="2448" t="s">
        <v>2163</v>
      </c>
      <c r="F33" s="2449" t="str">
        <f>IF(D32="楼面单价","取值（单价）","取值（总价）")</f>
        <v>取值（总价）</v>
      </c>
      <c r="G33" s="138"/>
      <c r="H33" s="138"/>
      <c r="I33" s="138"/>
    </row>
    <row r="34" spans="1:15" ht="15">
      <c r="A34" s="2450"/>
      <c r="B34" s="2451" t="s">
        <v>2164</v>
      </c>
      <c r="C34" s="157" t="e">
        <f ca="1">IF(C33="自定义",F34,C32-C35)</f>
        <v>#REF!</v>
      </c>
      <c r="D34" s="1052" t="e">
        <f ca="1">IF(C33="自定义",ROUND(C34/C32,3),IF(C33="收益比率",SUMIF(INDIRECT("'"&amp;D33&amp;"'"&amp;"!b:b"),"土地收益比率",INDIRECT("'"&amp;D33&amp;"'"&amp;"!c:c")),SUMIF(INDIRECT("'"&amp;D33&amp;"'"&amp;"!b:b"),"土地成本比率",INDIRECT("'"&amp;D33&amp;"'"&amp;"!c:c"))))</f>
        <v>#REF!</v>
      </c>
      <c r="E34" s="2452" t="s">
        <v>2165</v>
      </c>
      <c r="F34" s="1732"/>
      <c r="G34" s="138"/>
      <c r="H34" s="138"/>
      <c r="I34" s="138"/>
    </row>
    <row r="35" spans="1:15" ht="15.75" thickBot="1">
      <c r="A35" s="2453"/>
      <c r="B35" s="2454" t="s">
        <v>2166</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2167</v>
      </c>
      <c r="F35" s="163"/>
      <c r="G35" s="138"/>
      <c r="H35" s="138"/>
      <c r="I35" s="138"/>
    </row>
    <row r="36" spans="1:15" ht="15.75" thickBot="1">
      <c r="A36" s="3098" t="s">
        <v>2168</v>
      </c>
      <c r="B36" s="2456" t="s">
        <v>2169</v>
      </c>
      <c r="C36" s="154"/>
      <c r="D36" s="2457"/>
      <c r="E36" s="2458"/>
      <c r="F36" s="2459"/>
      <c r="G36" s="138"/>
      <c r="H36" s="138"/>
      <c r="I36" s="138"/>
    </row>
    <row r="37" spans="1:15" ht="15.75" thickBot="1">
      <c r="A37" s="3099"/>
      <c r="B37" s="2262" t="s">
        <v>2170</v>
      </c>
      <c r="C37" s="156"/>
      <c r="D37" s="1388"/>
      <c r="E37" s="1388"/>
      <c r="F37" s="2459"/>
      <c r="G37" s="138"/>
      <c r="H37" s="138"/>
      <c r="I37" s="138"/>
    </row>
    <row r="38" spans="1:15" ht="15.75" thickBot="1">
      <c r="A38" s="3100"/>
      <c r="B38" s="2460" t="s">
        <v>2171</v>
      </c>
      <c r="C38" s="724"/>
      <c r="D38" s="2461" t="s">
        <v>2172</v>
      </c>
      <c r="E38" s="1388"/>
      <c r="F38" s="2459"/>
      <c r="G38" s="138"/>
      <c r="H38" s="138"/>
      <c r="I38" s="138"/>
    </row>
    <row r="39" spans="1:15" ht="15">
      <c r="A39" s="2432" t="s">
        <v>2173</v>
      </c>
      <c r="B39" s="2462" t="s">
        <v>2174</v>
      </c>
      <c r="C39" s="2463" t="s">
        <v>2175</v>
      </c>
      <c r="D39" s="2463" t="s">
        <v>2176</v>
      </c>
      <c r="E39" s="2464" t="s">
        <v>2177</v>
      </c>
      <c r="F39" s="2459"/>
      <c r="G39" s="138"/>
      <c r="H39" s="138"/>
      <c r="I39" s="138"/>
    </row>
    <row r="40" spans="1:15" ht="14.25">
      <c r="A40" s="2465" t="s">
        <v>2178</v>
      </c>
      <c r="B40" s="158"/>
      <c r="C40" s="159"/>
      <c r="D40" s="159"/>
      <c r="E40" s="160"/>
      <c r="F40" s="2459"/>
      <c r="G40" s="138"/>
      <c r="H40" s="138"/>
      <c r="I40" s="138"/>
    </row>
    <row r="41" spans="1:15" ht="14.25">
      <c r="A41" s="2465" t="s">
        <v>2179</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077" t="s">
        <v>2182</v>
      </c>
      <c r="B45" s="3078"/>
      <c r="C45" s="3079"/>
      <c r="D45" s="164">
        <f ca="1">ROUND(H101*F45,0)</f>
        <v>53983</v>
      </c>
      <c r="E45" s="165" t="s">
        <v>2183</v>
      </c>
      <c r="F45" s="166">
        <v>0.6</v>
      </c>
      <c r="G45" s="167" t="s">
        <v>2184</v>
      </c>
      <c r="H45" s="138"/>
      <c r="I45" s="138"/>
      <c r="J45" s="3137" t="s">
        <v>2185</v>
      </c>
      <c r="K45" s="3137"/>
      <c r="L45" s="3137"/>
      <c r="M45" s="3137"/>
      <c r="N45" s="3137"/>
      <c r="O45" s="3137"/>
    </row>
    <row r="46" spans="1:15" ht="14.25" customHeight="1">
      <c r="A46" s="3074" t="s">
        <v>2186</v>
      </c>
      <c r="B46" s="3075"/>
      <c r="C46" s="3075"/>
      <c r="D46" s="3075"/>
      <c r="E46" s="3075"/>
      <c r="F46" s="3075"/>
      <c r="G46" s="3076"/>
      <c r="H46" s="2475"/>
      <c r="I46" s="168"/>
      <c r="J46" s="1805">
        <v>1</v>
      </c>
      <c r="K46" s="3137" t="s">
        <v>2187</v>
      </c>
      <c r="L46" s="3137"/>
      <c r="M46" s="3157"/>
      <c r="N46" s="3157"/>
      <c r="O46" s="3157"/>
    </row>
    <row r="47" spans="1:15" ht="12" customHeight="1">
      <c r="A47" s="169" t="s">
        <v>2188</v>
      </c>
      <c r="B47" s="170"/>
      <c r="C47" s="171"/>
      <c r="D47" s="172" t="s">
        <v>2189</v>
      </c>
      <c r="E47" s="24" t="s">
        <v>2190</v>
      </c>
      <c r="F47" s="173" t="s">
        <v>2191</v>
      </c>
      <c r="G47" s="174" t="s">
        <v>2192</v>
      </c>
      <c r="H47" s="2475"/>
      <c r="I47" s="168"/>
      <c r="J47" s="1805">
        <v>2</v>
      </c>
      <c r="K47" s="3137" t="s">
        <v>2193</v>
      </c>
      <c r="L47" s="3137"/>
      <c r="M47" s="3158">
        <f>'数据-取费表'!B2</f>
        <v>43790</v>
      </c>
      <c r="N47" s="3158"/>
      <c r="O47" s="3158"/>
    </row>
    <row r="48" spans="1:15" ht="25.5">
      <c r="A48" s="3105" t="s">
        <v>2194</v>
      </c>
      <c r="B48" s="3088"/>
      <c r="C48" s="3088"/>
      <c r="D48" s="140">
        <f ca="1">IF(H48="情况1",0,IF(H48="情况2",D52,IF(H48="情况3",D53,IF(H48="情况4",D54))))</f>
        <v>2879</v>
      </c>
      <c r="E48" s="1794" t="str">
        <f>IF(H48="情况4","(销售额-原购置价)×税（费）率","销售额×税（费）率")</f>
        <v>销售额×税（费）率</v>
      </c>
      <c r="F48" s="175">
        <f>IF(H48="情况1","免征",'数据-取费表'!B41)</f>
        <v>5.6000000000000001E-2</v>
      </c>
      <c r="G48" s="2476" t="s">
        <v>2195</v>
      </c>
      <c r="H48" s="2477" t="s">
        <v>3139</v>
      </c>
      <c r="I48" s="2475"/>
      <c r="J48" s="1805">
        <v>3</v>
      </c>
      <c r="K48" s="3137" t="s">
        <v>2196</v>
      </c>
      <c r="L48" s="3137"/>
      <c r="M48" s="3159">
        <f ca="1">H101</f>
        <v>89972</v>
      </c>
      <c r="N48" s="3159"/>
      <c r="O48" s="3159"/>
    </row>
    <row r="49" spans="1:35" ht="25.5" customHeight="1">
      <c r="A49" s="176" t="s">
        <v>2197</v>
      </c>
      <c r="B49" s="3073" t="s">
        <v>2198</v>
      </c>
      <c r="C49" s="3073"/>
      <c r="D49" s="177">
        <v>0</v>
      </c>
      <c r="E49" s="23" t="s">
        <v>2199</v>
      </c>
      <c r="F49" s="28" t="s">
        <v>34</v>
      </c>
      <c r="G49" s="3143"/>
      <c r="H49" s="138"/>
      <c r="I49" s="2478"/>
      <c r="J49" s="1805">
        <v>4</v>
      </c>
      <c r="K49" s="3137" t="str">
        <f>IF(项目基本情况!E8="房地产抵押价值","房地产抵押价值","抵押担保权已注销时的房地产抵押价值")</f>
        <v>房地产抵押价值</v>
      </c>
      <c r="L49" s="3137"/>
      <c r="M49" s="3159">
        <f ca="1">IF(项目基本情况!E8="房地产抵押价值",H107,H109)</f>
        <v>89972</v>
      </c>
      <c r="N49" s="3159"/>
      <c r="O49" s="3159"/>
    </row>
    <row r="50" spans="1:35" ht="25.5" customHeight="1">
      <c r="A50" s="178"/>
      <c r="B50" s="3073" t="s">
        <v>2200</v>
      </c>
      <c r="C50" s="3073"/>
      <c r="D50" s="179"/>
      <c r="E50" s="31"/>
      <c r="F50" s="180"/>
      <c r="G50" s="3144"/>
      <c r="H50" s="138"/>
      <c r="I50" s="2478"/>
      <c r="J50" s="3137" t="s">
        <v>2201</v>
      </c>
      <c r="K50" s="3137"/>
      <c r="L50" s="3137"/>
      <c r="M50" s="3137"/>
      <c r="N50" s="3137"/>
      <c r="O50" s="3137"/>
    </row>
    <row r="51" spans="1:35" ht="12" customHeight="1">
      <c r="A51" s="181"/>
      <c r="B51" s="3073" t="s">
        <v>2202</v>
      </c>
      <c r="C51" s="3073"/>
      <c r="D51" s="182"/>
      <c r="E51" s="30"/>
      <c r="F51" s="180"/>
      <c r="G51" s="3145"/>
      <c r="H51" s="138"/>
      <c r="I51" s="2478"/>
      <c r="J51" s="2479" t="s">
        <v>2203</v>
      </c>
      <c r="K51" s="3137" t="s">
        <v>2204</v>
      </c>
      <c r="L51" s="3137"/>
      <c r="M51" s="2479" t="s">
        <v>2205</v>
      </c>
      <c r="N51" s="2479" t="s">
        <v>2206</v>
      </c>
      <c r="O51" s="2479" t="s">
        <v>2207</v>
      </c>
    </row>
    <row r="52" spans="1:35" ht="24" customHeight="1">
      <c r="A52" s="183" t="s">
        <v>2208</v>
      </c>
      <c r="B52" s="3073" t="s">
        <v>2209</v>
      </c>
      <c r="C52" s="3073"/>
      <c r="D52" s="182">
        <f ca="1">ROUND(D45*'数据-取费表'!B41/(1+'数据-取费表'!C42),0)</f>
        <v>2879</v>
      </c>
      <c r="E52" s="11" t="s">
        <v>2210</v>
      </c>
      <c r="F52" s="184">
        <f>'数据-取费表'!B41</f>
        <v>5.6000000000000001E-2</v>
      </c>
      <c r="G52" s="2480"/>
      <c r="H52" s="138"/>
      <c r="I52" s="2478"/>
      <c r="J52" s="1805">
        <v>1</v>
      </c>
      <c r="K52" s="3138" t="s">
        <v>2211</v>
      </c>
      <c r="L52" s="3138"/>
      <c r="M52" s="1747">
        <f ca="1">D48</f>
        <v>2879</v>
      </c>
      <c r="N52" s="1805" t="str">
        <f>E48</f>
        <v>销售额×税（费）率</v>
      </c>
      <c r="O52" s="1748">
        <f>F48</f>
        <v>5.6000000000000001E-2</v>
      </c>
    </row>
    <row r="53" spans="1:35" ht="12" customHeight="1">
      <c r="A53" s="183" t="s">
        <v>2212</v>
      </c>
      <c r="B53" s="3096" t="s">
        <v>2213</v>
      </c>
      <c r="C53" s="3097"/>
      <c r="D53" s="182">
        <f ca="1">ROUND(D45*'数据-取费表'!B41/(1+'数据-取费表'!C42),0)</f>
        <v>2879</v>
      </c>
      <c r="E53" s="11" t="s">
        <v>2210</v>
      </c>
      <c r="F53" s="184">
        <f>'数据-取费表'!B41</f>
        <v>5.6000000000000001E-2</v>
      </c>
      <c r="G53" s="2480"/>
      <c r="H53" s="138"/>
      <c r="I53" s="2478"/>
      <c r="J53" s="1805">
        <v>2</v>
      </c>
      <c r="K53" s="3138" t="s">
        <v>2214</v>
      </c>
      <c r="L53" s="3138"/>
      <c r="M53" s="1747">
        <f t="shared" ref="M53:O54" ca="1" si="0">D55</f>
        <v>27</v>
      </c>
      <c r="N53" s="1805" t="str">
        <f t="shared" si="0"/>
        <v>销售额×税（费）率</v>
      </c>
      <c r="O53" s="1748">
        <f t="shared" si="0"/>
        <v>5.0000000000000001E-4</v>
      </c>
    </row>
    <row r="54" spans="1:35" ht="12" customHeight="1">
      <c r="A54" s="183" t="s">
        <v>2215</v>
      </c>
      <c r="B54" s="3096" t="s">
        <v>2216</v>
      </c>
      <c r="C54" s="3097"/>
      <c r="D54" s="182">
        <f ca="1">C68</f>
        <v>2879</v>
      </c>
      <c r="E54" s="30" t="s">
        <v>2217</v>
      </c>
      <c r="F54" s="184">
        <f>'数据-取费表'!B41</f>
        <v>5.6000000000000001E-2</v>
      </c>
      <c r="G54" s="2480"/>
      <c r="H54" s="2481"/>
      <c r="I54" s="2478"/>
      <c r="J54" s="1805">
        <v>3</v>
      </c>
      <c r="K54" s="3138" t="s">
        <v>2218</v>
      </c>
      <c r="L54" s="3138"/>
      <c r="M54" s="1747">
        <f t="shared" ca="1" si="0"/>
        <v>23554</v>
      </c>
      <c r="N54" s="1805" t="str">
        <f t="shared" si="0"/>
        <v>增值额×税（费）率</v>
      </c>
      <c r="O54" s="1749" t="str">
        <f t="shared" si="0"/>
        <v>——</v>
      </c>
    </row>
    <row r="55" spans="1:35" ht="24" customHeight="1">
      <c r="A55" s="3087" t="s">
        <v>2219</v>
      </c>
      <c r="B55" s="3088"/>
      <c r="C55" s="3088"/>
      <c r="D55" s="185">
        <f ca="1">IF(H55="个人住宅",0,ROUND(D45*I55,0))</f>
        <v>27</v>
      </c>
      <c r="E55" s="11" t="s">
        <v>2220</v>
      </c>
      <c r="F55" s="184">
        <f>IF(H55="正常",I55,"免征")</f>
        <v>5.0000000000000001E-4</v>
      </c>
      <c r="G55" s="2480"/>
      <c r="H55" s="2477" t="s">
        <v>2221</v>
      </c>
      <c r="I55" s="186">
        <f>'数据-取费表'!B49</f>
        <v>5.0000000000000001E-4</v>
      </c>
      <c r="J55" s="1805" t="str">
        <f>IF(H59="非个人房产","",4)</f>
        <v/>
      </c>
      <c r="K55" s="3138" t="str">
        <f>IF(H59="非个人房产","——","个人所得税")</f>
        <v>——</v>
      </c>
      <c r="L55" s="3138"/>
      <c r="M55" s="1750" t="str">
        <f>D59</f>
        <v>——</v>
      </c>
      <c r="N55" s="1803" t="str">
        <f>E59</f>
        <v>——</v>
      </c>
      <c r="O55" s="1751" t="str">
        <f>F59</f>
        <v>——</v>
      </c>
    </row>
    <row r="56" spans="1:35" ht="24.75">
      <c r="A56" s="3087" t="s">
        <v>2222</v>
      </c>
      <c r="B56" s="3088"/>
      <c r="C56" s="3088"/>
      <c r="D56" s="185">
        <f ca="1">IF(H56="个人住宅",D57,D58)</f>
        <v>23554</v>
      </c>
      <c r="E56" s="11" t="s">
        <v>2223</v>
      </c>
      <c r="F56" s="184" t="str">
        <f>IF(H56="正常",F58,"免征")</f>
        <v>——</v>
      </c>
      <c r="G56" s="2482" t="s">
        <v>2224</v>
      </c>
      <c r="H56" s="2483" t="s">
        <v>2221</v>
      </c>
      <c r="I56" s="2484"/>
      <c r="J56" s="1805" t="str">
        <f>IF(项目基本情况!K6="上海银行",IF(J55="",4,J55+1),"")</f>
        <v/>
      </c>
      <c r="K56" s="3161" t="str">
        <f>IF(项目基本情况!K6="上海银行","其他处置费用","")</f>
        <v/>
      </c>
      <c r="L56" s="3162"/>
      <c r="M56" s="1747" t="str">
        <f>IF(项目基本情况!K6="上海银行",M69,"")</f>
        <v/>
      </c>
      <c r="N56" s="3164" t="str">
        <f>IF(项目基本情况!K6="上海银行","包含处置中涉及的律师、诉讼、拍卖、评估等费用","")</f>
        <v/>
      </c>
      <c r="O56" s="3165"/>
    </row>
    <row r="57" spans="1:35" ht="12.75">
      <c r="A57" s="183" t="s">
        <v>2197</v>
      </c>
      <c r="B57" s="3103" t="s">
        <v>2225</v>
      </c>
      <c r="C57" s="3112"/>
      <c r="D57" s="187">
        <v>0</v>
      </c>
      <c r="E57" s="23" t="s">
        <v>2199</v>
      </c>
      <c r="F57" s="155"/>
      <c r="G57" s="2480"/>
      <c r="H57" s="2484"/>
      <c r="I57" s="2484"/>
      <c r="J57" s="3138">
        <f>IF(AND(J55="",J56=""),4,IF(项目基本情况!K6="上海银行",结果表!J56+1,结果表!J55+1))</f>
        <v>4</v>
      </c>
      <c r="K57" s="3138" t="s">
        <v>2226</v>
      </c>
      <c r="L57" s="2485" t="s">
        <v>2227</v>
      </c>
      <c r="M57" s="1752"/>
      <c r="N57" s="1753">
        <f ca="1">SUMIF(M52:M56,"&lt;9e307")</f>
        <v>26460</v>
      </c>
      <c r="O57" s="2486"/>
      <c r="P57" s="1746">
        <f ca="1">N57/M49</f>
        <v>0.29409149513181881</v>
      </c>
    </row>
    <row r="58" spans="1:35" ht="24.75">
      <c r="A58" s="183" t="s">
        <v>2208</v>
      </c>
      <c r="B58" s="3103" t="s">
        <v>2228</v>
      </c>
      <c r="C58" s="3104"/>
      <c r="D58" s="185">
        <f ca="1">IF(H58="转让取得",C81,C97)</f>
        <v>23554</v>
      </c>
      <c r="E58" s="11" t="s">
        <v>2223</v>
      </c>
      <c r="F58" s="24" t="s">
        <v>34</v>
      </c>
      <c r="G58" s="2480"/>
      <c r="H58" s="2483" t="s">
        <v>2229</v>
      </c>
      <c r="I58" s="2484"/>
      <c r="J58" s="3138"/>
      <c r="K58" s="3138"/>
      <c r="L58" s="2485" t="s">
        <v>2230</v>
      </c>
      <c r="M58" s="1754"/>
      <c r="N58" s="2487" t="str">
        <f ca="1">NUMBERSTRING(INT(N57*10000),2)&amp;"元整"</f>
        <v>贰亿陆仟肆佰陆拾万元整</v>
      </c>
      <c r="O58" s="2488"/>
    </row>
    <row r="59" spans="1:35" ht="24.75" thickBot="1">
      <c r="A59" s="3141" t="s">
        <v>2231</v>
      </c>
      <c r="B59" s="3142"/>
      <c r="C59" s="3142"/>
      <c r="D59" s="188" t="str">
        <f>IF(H59="非个人房产","——",IF(H59="个人住宅",0,ROUND(D45*I59,0)))</f>
        <v>——</v>
      </c>
      <c r="E59" s="189" t="str">
        <f>IF(H59="非个人房产","——","销售额×税（费）率")</f>
        <v>——</v>
      </c>
      <c r="F59" s="190" t="str">
        <f>IF(H59="非个人房产","——",IF(H59="个人住宅","免征",I59))</f>
        <v>——</v>
      </c>
      <c r="G59" s="2489" t="s">
        <v>2224</v>
      </c>
      <c r="H59" s="2483" t="s">
        <v>2232</v>
      </c>
      <c r="I59" s="191">
        <v>0.01</v>
      </c>
      <c r="J59" s="3139">
        <f>J57+1</f>
        <v>5</v>
      </c>
      <c r="K59" s="3138" t="s">
        <v>2233</v>
      </c>
      <c r="L59" s="1805" t="s">
        <v>2227</v>
      </c>
      <c r="M59" s="1755"/>
      <c r="N59" s="1756">
        <f ca="1">M49-N57</f>
        <v>63512</v>
      </c>
      <c r="O59" s="2490"/>
    </row>
    <row r="60" spans="1:35" ht="12" customHeight="1">
      <c r="A60" s="2491"/>
      <c r="B60" s="2413"/>
      <c r="C60" s="2413"/>
      <c r="D60" s="2413"/>
      <c r="E60" s="2162"/>
      <c r="F60" s="2484"/>
      <c r="G60" s="2484"/>
      <c r="H60" s="2492"/>
      <c r="I60" s="138"/>
      <c r="J60" s="3140"/>
      <c r="K60" s="3138"/>
      <c r="L60" s="2485" t="s">
        <v>2230</v>
      </c>
      <c r="M60" s="1754"/>
      <c r="N60" s="2487" t="str">
        <f ca="1">NUMBERSTRING(INT(N59*10000),2)&amp;"元整"</f>
        <v>陆亿叁仟伍佰壹拾贰万元整</v>
      </c>
      <c r="O60" s="2488"/>
    </row>
    <row r="61" spans="1:35" ht="13.5" thickBot="1">
      <c r="A61" s="3085" t="s">
        <v>2234</v>
      </c>
      <c r="B61" s="3085"/>
      <c r="C61" s="3085"/>
      <c r="D61" s="3085"/>
      <c r="E61" s="3085"/>
      <c r="F61" s="2484"/>
      <c r="G61" s="2484"/>
      <c r="H61" s="2492"/>
      <c r="I61" s="138"/>
      <c r="J61" s="1805">
        <f>J59+1</f>
        <v>6</v>
      </c>
      <c r="K61" s="3138" t="s">
        <v>2235</v>
      </c>
      <c r="L61" s="3138"/>
      <c r="M61" s="1757"/>
      <c r="N61" s="1758">
        <f ca="1">ROUND(N59*10000/'数据-汇总表'!E3,0)</f>
        <v>19528</v>
      </c>
      <c r="O61" s="2493"/>
    </row>
    <row r="62" spans="1:35" ht="12.75">
      <c r="A62" s="3101" t="s">
        <v>2236</v>
      </c>
      <c r="B62" s="3102"/>
      <c r="C62" s="1797"/>
      <c r="D62" s="1797" t="s">
        <v>2237</v>
      </c>
      <c r="E62" s="192" t="s">
        <v>2238</v>
      </c>
      <c r="F62" s="2484"/>
      <c r="G62" s="2484"/>
      <c r="H62" s="2492"/>
      <c r="I62" s="138"/>
    </row>
    <row r="63" spans="1:35" ht="12.75">
      <c r="A63" s="203" t="s">
        <v>775</v>
      </c>
      <c r="B63" s="193" t="s">
        <v>2239</v>
      </c>
      <c r="C63" s="194">
        <f ca="1">ROUND((C64+C65)/(1+'数据-取费表'!C42),0)</f>
        <v>51412</v>
      </c>
      <c r="D63" s="195"/>
      <c r="E63" s="196"/>
      <c r="F63" s="2484"/>
      <c r="G63" s="2484"/>
      <c r="H63" s="2492"/>
      <c r="I63" s="138"/>
      <c r="J63" s="3163" t="s">
        <v>2240</v>
      </c>
      <c r="K63" s="2494" t="s">
        <v>2241</v>
      </c>
      <c r="L63" s="1745">
        <f ca="1">IF(M49&gt;10000,M49*0.5%,IF(AND(M49&gt;1000,M49&lt;=10000),M49*1%,IF(AND(M49&gt;100,M49&lt;=1000),M49*3%,IF(AND(M49&gt;10,M49&lt;=100),M49*5%,M49*8%))))</f>
        <v>449.86</v>
      </c>
      <c r="M63" s="24">
        <f ca="1">ROUND(L63,1)</f>
        <v>449.9</v>
      </c>
      <c r="Z63" s="2418"/>
      <c r="AI63" s="2419"/>
    </row>
    <row r="64" spans="1:35" ht="14.25" customHeight="1">
      <c r="A64" s="197" t="s">
        <v>770</v>
      </c>
      <c r="B64" s="198" t="s">
        <v>2242</v>
      </c>
      <c r="C64" s="199">
        <f ca="1">D45</f>
        <v>53983</v>
      </c>
      <c r="D64" s="200" t="s">
        <v>32</v>
      </c>
      <c r="E64" s="201"/>
      <c r="F64" s="2484"/>
      <c r="G64" s="2484"/>
      <c r="H64" s="2492"/>
      <c r="I64" s="138"/>
      <c r="J64" s="3163"/>
      <c r="K64" s="2494" t="s">
        <v>2243</v>
      </c>
      <c r="L64" s="1745">
        <f ca="1">IF(M49&gt;2000,M49*0.5%,IF(AND(M49&gt;1000,M49&lt;=2000),M49*0.6%,IF(AND(M49&gt;500,M49&lt;=1000),M49*0.7%,IF(AND(M49&gt;200,M49&lt;=500),M49*0.8%,IF(AND(M49&gt;100,M49&lt;=200),M49*0.9%,IF(AND(M49&gt;50,M49&lt;=100),M49*1%,IF(AND(M49&gt;20,M49&lt;=50),M49*1.5%,IF(AND(M49&gt;10,M49&lt;=20),M49*2%,IF(AND(M49&gt;1,M49&lt;=10),M49*2.5%)))))))))</f>
        <v>449.86</v>
      </c>
      <c r="M64" s="24">
        <f t="shared" ref="M64:M65" ca="1" si="1">ROUND(L64,1)</f>
        <v>449.9</v>
      </c>
      <c r="N64" s="138" t="s">
        <v>2244</v>
      </c>
      <c r="Z64" s="2418"/>
      <c r="AI64" s="2419"/>
    </row>
    <row r="65" spans="1:35" ht="14.25" customHeight="1">
      <c r="A65" s="197" t="s">
        <v>771</v>
      </c>
      <c r="B65" s="198" t="s">
        <v>2245</v>
      </c>
      <c r="C65" s="202"/>
      <c r="D65" s="200"/>
      <c r="E65" s="201"/>
      <c r="F65" s="2484"/>
      <c r="G65" s="2484"/>
      <c r="H65" s="2492"/>
      <c r="I65" s="138"/>
      <c r="J65" s="3163"/>
      <c r="K65" s="2494" t="s">
        <v>2246</v>
      </c>
      <c r="L65" s="1745">
        <f ca="1">IF(M49&gt;1000,M49*0.1%,IF(AND(M49&gt;500,M49&lt;=1000),M49*0.5%,IF(AND(M49&gt;50,M49&lt;=500),M49*1%,IF(AND(M49&gt;1,M49&lt;=50),M49*1.5%))))</f>
        <v>89.972000000000008</v>
      </c>
      <c r="M65" s="24">
        <f t="shared" ca="1" si="1"/>
        <v>90</v>
      </c>
      <c r="N65" s="138" t="s">
        <v>2244</v>
      </c>
      <c r="Z65" s="2418"/>
      <c r="AI65" s="2419"/>
    </row>
    <row r="66" spans="1:35" ht="14.25" customHeight="1">
      <c r="A66" s="203" t="s">
        <v>772</v>
      </c>
      <c r="B66" s="204" t="s">
        <v>2247</v>
      </c>
      <c r="C66" s="205"/>
      <c r="D66" s="206" t="s">
        <v>32</v>
      </c>
      <c r="E66" s="1769" t="s">
        <v>1367</v>
      </c>
      <c r="F66" s="2484"/>
      <c r="G66" s="2484"/>
      <c r="H66" s="2492"/>
      <c r="I66" s="138"/>
      <c r="J66" s="3163"/>
      <c r="K66" s="2494" t="s">
        <v>2248</v>
      </c>
      <c r="L66" s="1745">
        <f ca="1">M49*0.5%</f>
        <v>449.86</v>
      </c>
      <c r="M66" s="24">
        <f ca="1">IF(L66&gt;0.5,0.5,ROUND(L66,0))</f>
        <v>0.5</v>
      </c>
      <c r="N66" s="138" t="s">
        <v>2249</v>
      </c>
      <c r="Z66" s="2418"/>
      <c r="AI66" s="2419"/>
    </row>
    <row r="67" spans="1:35" ht="14.25" customHeight="1">
      <c r="A67" s="203" t="s">
        <v>773</v>
      </c>
      <c r="B67" s="204" t="s">
        <v>2250</v>
      </c>
      <c r="C67" s="207">
        <f ca="1">C63-C66</f>
        <v>51412</v>
      </c>
      <c r="D67" s="200" t="s">
        <v>32</v>
      </c>
      <c r="E67" s="201"/>
      <c r="F67" s="2484"/>
      <c r="G67" s="2484"/>
      <c r="H67" s="2492"/>
      <c r="I67" s="138"/>
      <c r="J67" s="3163"/>
      <c r="K67" s="2494" t="s">
        <v>2251</v>
      </c>
      <c r="L67" s="1745">
        <f ca="1">IF(M49&gt;=10000,(8.25+(M49-10000)*0.01%),IF(AND(M49&gt;=8000,M49&lt;10000),(7.85+(M49-8000)*0.02%),IF(AND(M49&gt;=5000,M49&lt;8000),(6.65+(M49-5000)*0.04%),IF(AND(M49&gt;=2000,M49&lt;5000),(4.25+(PM49-2000)*0.08%),IF(AND(M49&gt;=1000,M49&lt;2000),(2.75+(M49-1000)*0.15%),IF(AND(M49&gt;=100,M49&lt;1000),(0.5+(M49-100)*0.25%),IF(AND(M49&gt;0,M49&lt;100),M49*0.5%)))))))</f>
        <v>16.247199999999999</v>
      </c>
      <c r="M67" s="24">
        <f ca="1">ROUND(L67*0.9,1)</f>
        <v>14.6</v>
      </c>
      <c r="Z67" s="2418"/>
      <c r="AI67" s="2419"/>
    </row>
    <row r="68" spans="1:35" ht="14.25" customHeight="1" thickBot="1">
      <c r="A68" s="208" t="s">
        <v>774</v>
      </c>
      <c r="B68" s="209" t="s">
        <v>2252</v>
      </c>
      <c r="C68" s="210">
        <f ca="1">IF(C67&lt;=0,0,ROUND(C67*D68,0))</f>
        <v>2879</v>
      </c>
      <c r="D68" s="211">
        <f>'数据-取费表'!B41</f>
        <v>5.6000000000000001E-2</v>
      </c>
      <c r="E68" s="212"/>
      <c r="F68" s="2484"/>
      <c r="G68" s="2484"/>
      <c r="H68" s="2492"/>
      <c r="I68" s="138"/>
      <c r="J68" s="3163"/>
      <c r="K68" s="2494" t="s">
        <v>2253</v>
      </c>
      <c r="L68" s="1745">
        <f ca="1">IF(M49&gt;10000,M49*0.5%,IF(AND(M49&gt;5000,M49&lt;=10000),M49*1%,IF(AND(M49&gt;1000,M49&lt;=5000),M49*2%,IF(AND(M49&gt;200,M49&lt;=1000),M49*3%,M49*5%))))</f>
        <v>449.86</v>
      </c>
      <c r="M68" s="24">
        <f ca="1">ROUND(L68,1)</f>
        <v>449.9</v>
      </c>
      <c r="Z68" s="2418"/>
      <c r="AI68" s="2419"/>
    </row>
    <row r="69" spans="1:35" s="2441" customFormat="1" ht="16.5" customHeight="1">
      <c r="A69" s="2495"/>
      <c r="B69" s="2496"/>
      <c r="C69" s="2497"/>
      <c r="D69" s="2498"/>
      <c r="E69" s="2499"/>
      <c r="F69" s="2162"/>
      <c r="G69" s="2162"/>
      <c r="H69" s="2161"/>
      <c r="I69" s="2413"/>
      <c r="J69" s="3163"/>
      <c r="K69" s="2494" t="s">
        <v>2254</v>
      </c>
      <c r="L69" s="2500"/>
      <c r="M69" s="24">
        <f ca="1">ROUND(SUM(M63:M68),0)</f>
        <v>1455</v>
      </c>
      <c r="N69" s="1746">
        <f ca="1">M69/M49</f>
        <v>1.6171697861556929E-2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122" t="s">
        <v>2255</v>
      </c>
      <c r="B70" s="3123"/>
      <c r="C70" s="3123"/>
      <c r="D70" s="3123"/>
      <c r="E70" s="3123"/>
      <c r="F70" s="3123"/>
      <c r="G70" s="3123"/>
      <c r="H70" s="312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1" t="s">
        <v>2236</v>
      </c>
      <c r="B71" s="3102"/>
      <c r="C71" s="1797"/>
      <c r="D71" s="1797" t="s">
        <v>2237</v>
      </c>
      <c r="E71" s="213" t="s">
        <v>2238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2256</v>
      </c>
      <c r="C72" s="207">
        <f ca="1">ROUND(D45/(1+'数据-取费表'!C42),0)</f>
        <v>51412</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2257</v>
      </c>
      <c r="C73" s="207">
        <f ca="1">C74+C78</f>
        <v>308</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2258</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2259</v>
      </c>
      <c r="C75" s="218"/>
      <c r="D75" s="200" t="s">
        <v>32</v>
      </c>
      <c r="E75" s="219" t="s">
        <v>2260</v>
      </c>
      <c r="F75" s="2506" t="s">
        <v>2261</v>
      </c>
      <c r="G75" s="219" t="s">
        <v>2262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2263</v>
      </c>
      <c r="C76" s="200">
        <f>IF(F75="购房发票",ROUND(C75*H75*D76,0),0)</f>
        <v>0</v>
      </c>
      <c r="D76" s="222">
        <v>0.05</v>
      </c>
      <c r="E76" s="3096" t="s">
        <v>2264</v>
      </c>
      <c r="F76" s="3073"/>
      <c r="G76" s="3073"/>
      <c r="H76" s="312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8" t="s">
        <v>2267</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2268</v>
      </c>
      <c r="C78" s="225">
        <f ca="1">ROUND(D45*D78/(1+'数据-取费表'!C42),0)</f>
        <v>308</v>
      </c>
      <c r="D78" s="226">
        <f>'数据-取费表'!B43</f>
        <v>6.000000000000001E-3</v>
      </c>
      <c r="E78" s="3082" t="s">
        <v>2269</v>
      </c>
      <c r="F78" s="3083"/>
      <c r="G78" s="3083"/>
      <c r="H78" s="309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2270</v>
      </c>
      <c r="C79" s="207">
        <f ca="1">C72-C73</f>
        <v>51104</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2271</v>
      </c>
      <c r="C80" s="227">
        <f ca="1">IF(C79&lt;=0,0,C79/C73)</f>
        <v>165.92207792207793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2272</v>
      </c>
      <c r="C81" s="228">
        <f ca="1">ROUND(IF(C79&lt;=0,0,IF(C80&gt;=200%,C79*60%-C73*35%,IF(C80&gt;=100%,C79*50%-C73*15%,IF(C80&gt;=50%,C79*40%-C73*5%,IF(C80&lt;50%,C79*30%,0))))),0)</f>
        <v>30555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2" t="s">
        <v>2273</v>
      </c>
      <c r="B83" s="3123"/>
      <c r="C83" s="3123"/>
      <c r="D83" s="3123"/>
      <c r="E83" s="3123"/>
      <c r="F83" s="3123"/>
      <c r="G83" s="3123"/>
      <c r="H83" s="312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1" t="s">
        <v>2236</v>
      </c>
      <c r="B84" s="3102"/>
      <c r="C84" s="1797"/>
      <c r="D84" s="1797" t="s">
        <v>2237</v>
      </c>
      <c r="E84" s="213" t="s">
        <v>2238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2256</v>
      </c>
      <c r="C85" s="207">
        <f ca="1">ROUND(D45/(1+'数据-取费表'!C42),0)</f>
        <v>51412</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2257</v>
      </c>
      <c r="C86" s="207">
        <f ca="1">IF(H88="仅含出让金",C87+C90+C91+C92+C93+C94,C87+C91+C92+C93+C94)</f>
        <v>7677</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2274</v>
      </c>
      <c r="C87" s="225">
        <f>C88+C89</f>
        <v>5668</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2275</v>
      </c>
      <c r="C88" s="236">
        <v>5500</v>
      </c>
      <c r="D88" s="226"/>
      <c r="E88" s="237" t="s">
        <v>2276</v>
      </c>
      <c r="F88" s="1793"/>
      <c r="G88" s="238" t="s">
        <v>2277</v>
      </c>
      <c r="H88" s="2512" t="s">
        <v>3140</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2265</v>
      </c>
      <c r="C89" s="225">
        <f>ROUND(C88*D89,0)</f>
        <v>168</v>
      </c>
      <c r="D89" s="226">
        <f>'数据-取费表'!B48+'数据-取费表'!B49</f>
        <v>3.0499999999999999E-2</v>
      </c>
      <c r="E89" s="237" t="s">
        <v>2278</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2279</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2280</v>
      </c>
      <c r="B91" s="198" t="s">
        <v>2281</v>
      </c>
      <c r="C91" s="225">
        <f>IF(H91="——",成本法!C33,I91)</f>
        <v>0</v>
      </c>
      <c r="D91" s="226"/>
      <c r="E91" s="3082" t="s">
        <v>2282</v>
      </c>
      <c r="F91" s="3083"/>
      <c r="G91" s="3083"/>
      <c r="H91" s="2513" t="s">
        <v>3141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2284</v>
      </c>
      <c r="B92" s="198" t="s">
        <v>2285</v>
      </c>
      <c r="C92" s="225">
        <f>ROUND((C87+C90+C91)*D92,0)</f>
        <v>567</v>
      </c>
      <c r="D92" s="226">
        <v>0.1</v>
      </c>
      <c r="E92" s="3082" t="s">
        <v>2286</v>
      </c>
      <c r="F92" s="3083"/>
      <c r="G92" s="3083"/>
      <c r="H92" s="309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2287</v>
      </c>
      <c r="B93" s="198" t="s">
        <v>2268</v>
      </c>
      <c r="C93" s="225">
        <f ca="1">ROUND(D45*D93/(1+'数据-取费表'!C42),0)</f>
        <v>308</v>
      </c>
      <c r="D93" s="226">
        <f>'数据-取费表'!B43</f>
        <v>6.000000000000001E-3</v>
      </c>
      <c r="E93" s="3082" t="s">
        <v>2269</v>
      </c>
      <c r="F93" s="3083"/>
      <c r="G93" s="3083"/>
      <c r="H93" s="309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2288</v>
      </c>
      <c r="B94" s="198" t="s">
        <v>2289</v>
      </c>
      <c r="C94" s="236">
        <f>ROUND((C87+C90+C91)*D94,0)</f>
        <v>1134</v>
      </c>
      <c r="D94" s="226">
        <v>0.2</v>
      </c>
      <c r="E94" s="3093" t="s">
        <v>2290</v>
      </c>
      <c r="F94" s="3094"/>
      <c r="G94" s="3094"/>
      <c r="H94" s="309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2270</v>
      </c>
      <c r="C95" s="207">
        <f ca="1">ROUND(C85-C86,0)</f>
        <v>43735</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2271</v>
      </c>
      <c r="C96" s="227">
        <f ca="1">IF(C95&lt;=0,0,C95/C86)</f>
        <v>5.6968868047414354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2272</v>
      </c>
      <c r="C97" s="228">
        <f ca="1">ROUND(IF(C95&lt;=0,0,IF(C96&gt;=200%,C95*60%-C86*35%,IF(C96&gt;=100%,C95*50%-C86*15%,IF(C96&gt;=50%,C95*40%-C86*5%,IF(C96&lt;50%,C95*30%,0))))),0)</f>
        <v>23554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2291</v>
      </c>
      <c r="B99" s="2413"/>
      <c r="C99" s="2413"/>
      <c r="D99" s="2413"/>
      <c r="E99" s="2162"/>
      <c r="F99" s="2162"/>
      <c r="G99" s="2162"/>
      <c r="H99" s="2161"/>
      <c r="I99" s="138"/>
    </row>
    <row r="100" spans="1:35" ht="18.75" customHeight="1">
      <c r="A100" s="3067" t="s">
        <v>2292</v>
      </c>
      <c r="B100" s="3068"/>
      <c r="C100" s="3068"/>
      <c r="D100" s="3084"/>
      <c r="E100" s="3068" t="s">
        <v>2293</v>
      </c>
      <c r="F100" s="3068"/>
      <c r="G100" s="3068"/>
      <c r="H100" s="3084"/>
      <c r="I100" s="138"/>
    </row>
    <row r="101" spans="1:35" ht="18.75" customHeight="1">
      <c r="A101" s="3146" t="s">
        <v>2294</v>
      </c>
      <c r="B101" s="3147"/>
      <c r="C101" s="733" t="str">
        <f>C4</f>
        <v>收益法-办公</v>
      </c>
      <c r="D101" s="734" t="str">
        <f>D4</f>
        <v>典型户型修正</v>
      </c>
      <c r="E101" s="3160" t="s">
        <v>2295</v>
      </c>
      <c r="F101" s="3114"/>
      <c r="G101" s="2515" t="s">
        <v>2296</v>
      </c>
      <c r="H101" s="1042">
        <f ca="1">H118</f>
        <v>89972</v>
      </c>
      <c r="I101" s="138"/>
    </row>
    <row r="102" spans="1:35" ht="18.75" customHeight="1">
      <c r="A102" s="3116" t="s">
        <v>2297</v>
      </c>
      <c r="B102" s="2515" t="s">
        <v>2296</v>
      </c>
      <c r="C102" s="733">
        <f ca="1">C19</f>
        <v>77315</v>
      </c>
      <c r="D102" s="734">
        <f ca="1">D19</f>
        <v>102628</v>
      </c>
      <c r="E102" s="3160"/>
      <c r="F102" s="3114"/>
      <c r="G102" s="2515" t="s">
        <v>2298</v>
      </c>
      <c r="H102" s="371">
        <f ca="1">I118</f>
        <v>29722</v>
      </c>
      <c r="I102" s="138"/>
    </row>
    <row r="103" spans="1:35" ht="42.75" customHeight="1">
      <c r="A103" s="3116"/>
      <c r="B103" s="2515" t="s">
        <v>2298</v>
      </c>
      <c r="C103" s="735">
        <f ca="1">C20</f>
        <v>25541</v>
      </c>
      <c r="D103" s="736">
        <f ca="1">D20</f>
        <v>33903</v>
      </c>
      <c r="E103" s="3155" t="s">
        <v>2299</v>
      </c>
      <c r="F103" s="3156"/>
      <c r="G103" s="2516" t="s">
        <v>2300</v>
      </c>
      <c r="H103" s="1042">
        <f>IF(D36="正常操作",H104+H105+H106,H105+H106)</f>
        <v>0</v>
      </c>
      <c r="I103" s="138"/>
    </row>
    <row r="104" spans="1:35" ht="18.75" customHeight="1">
      <c r="A104" s="3116" t="s">
        <v>2301</v>
      </c>
      <c r="B104" s="2517" t="s">
        <v>2296</v>
      </c>
      <c r="C104" s="737">
        <f ca="1">H118</f>
        <v>89972</v>
      </c>
      <c r="D104" s="738"/>
      <c r="E104" s="2262" t="s">
        <v>2302</v>
      </c>
      <c r="F104" s="2254"/>
      <c r="G104" s="2516" t="s">
        <v>2300</v>
      </c>
      <c r="H104" s="1043">
        <f>IF(D36="同一抵押权人同一抵押物续贷",C36&amp;"（未扣减，详见特别提示）",C36)</f>
        <v>0</v>
      </c>
      <c r="I104" s="138"/>
    </row>
    <row r="105" spans="1:35" ht="18.75" customHeight="1" thickBot="1">
      <c r="A105" s="3117"/>
      <c r="B105" s="2518" t="s">
        <v>2298</v>
      </c>
      <c r="C105" s="739">
        <f ca="1">I118</f>
        <v>29722</v>
      </c>
      <c r="D105" s="740"/>
      <c r="E105" s="2262" t="s">
        <v>2303</v>
      </c>
      <c r="F105" s="2254"/>
      <c r="G105" s="2516" t="s">
        <v>2300</v>
      </c>
      <c r="H105" s="1043">
        <f>C37</f>
        <v>0</v>
      </c>
      <c r="I105" s="138"/>
    </row>
    <row r="106" spans="1:35" ht="18.75" customHeight="1">
      <c r="A106" s="2413" t="s">
        <v>2304</v>
      </c>
      <c r="B106" s="2413"/>
      <c r="C106" s="2413"/>
      <c r="D106" s="2413"/>
      <c r="E106" s="2519" t="s">
        <v>2305</v>
      </c>
      <c r="F106" s="2254"/>
      <c r="G106" s="2516" t="s">
        <v>2300</v>
      </c>
      <c r="H106" s="1043">
        <f>C38</f>
        <v>0</v>
      </c>
      <c r="I106" s="138"/>
    </row>
    <row r="107" spans="1:35" ht="18.75" customHeight="1">
      <c r="A107" s="138"/>
      <c r="B107" s="138"/>
      <c r="C107" s="138"/>
      <c r="D107" s="138"/>
      <c r="E107" s="3113" t="str">
        <f>IF(项目基本情况!E8="已注销","——","3.房地产抵押价值")</f>
        <v>3.房地产抵押价值</v>
      </c>
      <c r="F107" s="3114"/>
      <c r="G107" s="2515" t="s">
        <v>2296</v>
      </c>
      <c r="H107" s="1042">
        <f ca="1">IF(E107="——","——",H101-H103)</f>
        <v>89972</v>
      </c>
      <c r="I107" s="138"/>
    </row>
    <row r="108" spans="1:35" ht="18.75" customHeight="1">
      <c r="A108" s="138"/>
      <c r="B108" s="138"/>
      <c r="C108" s="138"/>
      <c r="D108" s="138"/>
      <c r="E108" s="3113"/>
      <c r="F108" s="3114"/>
      <c r="G108" s="2515" t="s">
        <v>2298</v>
      </c>
      <c r="H108" s="371">
        <f ca="1">ROUND(H107*10000/'数据-汇总表'!E3,0)</f>
        <v>27663</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5" t="s">
        <v>2296</v>
      </c>
      <c r="H109" s="348" t="str">
        <f>IF(E109="——","——",H101-H105-H106)</f>
        <v>——</v>
      </c>
      <c r="I109" s="138"/>
    </row>
    <row r="110" spans="1:35" ht="18.75" customHeight="1">
      <c r="A110" s="138"/>
      <c r="B110" s="138"/>
      <c r="C110" s="138"/>
      <c r="D110" s="138"/>
      <c r="E110" s="3113"/>
      <c r="F110" s="3114"/>
      <c r="G110" s="2515" t="s">
        <v>2298</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15" t="s">
        <v>2296</v>
      </c>
      <c r="H111" s="1042" t="str">
        <f>IF(E111="——","——",N59)</f>
        <v>——</v>
      </c>
      <c r="I111" s="138"/>
    </row>
    <row r="112" spans="1:35" ht="18.75" customHeight="1" thickBot="1">
      <c r="A112" s="138"/>
      <c r="B112" s="138"/>
      <c r="C112" s="138"/>
      <c r="D112" s="138"/>
      <c r="E112" s="3150"/>
      <c r="F112" s="3151"/>
      <c r="G112" s="2520" t="s">
        <v>2298</v>
      </c>
      <c r="H112" s="787" t="str">
        <f>IF(E111="——","——",N61)</f>
        <v>——</v>
      </c>
      <c r="I112" s="138"/>
    </row>
    <row r="113" spans="1:11" ht="18.75" customHeight="1">
      <c r="A113" s="138"/>
      <c r="B113" s="138"/>
      <c r="C113" s="138"/>
      <c r="D113" s="138"/>
      <c r="E113" s="3118" t="s">
        <v>2304</v>
      </c>
      <c r="F113" s="3118"/>
      <c r="G113" s="3118"/>
      <c r="H113" s="3118"/>
      <c r="I113" s="138"/>
    </row>
    <row r="114" spans="1:11" ht="3.75" customHeight="1">
      <c r="A114" s="2413"/>
      <c r="B114" s="2413"/>
      <c r="C114" s="2413"/>
      <c r="D114" s="2413"/>
      <c r="E114" s="2491"/>
      <c r="F114" s="2491"/>
      <c r="G114" s="2491"/>
      <c r="H114" s="2491"/>
      <c r="I114" s="2413"/>
    </row>
    <row r="115" spans="1:11" ht="18.75" customHeight="1">
      <c r="A115" s="3131" t="s">
        <v>2306</v>
      </c>
      <c r="B115" s="3132"/>
      <c r="C115" s="3132"/>
      <c r="D115" s="3132"/>
      <c r="E115" s="3132"/>
      <c r="F115" s="3132"/>
      <c r="G115" s="3132"/>
      <c r="H115" s="3132"/>
      <c r="I115" s="3133"/>
    </row>
    <row r="116" spans="1:11" ht="27" customHeight="1">
      <c r="A116" s="3024" t="s">
        <v>2307</v>
      </c>
      <c r="B116" s="3119" t="s">
        <v>2308</v>
      </c>
      <c r="C116" s="3119" t="s">
        <v>2309</v>
      </c>
      <c r="D116" s="3135" t="s">
        <v>2310</v>
      </c>
      <c r="E116" s="3136"/>
      <c r="F116" s="3127" t="s">
        <v>2311</v>
      </c>
      <c r="G116" s="3127"/>
      <c r="H116" s="3024" t="s">
        <v>2312</v>
      </c>
      <c r="I116" s="3024"/>
    </row>
    <row r="117" spans="1:11" ht="18.75" customHeight="1">
      <c r="A117" s="3024"/>
      <c r="B117" s="3120"/>
      <c r="C117" s="3120"/>
      <c r="D117" s="1791" t="s">
        <v>2313</v>
      </c>
      <c r="E117" s="1791" t="s">
        <v>2314</v>
      </c>
      <c r="F117" s="1791" t="s">
        <v>2313</v>
      </c>
      <c r="G117" s="1791" t="s">
        <v>2315</v>
      </c>
      <c r="H117" s="1791" t="s">
        <v>2313</v>
      </c>
      <c r="I117" s="1791" t="s">
        <v>2315</v>
      </c>
    </row>
    <row r="118" spans="1:11" ht="24.75" customHeight="1">
      <c r="A118" s="2521" t="str">
        <f>项目基本情况!S2</f>
        <v>北京市房地产</v>
      </c>
      <c r="B118" s="1791">
        <f>M18</f>
        <v>30271.149999999991</v>
      </c>
      <c r="C118" s="1791">
        <f>M19</f>
        <v>8201.42</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89972</v>
      </c>
      <c r="I118" s="1791">
        <f ca="1">ROUND(IF(D32="楼面单价",C32,H118*10000/B118),0)</f>
        <v>29722</v>
      </c>
    </row>
    <row r="119" spans="1:11" ht="18.75" customHeight="1">
      <c r="A119" s="3024" t="s">
        <v>2316</v>
      </c>
      <c r="B119" s="3024"/>
      <c r="C119" s="3024"/>
      <c r="D119" s="3124" t="e">
        <f ca="1">NUMBERSTRING(INT(D118*10000),2)&amp;"元整"</f>
        <v>#REF!</v>
      </c>
      <c r="E119" s="3126"/>
      <c r="F119" s="3124" t="e">
        <f ca="1">NUMBERSTRING(INT(F118*10000),2)&amp;"元整"</f>
        <v>#REF!</v>
      </c>
      <c r="G119" s="3126"/>
      <c r="H119" s="3124" t="str">
        <f ca="1">NUMBERSTRING(INT(H118*10000),2)&amp;"元整"</f>
        <v>捌亿玖仟玖佰柒拾贰万元整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18" t="str">
        <f>IF(D120=0,"故，本次评估不存在"&amp;A120,"故，本次评估"&amp;A120&amp;"为人民币"&amp;D120&amp;"万元整。")</f>
        <v>故，本次评估不存在估价师知悉的法定优先受偿款</v>
      </c>
    </row>
    <row r="121" spans="1:11" ht="18.75" customHeight="1">
      <c r="A121" s="3128" t="s">
        <v>2316</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89972</v>
      </c>
      <c r="E122" s="3153"/>
      <c r="F122" s="3153"/>
      <c r="G122" s="3153"/>
      <c r="H122" s="3153"/>
      <c r="I122" s="3154"/>
    </row>
    <row r="123" spans="1:11" ht="18.75" customHeight="1">
      <c r="A123" s="3024" t="s">
        <v>2316</v>
      </c>
      <c r="B123" s="3024"/>
      <c r="C123" s="3024"/>
      <c r="D123" s="3124" t="str">
        <f ca="1">NUMBERSTRING(INT(D122*10000),2)&amp;"元整"</f>
        <v>捌亿玖仟玖佰柒拾贰万元整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2316</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2316</v>
      </c>
      <c r="B127" s="3024"/>
      <c r="C127" s="3024"/>
      <c r="D127" s="3124" t="e">
        <f>NUMBERSTRING(INT(D126*10000),2)&amp;"元整"</f>
        <v>#VALUE!</v>
      </c>
      <c r="E127" s="3125"/>
      <c r="F127" s="3125"/>
      <c r="G127" s="3125"/>
      <c r="H127" s="3125"/>
      <c r="I127" s="3126"/>
    </row>
    <row r="128" spans="1:11" ht="21.75" customHeight="1">
      <c r="A128" s="3134" t="s">
        <v>2317</v>
      </c>
      <c r="B128" s="3134"/>
      <c r="C128" s="3134"/>
      <c r="D128" s="3134"/>
      <c r="E128" s="3134"/>
      <c r="F128" s="3134"/>
      <c r="G128" s="3134"/>
      <c r="H128" s="3134"/>
      <c r="I128" s="3134"/>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2320</v>
      </c>
      <c r="G135" s="2539"/>
      <c r="H135" s="2539"/>
      <c r="I135" s="2540" t="s">
        <v>2321</v>
      </c>
    </row>
    <row r="136" spans="1:35" ht="21.75" customHeight="1">
      <c r="A136" s="792"/>
      <c r="B136" s="2541"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2323</v>
      </c>
    </row>
    <row r="139" spans="1:35" ht="21.75" customHeight="1">
      <c r="A139" s="792"/>
      <c r="B139" s="2541" t="s">
        <v>2324</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2323</v>
      </c>
    </row>
    <row r="142" spans="1:35" ht="21.75" customHeight="1">
      <c r="A142" s="792"/>
      <c r="B142" s="2541"/>
      <c r="C142" s="2542"/>
      <c r="D142" s="2543"/>
      <c r="E142" s="2543"/>
      <c r="F142" s="2336"/>
      <c r="G142" s="792"/>
      <c r="H142" s="792"/>
      <c r="I142" s="792"/>
    </row>
    <row r="143" spans="1:35" s="139"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2458</v>
      </c>
      <c r="B1" s="1577"/>
      <c r="C1" s="1578"/>
      <c r="D1" s="1576"/>
      <c r="E1" s="320"/>
      <c r="F1" s="320"/>
      <c r="G1" s="1577"/>
      <c r="H1" s="320"/>
      <c r="I1" s="320"/>
      <c r="J1" s="320"/>
      <c r="K1" s="320">
        <f>MATCH(C1,'数据-取费表'!A6:A16,0)+5</f>
        <v>7</v>
      </c>
    </row>
    <row r="2" spans="1:33" ht="18" customHeight="1">
      <c r="A2" s="245" t="s">
        <v>2326</v>
      </c>
      <c r="B2" s="248">
        <f ca="1">C32</f>
        <v>-706</v>
      </c>
      <c r="C2" s="320" t="s">
        <v>2459</v>
      </c>
      <c r="D2" s="320"/>
      <c r="E2" s="320"/>
      <c r="F2" s="320"/>
      <c r="G2" s="320"/>
      <c r="H2" s="320"/>
      <c r="I2" s="320"/>
      <c r="J2" s="320"/>
      <c r="K2" s="320"/>
    </row>
    <row r="3" spans="1:33" ht="18" customHeight="1" thickBot="1">
      <c r="A3" s="247" t="s">
        <v>2328</v>
      </c>
      <c r="B3" s="248">
        <f ca="1">ROUND(B2*10000/IF(C1="",'数据-汇总表'!E3,INDIRECT("'数据-取费表'!K"&amp;$K$1)),0)</f>
        <v>-217</v>
      </c>
      <c r="C3" s="320" t="s">
        <v>2460</v>
      </c>
      <c r="D3" s="320"/>
      <c r="E3" s="320"/>
      <c r="F3" s="320"/>
      <c r="G3" s="320"/>
      <c r="H3" s="320"/>
      <c r="I3" s="320"/>
      <c r="J3" s="320"/>
      <c r="K3" s="320"/>
    </row>
    <row r="4" spans="1:33" s="953" customFormat="1" ht="16.5" customHeight="1">
      <c r="A4" s="950" t="s">
        <v>2461</v>
      </c>
      <c r="B4" s="951"/>
      <c r="C4" s="993">
        <f>SUM(C8:K8)</f>
        <v>0</v>
      </c>
      <c r="D4" s="951"/>
      <c r="E4" s="951"/>
      <c r="F4" s="951"/>
      <c r="G4" s="951"/>
      <c r="H4" s="951"/>
      <c r="I4" s="951"/>
      <c r="J4" s="951"/>
      <c r="K4" s="952"/>
    </row>
    <row r="5" spans="1:33" s="957" customFormat="1" ht="24.75">
      <c r="A5" s="954" t="s">
        <v>2462</v>
      </c>
      <c r="B5" s="955" t="s">
        <v>2463</v>
      </c>
      <c r="C5" s="2551" t="s">
        <v>2464</v>
      </c>
      <c r="D5" s="2551" t="s">
        <v>2465</v>
      </c>
      <c r="E5" s="2551" t="s">
        <v>2466</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2252.83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2470</v>
      </c>
      <c r="B8" s="177" t="s">
        <v>2471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1330</v>
      </c>
      <c r="B11" s="969" t="s">
        <v>2479</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2480</v>
      </c>
      <c r="C12" s="24">
        <f ca="1">ROUND(C11*F12,0)</f>
        <v>0</v>
      </c>
      <c r="D12" s="970"/>
      <c r="E12" s="375"/>
      <c r="F12" s="973">
        <f>'数据-取费表'!B33</f>
        <v>0.03</v>
      </c>
      <c r="G12" s="8" t="s">
        <v>2481</v>
      </c>
      <c r="H12" s="965"/>
      <c r="I12" s="965"/>
      <c r="J12" s="965"/>
      <c r="K12" s="966"/>
    </row>
    <row r="13" spans="1:33" s="972" customFormat="1" ht="13.5" customHeight="1">
      <c r="A13" s="968" t="s">
        <v>1332</v>
      </c>
      <c r="B13" s="969" t="s">
        <v>2482</v>
      </c>
      <c r="C13" s="24">
        <f ca="1">ROUND(IF(C1="",SUMIF('数据-取费表'!C:C,"住宅",'数据-取费表'!P:P)*F13,IF(INDIRECT("'数据-取费表'!c"&amp;$K$1)="住宅",INDIRECT("'数据-取费表'!P"&amp;$K$1)*F13,0)),0)</f>
        <v>0</v>
      </c>
      <c r="D13" s="1030"/>
      <c r="E13" s="375"/>
      <c r="F13" s="973">
        <f>'数据-取费表'!B34</f>
        <v>0</v>
      </c>
      <c r="G13" s="8" t="s">
        <v>2483</v>
      </c>
      <c r="H13" s="965"/>
      <c r="I13" s="965"/>
      <c r="J13" s="965"/>
      <c r="K13" s="966"/>
    </row>
    <row r="14" spans="1:33" s="974" customFormat="1" ht="13.5" customHeight="1">
      <c r="A14" s="968" t="s">
        <v>1333</v>
      </c>
      <c r="B14" s="969" t="s">
        <v>2484</v>
      </c>
      <c r="C14" s="24">
        <f ca="1">ROUND(D14*E14*F11/10000,0)</f>
        <v>0</v>
      </c>
      <c r="D14" s="1030">
        <f ca="1">IF(C1="",'数据-汇总表'!E3,INDIRECT("'数据-取费表'!K"&amp;$K$1)+INDIRECT("'数据-取费表'!S"&amp;$K$1))</f>
        <v>32523.979999999992</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2486</v>
      </c>
      <c r="C15" s="980">
        <f ca="1">ROUND(C11*F15,0)</f>
        <v>0</v>
      </c>
      <c r="D15" s="975"/>
      <c r="E15" s="980"/>
      <c r="F15" s="981">
        <f>'数据-取费表'!B36</f>
        <v>1.4999999999999999E-2</v>
      </c>
      <c r="G15" s="140"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0</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32523.979999999992</v>
      </c>
      <c r="E17" s="24">
        <f>'数据-取费表'!B32</f>
        <v>0</v>
      </c>
      <c r="F17" s="975"/>
      <c r="G17" s="140" t="s">
        <v>2490</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2491</v>
      </c>
      <c r="C18" s="24">
        <f ca="1">C19+C20-IF(C1="",'数据-取费表'!B29,IF(G18="已全部缴纳",C19+C20,H18))</f>
        <v>650</v>
      </c>
      <c r="D18" s="1030"/>
      <c r="E18" s="24"/>
      <c r="F18" s="973"/>
      <c r="G18" s="2553"/>
      <c r="H18" s="1573"/>
      <c r="I18" s="2554"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2494</v>
      </c>
      <c r="C20" s="24">
        <f ca="1">ROUND(D20*E20/10000,0)</f>
        <v>650</v>
      </c>
      <c r="D20" s="1030">
        <f ca="1">IF(C1="",'数据-汇总表'!E6,IF(INDIRECT("'数据-取费表'!c"&amp;$K$1)="住宅",INDIRECT("'数据-取费表'!s"&amp;$K$1),INDIRECT("'数据-取费表'!k"&amp;$K$1)+INDIRECT("'数据-取费表'!s"&amp;$K$1)))</f>
        <v>32523.979999999992</v>
      </c>
      <c r="E20" s="24">
        <f>'数据-取费表'!B28</f>
        <v>200</v>
      </c>
      <c r="F20" s="973"/>
      <c r="G20" s="15"/>
      <c r="H20" s="978"/>
      <c r="I20" s="978"/>
      <c r="J20" s="978"/>
      <c r="K20" s="979"/>
    </row>
    <row r="21" spans="1:33" s="972" customFormat="1" ht="13.5" customHeight="1">
      <c r="A21" s="958" t="s">
        <v>802</v>
      </c>
      <c r="B21" s="982" t="s">
        <v>2495</v>
      </c>
      <c r="C21" s="983">
        <f ca="1">C16+C17+C18</f>
        <v>650</v>
      </c>
      <c r="D21" s="984"/>
      <c r="E21" s="325"/>
      <c r="F21" s="325"/>
      <c r="G21" s="140" t="s">
        <v>2496</v>
      </c>
      <c r="H21" s="976"/>
      <c r="I21" s="976"/>
      <c r="J21" s="976"/>
      <c r="K21" s="977"/>
    </row>
    <row r="22" spans="1:33" s="972" customFormat="1" ht="13.5" customHeight="1">
      <c r="A22" s="958" t="s">
        <v>2468</v>
      </c>
      <c r="B22" s="982" t="s">
        <v>2497</v>
      </c>
      <c r="C22" s="983">
        <f ca="1">ROUND(C21*F22,0)</f>
        <v>10</v>
      </c>
      <c r="D22" s="325"/>
      <c r="E22" s="325"/>
      <c r="F22" s="985">
        <f>'数据-取费表'!B37</f>
        <v>1.4999999999999999E-2</v>
      </c>
      <c r="G22" s="8" t="s">
        <v>2498</v>
      </c>
      <c r="H22" s="965"/>
      <c r="I22" s="965"/>
      <c r="J22" s="965"/>
      <c r="K22" s="966"/>
    </row>
    <row r="23" spans="1:33" s="972" customFormat="1" ht="13.5" customHeight="1">
      <c r="A23" s="958" t="s">
        <v>2470</v>
      </c>
      <c r="B23" s="982" t="s">
        <v>2499</v>
      </c>
      <c r="C23" s="983">
        <f ca="1">ROUND(C4*F23*F11,0)</f>
        <v>0</v>
      </c>
      <c r="D23" s="325"/>
      <c r="E23" s="325"/>
      <c r="F23" s="985">
        <f>'数据-取费表'!B38</f>
        <v>1.4999999999999999E-2</v>
      </c>
      <c r="G23" s="8" t="s">
        <v>2500</v>
      </c>
      <c r="H23" s="965"/>
      <c r="I23" s="965"/>
      <c r="J23" s="965"/>
      <c r="K23" s="966"/>
    </row>
    <row r="24" spans="1:33" s="972" customFormat="1" ht="13.5" customHeight="1">
      <c r="A24" s="958" t="s">
        <v>2501</v>
      </c>
      <c r="B24" s="982" t="s">
        <v>2502</v>
      </c>
      <c r="C24" s="324">
        <f>ROUND(F24/(1+'数据-取费表'!C42),4)</f>
        <v>2.9000000000000001E-2</v>
      </c>
      <c r="D24" s="325" t="s">
        <v>15</v>
      </c>
      <c r="E24" s="325"/>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6"/>
      <c r="I27" s="976"/>
      <c r="J27" s="976"/>
      <c r="K27" s="977"/>
    </row>
    <row r="28" spans="1:33" s="333" customFormat="1" ht="13.5" customHeight="1">
      <c r="A28" s="958" t="s">
        <v>2508</v>
      </c>
      <c r="B28" s="2556" t="s">
        <v>2509</v>
      </c>
      <c r="C28" s="331">
        <f ca="1">C30</f>
        <v>66</v>
      </c>
      <c r="D28" s="324">
        <f ca="1">C29</f>
        <v>0</v>
      </c>
      <c r="E28" s="326" t="s">
        <v>15</v>
      </c>
      <c r="F28" s="332">
        <f ca="1">IF(C1="",'数据-取费表'!Q16,INDIRECT("'数据-取费表'!q"&amp;$K$1))</f>
        <v>0.1</v>
      </c>
      <c r="G28" s="986"/>
      <c r="H28" s="987"/>
      <c r="I28" s="987"/>
      <c r="J28" s="987"/>
      <c r="K28" s="988"/>
    </row>
    <row r="29" spans="1:33" s="335" customFormat="1" ht="13.5" customHeight="1">
      <c r="A29" s="968" t="s">
        <v>803</v>
      </c>
      <c r="B29" s="991" t="s">
        <v>2510</v>
      </c>
      <c r="C29" s="328">
        <f ca="1">ROUND((1+C24)*F28*'数据-取费表'!B24/'数据-取费表'!B20,4)</f>
        <v>0</v>
      </c>
      <c r="D29" s="328"/>
      <c r="E29" s="329"/>
      <c r="F29" s="334"/>
      <c r="G29" s="140" t="s">
        <v>2511</v>
      </c>
      <c r="H29" s="976"/>
      <c r="I29" s="976"/>
      <c r="J29" s="976"/>
      <c r="K29" s="977"/>
    </row>
    <row r="30" spans="1:33" s="335" customFormat="1" ht="13.5" customHeight="1">
      <c r="A30" s="968" t="s">
        <v>804</v>
      </c>
      <c r="B30" s="991" t="s">
        <v>2512</v>
      </c>
      <c r="C30" s="336">
        <f ca="1">ROUND((C21+C22+C23)*F28,0)</f>
        <v>66</v>
      </c>
      <c r="D30" s="328"/>
      <c r="E30" s="329"/>
      <c r="F30" s="334"/>
      <c r="G30" s="140"/>
      <c r="H30" s="976"/>
      <c r="I30" s="976"/>
      <c r="J30" s="976"/>
      <c r="K30" s="977"/>
    </row>
    <row r="31" spans="1:33" s="972" customFormat="1" ht="13.5" customHeight="1" thickBot="1">
      <c r="A31" s="2557" t="s">
        <v>2513</v>
      </c>
      <c r="B31" s="1002" t="s">
        <v>2514</v>
      </c>
      <c r="C31" s="1003">
        <f>ROUND(C4*F31/(1+'数据-取费表'!C42),0)</f>
        <v>0</v>
      </c>
      <c r="D31" s="1004"/>
      <c r="E31" s="1005"/>
      <c r="F31" s="1006">
        <f>'数据-取费表'!B41</f>
        <v>5.6000000000000001E-2</v>
      </c>
      <c r="G31" s="1007" t="s">
        <v>2515</v>
      </c>
      <c r="H31" s="1008"/>
      <c r="I31" s="1008"/>
      <c r="J31" s="1008"/>
      <c r="K31" s="1009"/>
    </row>
    <row r="32" spans="1:33" s="967" customFormat="1" ht="13.5" customHeight="1" thickBot="1">
      <c r="A32" s="997" t="s">
        <v>2516</v>
      </c>
      <c r="B32" s="998"/>
      <c r="C32" s="999">
        <f ca="1">ROUND((C4-C21-C22-C23-C25-C28-C31)/(1+C24+D25+D28),0)</f>
        <v>-706</v>
      </c>
      <c r="D32" s="998"/>
      <c r="E32" s="998"/>
      <c r="F32" s="998"/>
      <c r="G32" s="1000" t="s">
        <v>2517</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0" t="str">
        <f>项目基本情况!B1</f>
        <v>北京市房地产抵押价值预评估</v>
      </c>
      <c r="C37" s="2980"/>
      <c r="D37" s="2980"/>
      <c r="E37" s="2980"/>
      <c r="F37" s="2980"/>
      <c r="G37" s="2980"/>
      <c r="H37" s="2980"/>
      <c r="I37" s="2980"/>
    </row>
    <row r="38" spans="1:9">
      <c r="A38" s="1013"/>
      <c r="B38" s="1013"/>
    </row>
    <row r="39" spans="1:9">
      <c r="A39" s="1011" t="s">
        <v>818</v>
      </c>
      <c r="B39" s="1011" t="s">
        <v>820</v>
      </c>
    </row>
    <row r="40" spans="1:9">
      <c r="A40" s="1011"/>
      <c r="B40" s="1937">
        <f>项目基本情况!B5</f>
        <v>0</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42" sqref="J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79"/>
      <c r="C1" s="1833" t="s">
        <v>27</v>
      </c>
      <c r="D1" s="1816" t="s">
        <v>70</v>
      </c>
      <c r="E1" s="1817" t="s">
        <v>1382</v>
      </c>
      <c r="F1" s="1279">
        <f ca="1">J53</f>
        <v>22.7</v>
      </c>
      <c r="G1" s="1832">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77315</v>
      </c>
      <c r="C2" s="1841" t="s">
        <v>1511</v>
      </c>
      <c r="D2" s="1841"/>
      <c r="E2" s="1842"/>
      <c r="F2" s="1843"/>
      <c r="G2" s="1844"/>
      <c r="H2" s="1836"/>
      <c r="I2" s="1836"/>
      <c r="J2" s="1836"/>
      <c r="K2" s="1837"/>
      <c r="L2" s="1836"/>
      <c r="M2" s="1836"/>
    </row>
    <row r="3" spans="1:37" ht="18" customHeight="1" thickBot="1">
      <c r="A3" s="1845" t="s">
        <v>1512</v>
      </c>
      <c r="B3" s="1846">
        <f ca="1">IF(ISERROR(B2*10000/F43),0,ROUND(B2*10000/F43,0))</f>
        <v>25541</v>
      </c>
      <c r="C3" s="1841" t="s">
        <v>1513</v>
      </c>
      <c r="D3" s="1841"/>
      <c r="E3" s="1842"/>
      <c r="F3" s="1843"/>
      <c r="G3" s="1844"/>
      <c r="H3" s="741" t="s">
        <v>1583</v>
      </c>
      <c r="I3" s="1836"/>
      <c r="J3" s="1836"/>
      <c r="K3" s="1837"/>
      <c r="L3" s="1836"/>
      <c r="M3" s="1836"/>
    </row>
    <row r="4" spans="1:37" ht="18" customHeight="1">
      <c r="A4" s="340" t="s">
        <v>1391</v>
      </c>
      <c r="B4" s="341" t="s">
        <v>1392</v>
      </c>
      <c r="C4" s="341" t="s">
        <v>1393</v>
      </c>
      <c r="D4" s="341" t="s">
        <v>1394</v>
      </c>
      <c r="E4" s="342" t="s">
        <v>1395</v>
      </c>
      <c r="F4" s="343"/>
      <c r="G4" s="1847"/>
      <c r="H4" s="340" t="s">
        <v>1391</v>
      </c>
      <c r="I4" s="341" t="s">
        <v>1392</v>
      </c>
      <c r="J4" s="341" t="s">
        <v>1393</v>
      </c>
      <c r="K4" s="341" t="s">
        <v>1394</v>
      </c>
      <c r="L4" s="342" t="s">
        <v>1395</v>
      </c>
      <c r="M4" s="343"/>
    </row>
    <row r="5" spans="1:37" ht="18" customHeight="1">
      <c r="A5" s="344">
        <v>1</v>
      </c>
      <c r="B5" s="345" t="s">
        <v>1396</v>
      </c>
      <c r="C5" s="1288">
        <f ca="1">C6+C10+C12</f>
        <v>5782</v>
      </c>
      <c r="D5" s="1818" t="s">
        <v>1397</v>
      </c>
      <c r="E5" s="1289"/>
      <c r="F5" s="1290"/>
      <c r="G5" s="1847"/>
      <c r="H5" s="344">
        <v>1</v>
      </c>
      <c r="I5" s="345" t="s">
        <v>1396</v>
      </c>
      <c r="J5" s="1288">
        <f ca="1">J6+J10+J12</f>
        <v>0</v>
      </c>
      <c r="K5" s="1818" t="s">
        <v>1397</v>
      </c>
      <c r="L5" s="1289"/>
      <c r="M5" s="1290"/>
    </row>
    <row r="6" spans="1:37" ht="18" customHeight="1">
      <c r="A6" s="1287" t="s">
        <v>1032</v>
      </c>
      <c r="B6" s="3168" t="s">
        <v>1398</v>
      </c>
      <c r="C6" s="1292">
        <f ca="1">ROUND(F6*F8*F7*(1-F9)/10000,0)</f>
        <v>5768</v>
      </c>
      <c r="D6" s="164" t="s">
        <v>3028</v>
      </c>
      <c r="E6" s="347" t="s">
        <v>1400</v>
      </c>
      <c r="F6" s="348">
        <f ca="1">INDIRECT("'数据-取费表'!u"&amp;$G$1)</f>
        <v>5.8</v>
      </c>
      <c r="G6" s="1847"/>
      <c r="H6" s="1287" t="s">
        <v>1032</v>
      </c>
      <c r="I6" s="3168" t="s">
        <v>1398</v>
      </c>
      <c r="J6" s="346">
        <f ca="1">ROUND(M6*M8*M7*(1-M9)/10000,0)</f>
        <v>0</v>
      </c>
      <c r="K6" s="164" t="s">
        <v>3027</v>
      </c>
      <c r="L6" s="347" t="s">
        <v>1400</v>
      </c>
      <c r="M6" s="348">
        <f ca="1">INDIRECT("'数据-取费表'!z"&amp;$G$1)</f>
        <v>0</v>
      </c>
    </row>
    <row r="7" spans="1:37" ht="18" customHeight="1">
      <c r="A7" s="1291"/>
      <c r="B7" s="3169"/>
      <c r="C7" s="1293"/>
      <c r="D7" s="352"/>
      <c r="E7" s="1294" t="s">
        <v>1401</v>
      </c>
      <c r="F7" s="348">
        <f ca="1">IF(INDIRECT("'数据-取费表'!ah"&amp;$G$1)="",INDIRECT("'数据-取费表'!k"&amp;$G$1),INDIRECT("'数据-取费表'!ah"&amp;$G$1))</f>
        <v>30271.149999999991</v>
      </c>
      <c r="G7" s="1847"/>
      <c r="H7" s="349"/>
      <c r="I7" s="3169"/>
      <c r="J7" s="351"/>
      <c r="K7" s="352"/>
      <c r="L7" s="347" t="s">
        <v>1401</v>
      </c>
      <c r="M7" s="348">
        <f ca="1">F7</f>
        <v>30271.149999999991</v>
      </c>
    </row>
    <row r="8" spans="1:37" ht="18" customHeight="1">
      <c r="A8" s="349"/>
      <c r="B8" s="3169"/>
      <c r="C8" s="351"/>
      <c r="D8" s="352"/>
      <c r="E8" s="347" t="s">
        <v>1402</v>
      </c>
      <c r="F8" s="348">
        <f ca="1">INDIRECT("'数据-取费表'!ai"&amp;$G$1)</f>
        <v>365</v>
      </c>
      <c r="G8" s="1847"/>
      <c r="H8" s="349"/>
      <c r="I8" s="3169"/>
      <c r="J8" s="351"/>
      <c r="K8" s="352"/>
      <c r="L8" s="347" t="s">
        <v>1402</v>
      </c>
      <c r="M8" s="348">
        <f ca="1">INDIRECT("'数据-取费表'!ai"&amp;$G$1)</f>
        <v>365</v>
      </c>
    </row>
    <row r="9" spans="1:37" ht="18" customHeight="1">
      <c r="A9" s="349"/>
      <c r="B9" s="3170"/>
      <c r="C9" s="351"/>
      <c r="D9" s="352"/>
      <c r="E9" s="347" t="s">
        <v>1403</v>
      </c>
      <c r="F9" s="357">
        <f ca="1">INDIRECT("'数据-取费表'!w"&amp;$G$1)</f>
        <v>0.1</v>
      </c>
      <c r="G9" s="1847"/>
      <c r="H9" s="349"/>
      <c r="I9" s="3170"/>
      <c r="J9" s="351"/>
      <c r="K9" s="352"/>
      <c r="L9" s="358" t="s">
        <v>1403</v>
      </c>
      <c r="M9" s="359">
        <f ca="1">INDIRECT("'数据-取费表'!ab"&amp;$G$1)</f>
        <v>0</v>
      </c>
    </row>
    <row r="10" spans="1:37" ht="18" customHeight="1">
      <c r="A10" s="1287" t="s">
        <v>1036</v>
      </c>
      <c r="B10" s="1819" t="s">
        <v>1404</v>
      </c>
      <c r="C10" s="361">
        <f ca="1">ROUND(IF(F10="押一",C6/12*F11,IF(F10="押二",C6/12*2*F11,IF(F10="押三",C6/12*3*F11,C11*F11))),0)</f>
        <v>14</v>
      </c>
      <c r="D10" s="1820" t="s">
        <v>3037</v>
      </c>
      <c r="E10" s="358" t="s">
        <v>1405</v>
      </c>
      <c r="F10" s="1362" t="s">
        <v>3108</v>
      </c>
      <c r="G10" s="1847"/>
      <c r="H10" s="1287" t="s">
        <v>1036</v>
      </c>
      <c r="I10" s="1819" t="s">
        <v>1404</v>
      </c>
      <c r="J10" s="346">
        <f ca="1">ROUND(IF(M10="押一",J6/12*M11,IF(M10="押二",J6/12*2*M11,IF(M10="押三",J6/12*3*M11,J11*M11))),0)</f>
        <v>0</v>
      </c>
      <c r="K10" s="1820" t="s">
        <v>3036</v>
      </c>
      <c r="L10" s="358" t="s">
        <v>1405</v>
      </c>
      <c r="M10" s="1362" t="s">
        <v>1406</v>
      </c>
    </row>
    <row r="11" spans="1:37" ht="18" customHeight="1">
      <c r="A11" s="353"/>
      <c r="B11" s="1821" t="s">
        <v>1383</v>
      </c>
      <c r="C11" s="1175"/>
      <c r="D11" s="1822"/>
      <c r="E11" s="358" t="s">
        <v>1407</v>
      </c>
      <c r="F11" s="359">
        <f ca="1">'数据-取费表'!B39</f>
        <v>1.4999999999999999E-2</v>
      </c>
      <c r="G11" s="1847"/>
      <c r="H11" s="1295"/>
      <c r="I11" s="1821" t="s">
        <v>1383</v>
      </c>
      <c r="J11" s="1175"/>
      <c r="K11" s="745"/>
      <c r="L11" s="358" t="s">
        <v>1407</v>
      </c>
      <c r="M11" s="1053">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8251</v>
      </c>
      <c r="D13" s="1327" t="s">
        <v>1410</v>
      </c>
      <c r="E13" s="1327" t="s">
        <v>1411</v>
      </c>
      <c r="F13" s="1328">
        <f ca="1">INDIRECT("'数据-取费表'!y"&amp;$G$1)</f>
        <v>0.72</v>
      </c>
      <c r="G13" s="1847"/>
      <c r="H13" s="1325">
        <v>2</v>
      </c>
      <c r="I13" s="1326" t="s">
        <v>1409</v>
      </c>
      <c r="J13" s="1286">
        <f ca="1">ROUND(J14*J15,0)</f>
        <v>0</v>
      </c>
      <c r="K13" s="1333" t="s">
        <v>1410</v>
      </c>
      <c r="L13" s="1848"/>
      <c r="M13" s="1849"/>
    </row>
    <row r="14" spans="1:37" ht="18" customHeight="1">
      <c r="A14" s="1198" t="s">
        <v>1031</v>
      </c>
      <c r="B14" s="347" t="s">
        <v>1412</v>
      </c>
      <c r="C14" s="363">
        <f ca="1">INDIRECT("'数据-取费表'!m"&amp;$G$1)+INDIRECT("'数据-取费表'!t"&amp;$G$1)</f>
        <v>8173</v>
      </c>
      <c r="D14" s="1796" t="s">
        <v>1413</v>
      </c>
      <c r="E14" s="1790"/>
      <c r="F14" s="364"/>
      <c r="G14" s="1847"/>
      <c r="H14" s="1198" t="s">
        <v>1032</v>
      </c>
      <c r="I14" s="347" t="s">
        <v>1414</v>
      </c>
      <c r="J14" s="24">
        <f ca="1">C29</f>
        <v>11460</v>
      </c>
      <c r="K14" s="15"/>
      <c r="L14" s="976"/>
      <c r="M14" s="977"/>
    </row>
    <row r="15" spans="1:37" s="1854" customFormat="1" ht="18" customHeight="1" thickBot="1">
      <c r="A15" s="1198" t="s">
        <v>1033</v>
      </c>
      <c r="B15" s="347" t="s">
        <v>1415</v>
      </c>
      <c r="C15" s="24">
        <f ca="1">ROUND(C14*F15,0)</f>
        <v>245</v>
      </c>
      <c r="D15" s="365" t="s">
        <v>1416</v>
      </c>
      <c r="E15" s="365" t="s">
        <v>1417</v>
      </c>
      <c r="F15" s="366">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ROUND(INDIRECT("'数据-取费表'!m"&amp;$G$1)*F16,0)</f>
        <v>0</v>
      </c>
      <c r="D16" s="347" t="s">
        <v>1416</v>
      </c>
      <c r="E16" s="347" t="s">
        <v>1417</v>
      </c>
      <c r="F16" s="367">
        <f ca="1">IF(INDIRECT("'数据-取费表'!c"&amp;$G$1)="住宅",'数据-取费表'!B34,0)</f>
        <v>0</v>
      </c>
      <c r="G16" s="1847"/>
      <c r="H16" s="1325" t="s">
        <v>1027</v>
      </c>
      <c r="I16" s="1326" t="s">
        <v>1419</v>
      </c>
      <c r="J16" s="355">
        <f ca="1">ROUND(J17+J22+J23+J24,0)</f>
        <v>271</v>
      </c>
      <c r="K16" s="1333" t="s">
        <v>1420</v>
      </c>
      <c r="L16" s="1334"/>
      <c r="M16" s="1290"/>
    </row>
    <row r="17" spans="1:37" s="1854" customFormat="1" ht="18" customHeight="1">
      <c r="A17" s="1198" t="s">
        <v>1385</v>
      </c>
      <c r="B17" s="347" t="s">
        <v>1421</v>
      </c>
      <c r="C17" s="24">
        <f ca="1">ROUND(F17*(F43+INDIRECT("'数据-取费表'!S"&amp;$G$1))/10000,0)</f>
        <v>605</v>
      </c>
      <c r="D17" s="347" t="s">
        <v>1422</v>
      </c>
      <c r="E17" s="347" t="s">
        <v>1423</v>
      </c>
      <c r="F17" s="26">
        <f>'数据-取费表'!B35</f>
        <v>200</v>
      </c>
      <c r="G17" s="1850"/>
      <c r="H17" s="1198" t="s">
        <v>1032</v>
      </c>
      <c r="I17" s="347" t="s">
        <v>1424</v>
      </c>
      <c r="J17" s="24">
        <f ca="1">ROUND(IF(项目基本情况!B11="自然人",J6*M17/(1+'数据-取费表'!C42),J18+J19+J20),1)</f>
        <v>98.7</v>
      </c>
      <c r="K17" s="1796" t="s">
        <v>1425</v>
      </c>
      <c r="L17" s="1794"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123</v>
      </c>
      <c r="D18" s="347" t="s">
        <v>1416</v>
      </c>
      <c r="E18" s="347" t="s">
        <v>1417</v>
      </c>
      <c r="F18" s="367">
        <f>'数据-取费表'!B36</f>
        <v>1.4999999999999999E-2</v>
      </c>
      <c r="G18" s="1850"/>
      <c r="H18" s="1198" t="s">
        <v>1031</v>
      </c>
      <c r="I18" s="347" t="s">
        <v>1428</v>
      </c>
      <c r="J18" s="24">
        <f ca="1">ROUND(J6*M18/(1+'数据-取费表'!C42),2)</f>
        <v>0</v>
      </c>
      <c r="K18" s="1794"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9146</v>
      </c>
      <c r="D19" s="140" t="s">
        <v>1431</v>
      </c>
      <c r="E19" s="1814"/>
      <c r="F19" s="26"/>
      <c r="G19" s="1847"/>
      <c r="H19" s="1198" t="s">
        <v>1033</v>
      </c>
      <c r="I19" s="347" t="s">
        <v>1432</v>
      </c>
      <c r="J19" s="24">
        <f ca="1">IF(K19="按租金收入计税",ROUND(J6*M19/(1+'数据-取费表'!C42),2),ROUND(C29*M19*0.7,2))</f>
        <v>96.26</v>
      </c>
      <c r="K19" s="1824" t="s">
        <v>1433</v>
      </c>
      <c r="L19" s="347" t="s">
        <v>1417</v>
      </c>
      <c r="M19" s="367">
        <f>IF(K19="按租金收入计税",'数据-取费表'!B51,'数据-取费表'!B50)</f>
        <v>1.2E-2</v>
      </c>
    </row>
    <row r="20" spans="1:37" s="1854" customFormat="1" ht="18" customHeight="1">
      <c r="A20" s="1198" t="s">
        <v>1036</v>
      </c>
      <c r="B20" s="347" t="s">
        <v>1434</v>
      </c>
      <c r="C20" s="24">
        <f ca="1">ROUND(C19*F20,0)</f>
        <v>137</v>
      </c>
      <c r="D20" s="369" t="s">
        <v>1435</v>
      </c>
      <c r="E20" s="347" t="s">
        <v>1417</v>
      </c>
      <c r="F20" s="367">
        <f>'数据-取费表'!B37</f>
        <v>1.4999999999999999E-2</v>
      </c>
      <c r="G20" s="1850"/>
      <c r="H20" s="1198" t="s">
        <v>1384</v>
      </c>
      <c r="I20" s="164" t="s">
        <v>1436</v>
      </c>
      <c r="J20" s="25">
        <f ca="1">ROUND(M20*M21/10000,2)</f>
        <v>2.46</v>
      </c>
      <c r="K20" s="370" t="s">
        <v>1437</v>
      </c>
      <c r="L20" s="347" t="s">
        <v>1438</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18</v>
      </c>
      <c r="D21" s="369" t="s">
        <v>1440</v>
      </c>
      <c r="E21" s="347" t="s">
        <v>1441</v>
      </c>
      <c r="F21" s="367">
        <f>'数据-取费表'!B38</f>
        <v>1.4999999999999999E-2</v>
      </c>
      <c r="G21" s="1850"/>
      <c r="H21" s="372"/>
      <c r="I21" s="356"/>
      <c r="J21" s="29"/>
      <c r="K21" s="373"/>
      <c r="L21" s="347" t="s">
        <v>1442</v>
      </c>
      <c r="M21" s="348">
        <f ca="1">INDIRECT("'数据-取费表'!r"&amp;$G$1)</f>
        <v>8201.42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1814"/>
      <c r="F22" s="26"/>
      <c r="G22" s="1847"/>
      <c r="H22" s="1198" t="s">
        <v>1036</v>
      </c>
      <c r="I22" s="347" t="s">
        <v>1444</v>
      </c>
      <c r="J22" s="24">
        <f ca="1">ROUND(J14*M22,1)</f>
        <v>171.9</v>
      </c>
      <c r="K22" s="1794" t="s">
        <v>1445</v>
      </c>
      <c r="L22" s="347" t="s">
        <v>1417</v>
      </c>
      <c r="M22" s="374">
        <f ca="1">INDIRECT("'数据-取费表'!Ak"&amp;$G$1)</f>
        <v>1.4999999999999999E-2</v>
      </c>
    </row>
    <row r="23" spans="1:37" s="1854" customFormat="1" ht="18" customHeight="1">
      <c r="A23" s="1198" t="s">
        <v>1031</v>
      </c>
      <c r="B23" s="347" t="s">
        <v>1446</v>
      </c>
      <c r="C23" s="24">
        <f ca="1">IF('数据-取费表'!B22&lt;=1,ROUND(C19*F24*F23/2,0)+ROUND(C20*F24*F23/2,0),ROUND(C19*(POWER((1+F24),F23/2)-1),0)+ROUND(C20*(POWER((1+F24),F23/2)-1),0))</f>
        <v>441</v>
      </c>
      <c r="D23" s="375" t="str">
        <f>IF(F23&lt;=1,"(建造成本+管理费用)×利率×(建设周期÷2)","(建造成本+管理费用)×((1+利率)^(建设周期÷2)-1)")</f>
        <v>(建造成本+管理费用)×((1+利率)^(建设周期÷2)-1)</v>
      </c>
      <c r="E23" s="347" t="s">
        <v>1447</v>
      </c>
      <c r="F23" s="371">
        <f>'数据-取费表'!B20</f>
        <v>2</v>
      </c>
      <c r="G23" s="1850"/>
      <c r="H23" s="1198" t="s">
        <v>1072</v>
      </c>
      <c r="I23" s="347" t="s">
        <v>1448</v>
      </c>
      <c r="J23" s="24">
        <f ca="1">ROUND(J13*M23,1)</f>
        <v>0</v>
      </c>
      <c r="K23" s="1794" t="s">
        <v>1449</v>
      </c>
      <c r="L23" s="347" t="s">
        <v>1450</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0"/>
      <c r="H24" s="1335" t="s">
        <v>1388</v>
      </c>
      <c r="I24" s="1336" t="s">
        <v>1434</v>
      </c>
      <c r="J24" s="1337">
        <f ca="1">ROUND(J5*M24,1)</f>
        <v>0</v>
      </c>
      <c r="K24" s="1338" t="s">
        <v>1454</v>
      </c>
      <c r="L24" s="1336" t="s">
        <v>1450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7" t="s">
        <v>1456</v>
      </c>
      <c r="C25" s="24"/>
      <c r="D25" s="140" t="s">
        <v>1457</v>
      </c>
      <c r="E25" s="1814"/>
      <c r="F25" s="26"/>
      <c r="G25" s="1847"/>
      <c r="H25" s="1325" t="s">
        <v>1028</v>
      </c>
      <c r="I25" s="1340" t="s">
        <v>1458</v>
      </c>
      <c r="J25" s="355">
        <f ca="1">J5-J16</f>
        <v>-271</v>
      </c>
      <c r="K25" s="1341" t="s">
        <v>1459</v>
      </c>
      <c r="L25" s="1342"/>
      <c r="M25" s="1343"/>
    </row>
    <row r="26" spans="1:37">
      <c r="A26" s="1198" t="s">
        <v>1031</v>
      </c>
      <c r="B26" s="347" t="s">
        <v>1460</v>
      </c>
      <c r="C26" s="24">
        <f ca="1">ROUND((C19+C20)*F26,0)</f>
        <v>928</v>
      </c>
      <c r="D26" s="369" t="s">
        <v>1461</v>
      </c>
      <c r="E26" s="358" t="s">
        <v>1462</v>
      </c>
      <c r="F26" s="357">
        <f ca="1">INDIRECT("'数据-取费表'!q"&amp;$G$1)</f>
        <v>0.1</v>
      </c>
      <c r="G26" s="1847"/>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198" t="s">
        <v>1033</v>
      </c>
      <c r="B27" s="347" t="s">
        <v>1466</v>
      </c>
      <c r="C27" s="24">
        <f ca="1">ROUND(F21*F26,4)</f>
        <v>1.5E-3</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11460</v>
      </c>
      <c r="D29" s="1338"/>
      <c r="E29" s="1336"/>
      <c r="F29" s="1339"/>
      <c r="G29" s="1850"/>
      <c r="H29" s="380" t="s">
        <v>1030</v>
      </c>
      <c r="I29" s="381" t="s">
        <v>1474</v>
      </c>
      <c r="J29" s="382">
        <f ca="1">ROUND(J26/(1+F40)^F41,0)</f>
        <v>0</v>
      </c>
      <c r="K29" s="383" t="s">
        <v>1475</v>
      </c>
      <c r="L29" s="384"/>
      <c r="M29" s="385">
        <f ca="1">INDIRECT("'数据-取费表'!k"&amp;$G$1)</f>
        <v>30271.149999999991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1211</v>
      </c>
      <c r="D30" s="1333" t="s">
        <v>1420</v>
      </c>
      <c r="E30" s="1334"/>
      <c r="F30" s="1290"/>
      <c r="G30" s="1847"/>
      <c r="H30" s="742"/>
      <c r="I30" s="743"/>
      <c r="J30" s="744"/>
      <c r="K30" s="745"/>
      <c r="L30" s="746"/>
      <c r="M30" s="747"/>
    </row>
    <row r="31" spans="1:37" ht="18" customHeight="1">
      <c r="A31" s="1198" t="s">
        <v>1032</v>
      </c>
      <c r="B31" s="347" t="s">
        <v>1424</v>
      </c>
      <c r="C31" s="24">
        <f ca="1">ROUND(IF(项目基本情况!B11="自然人",C6*F31/(1+'数据-取费表'!C42),C32+C33+C34),1)</f>
        <v>969.3</v>
      </c>
      <c r="D31" s="1796" t="s">
        <v>1425</v>
      </c>
      <c r="E31" s="1794" t="s">
        <v>1476</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7" t="s">
        <v>1428</v>
      </c>
      <c r="C32" s="24">
        <f ca="1">IF(项目基本情况!B11="自然人","——",ROUND(C6*F32/(1+'数据-取费表'!C42),2))</f>
        <v>307.63</v>
      </c>
      <c r="D32" s="1794" t="s">
        <v>1429</v>
      </c>
      <c r="E32" s="347" t="s">
        <v>1417</v>
      </c>
      <c r="F32" s="377">
        <f>'数据-取费表'!B41</f>
        <v>5.6000000000000001E-2</v>
      </c>
      <c r="G32" s="1847"/>
      <c r="H32" s="742"/>
      <c r="I32" s="743"/>
      <c r="J32" s="744"/>
      <c r="K32" s="745"/>
      <c r="L32" s="746"/>
      <c r="M32" s="747"/>
    </row>
    <row r="33" spans="1:18" ht="18" customHeight="1">
      <c r="A33" s="1198" t="s">
        <v>1033</v>
      </c>
      <c r="B33" s="347" t="s">
        <v>1432</v>
      </c>
      <c r="C33" s="24">
        <f ca="1">IF(项目基本情况!B11="自然人","——",IF(D33="按租金收入计税",ROUND(C6*F33/(1+'数据-取费表'!C42),2),IF(D33="按房产原值计税",ROUND(C29*F33*0.7,2),INDIRECT("'数据-取费表'!Aj"&amp;$G$1))))</f>
        <v>659.2</v>
      </c>
      <c r="D33" s="1824" t="s">
        <v>3109</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IF(项目基本情况!B11="自然人","——",ROUND(F34*F35/10000,2))</f>
        <v>2.46</v>
      </c>
      <c r="D34" s="370" t="s">
        <v>1437</v>
      </c>
      <c r="E34" s="347" t="s">
        <v>1438</v>
      </c>
      <c r="F34" s="371">
        <f>'数据-取费表'!B52</f>
        <v>3</v>
      </c>
      <c r="G34" s="1847"/>
      <c r="H34" s="742"/>
      <c r="I34" s="1856"/>
      <c r="J34" s="1857"/>
      <c r="K34" s="1859"/>
      <c r="L34" s="1860"/>
      <c r="M34" s="1860"/>
    </row>
    <row r="35" spans="1:18" ht="18" customHeight="1">
      <c r="A35" s="1349"/>
      <c r="B35" s="1347"/>
      <c r="C35" s="29"/>
      <c r="D35" s="373"/>
      <c r="E35" s="347" t="s">
        <v>1442</v>
      </c>
      <c r="F35" s="348">
        <f ca="1">INDIRECT("'数据-取费表'!r"&amp;$G$1)</f>
        <v>8201.42</v>
      </c>
      <c r="G35" s="1847"/>
      <c r="H35" s="742"/>
      <c r="I35" s="1856"/>
      <c r="J35" s="1857"/>
      <c r="K35" s="1858"/>
      <c r="L35" s="1855"/>
      <c r="M35" s="1855"/>
    </row>
    <row r="36" spans="1:18" ht="18" customHeight="1">
      <c r="A36" s="1348" t="s">
        <v>1036</v>
      </c>
      <c r="B36" s="347" t="s">
        <v>1444</v>
      </c>
      <c r="C36" s="24">
        <f ca="1">ROUND(C29*F36,1)</f>
        <v>171.9</v>
      </c>
      <c r="D36" s="1794" t="s">
        <v>1477</v>
      </c>
      <c r="E36" s="347" t="s">
        <v>1417</v>
      </c>
      <c r="F36" s="374">
        <f ca="1">INDIRECT("'数据-取费表'!Ak"&amp;$G$1)</f>
        <v>1.4999999999999999E-2</v>
      </c>
      <c r="G36" s="1847"/>
      <c r="H36" s="1855"/>
      <c r="I36" s="1856"/>
      <c r="J36" s="1857"/>
      <c r="K36" s="748"/>
      <c r="L36" s="1855"/>
      <c r="M36" s="1855"/>
    </row>
    <row r="37" spans="1:18" ht="18" customHeight="1">
      <c r="A37" s="1198" t="s">
        <v>1072</v>
      </c>
      <c r="B37" s="347" t="s">
        <v>1448</v>
      </c>
      <c r="C37" s="24">
        <f ca="1">ROUND(C13*F37,1)</f>
        <v>12.4</v>
      </c>
      <c r="D37" s="1794" t="s">
        <v>1449</v>
      </c>
      <c r="E37" s="347" t="s">
        <v>1450</v>
      </c>
      <c r="F37" s="376">
        <f ca="1">INDIRECT("'数据-取费表'!Al"&amp;$G$1)</f>
        <v>1.5E-3</v>
      </c>
      <c r="G37" s="1847"/>
      <c r="H37" s="1855"/>
      <c r="I37" s="1856"/>
      <c r="J37" s="1857"/>
      <c r="K37" s="748"/>
      <c r="L37" s="1855"/>
      <c r="M37" s="1855"/>
    </row>
    <row r="38" spans="1:18" ht="18" customHeight="1" thickBot="1">
      <c r="A38" s="1335" t="s">
        <v>1388</v>
      </c>
      <c r="B38" s="1336" t="s">
        <v>1434</v>
      </c>
      <c r="C38" s="1337">
        <f ca="1">ROUND(C5*F38,1)</f>
        <v>57.8</v>
      </c>
      <c r="D38" s="1338" t="s">
        <v>1454</v>
      </c>
      <c r="E38" s="1336" t="s">
        <v>1450</v>
      </c>
      <c r="F38" s="1332">
        <f ca="1">INDIRECT("'数据-取费表'!Am"&amp;$G$1)</f>
        <v>0.01</v>
      </c>
      <c r="G38" s="1847"/>
      <c r="H38" s="1855"/>
      <c r="I38" s="1856"/>
      <c r="J38" s="1857"/>
      <c r="K38" s="1861"/>
      <c r="L38" s="1855"/>
      <c r="M38" s="1855"/>
    </row>
    <row r="39" spans="1:18" ht="24.6" customHeight="1" thickTop="1">
      <c r="A39" s="1325" t="s">
        <v>1028</v>
      </c>
      <c r="B39" s="1340" t="s">
        <v>1478</v>
      </c>
      <c r="C39" s="355">
        <f ca="1">C5-C30</f>
        <v>4571</v>
      </c>
      <c r="D39" s="1341" t="s">
        <v>1479</v>
      </c>
      <c r="E39" s="1342"/>
      <c r="F39" s="1343"/>
      <c r="G39" s="1847"/>
      <c r="H39" s="1855"/>
      <c r="I39" s="1856"/>
      <c r="J39" s="1857"/>
      <c r="K39" s="1861"/>
      <c r="L39" s="1855"/>
      <c r="M39" s="1855"/>
    </row>
    <row r="40" spans="1:18" ht="18" customHeight="1">
      <c r="A40" s="344" t="s">
        <v>1029</v>
      </c>
      <c r="B40" s="345" t="s">
        <v>1480</v>
      </c>
      <c r="C40" s="346">
        <f ca="1">ROUND(C39*(1-((1+F42)/(1+F40))^F41)/(F40-F42),0)</f>
        <v>77315</v>
      </c>
      <c r="D40" s="370" t="s">
        <v>1464</v>
      </c>
      <c r="E40" s="347" t="s">
        <v>1465</v>
      </c>
      <c r="F40" s="357">
        <f ca="1">INDIRECT("'数据-取费表'!I"&amp;$G$1)</f>
        <v>4.4999999999999998E-2</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22.7</v>
      </c>
      <c r="G41" s="1847"/>
      <c r="H41" s="729"/>
      <c r="I41" s="1856"/>
      <c r="J41" s="1857"/>
      <c r="K41" s="748"/>
      <c r="L41" s="729"/>
      <c r="M41" s="729"/>
    </row>
    <row r="42" spans="1:18" ht="18" customHeight="1">
      <c r="A42" s="353"/>
      <c r="B42" s="354"/>
      <c r="C42" s="355"/>
      <c r="D42" s="373"/>
      <c r="E42" s="347" t="s">
        <v>1472</v>
      </c>
      <c r="F42" s="357">
        <f ca="1">INDIRECT("'数据-取费表'!v"&amp;$G$1)</f>
        <v>0.02</v>
      </c>
      <c r="G42" s="1847"/>
      <c r="H42" s="729"/>
      <c r="I42" s="1856"/>
      <c r="J42" s="1857"/>
      <c r="K42" s="748"/>
      <c r="L42" s="729"/>
      <c r="M42" s="729"/>
    </row>
    <row r="43" spans="1:18" ht="18" customHeight="1" thickBot="1">
      <c r="A43" s="380" t="s">
        <v>1030</v>
      </c>
      <c r="B43" s="381" t="s">
        <v>1482</v>
      </c>
      <c r="C43" s="382">
        <f ca="1">ROUND(C40*10000/F43,0)</f>
        <v>25541</v>
      </c>
      <c r="D43" s="383" t="s">
        <v>1483</v>
      </c>
      <c r="E43" s="384" t="s">
        <v>1484</v>
      </c>
      <c r="F43" s="385">
        <f ca="1">INDIRECT("'数据-取费表'!k"&amp;$G$1)</f>
        <v>30271.149999999991</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5" thickBot="1">
      <c r="A46" s="1866" t="s">
        <v>1515</v>
      </c>
      <c r="C46" s="1867">
        <f ca="1">C68-C40</f>
        <v>-93447</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3" t="s">
        <v>1393</v>
      </c>
      <c r="D47" s="1194" t="s">
        <v>1394</v>
      </c>
      <c r="E47" s="1275" t="s">
        <v>1395</v>
      </c>
      <c r="F47" s="1276"/>
      <c r="G47" s="789"/>
      <c r="I47" s="1876" t="s">
        <v>1521</v>
      </c>
      <c r="J47" s="1877" t="s">
        <v>3093</v>
      </c>
      <c r="K47" s="1878" t="s">
        <v>1522</v>
      </c>
      <c r="L47" s="1879">
        <f ca="1">INDIRECT("'数据-取费表'!d"&amp;$G$1)</f>
        <v>50</v>
      </c>
      <c r="M47" s="1834" t="str">
        <f>IF(ISNUMBER(FIND("住宅",C1)),"住宅","非住宅")</f>
        <v>非住宅</v>
      </c>
      <c r="O47" s="1880" t="s">
        <v>1037</v>
      </c>
      <c r="P47" s="1881" t="s">
        <v>1523</v>
      </c>
      <c r="Q47" s="1882">
        <f ca="1">C40+J29</f>
        <v>77315</v>
      </c>
      <c r="R47" s="1882" t="s">
        <v>1524</v>
      </c>
    </row>
    <row r="48" spans="1:18" s="1838" customFormat="1" ht="28.5" thickBot="1">
      <c r="A48" s="1356" t="s">
        <v>1132</v>
      </c>
      <c r="B48" s="345" t="s">
        <v>1396</v>
      </c>
      <c r="C48" s="1813">
        <f ca="1">C49+C53+C55</f>
        <v>0</v>
      </c>
      <c r="D48" s="1358"/>
      <c r="E48" s="1359"/>
      <c r="F48" s="1178"/>
      <c r="G48" s="789"/>
      <c r="H48" s="790"/>
      <c r="I48" s="1883" t="s">
        <v>1525</v>
      </c>
      <c r="J48" s="1884" t="s">
        <v>3107</v>
      </c>
      <c r="K48" s="1885" t="s">
        <v>1526</v>
      </c>
      <c r="L48" s="1886">
        <f ca="1">INDIRECT("'数据-取费表'!f"&amp;$G$1)</f>
        <v>22.7</v>
      </c>
      <c r="O48" s="1880" t="s">
        <v>1038</v>
      </c>
      <c r="P48" s="1881" t="s">
        <v>1527</v>
      </c>
      <c r="Q48" s="1882" t="str">
        <f ca="1">J60</f>
        <v>0</v>
      </c>
      <c r="R48" s="1882" t="s">
        <v>1528</v>
      </c>
    </row>
    <row r="49" spans="1:18" s="1838" customFormat="1" ht="13.5" thickBot="1">
      <c r="A49" s="1191" t="s">
        <v>1133</v>
      </c>
      <c r="B49" s="1825" t="s">
        <v>1485</v>
      </c>
      <c r="C49" s="1360">
        <f ca="1">ROUND(F49*F51*F50*(1-F52)/10000,0)</f>
        <v>0</v>
      </c>
      <c r="D49" s="1272" t="s">
        <v>3029</v>
      </c>
      <c r="E49" s="1826" t="s">
        <v>1486</v>
      </c>
      <c r="F49" s="1277"/>
      <c r="G49" s="1887"/>
      <c r="H49" s="790"/>
      <c r="I49" s="1883" t="s">
        <v>1529</v>
      </c>
      <c r="J49" s="1888">
        <v>2002</v>
      </c>
      <c r="K49" s="1885" t="s">
        <v>1530</v>
      </c>
      <c r="L49" s="1889"/>
      <c r="O49" s="1890" t="s">
        <v>1039</v>
      </c>
      <c r="P49" s="1881" t="s">
        <v>1531</v>
      </c>
      <c r="Q49" s="1882">
        <f ca="1">C29</f>
        <v>11460</v>
      </c>
      <c r="R49" s="1882" t="s">
        <v>1524</v>
      </c>
    </row>
    <row r="50" spans="1:18" s="1838" customFormat="1" ht="13.5" thickBot="1">
      <c r="A50" s="1192"/>
      <c r="B50" s="1195"/>
      <c r="C50" s="1364"/>
      <c r="D50" s="1169"/>
      <c r="E50" s="1273" t="s">
        <v>1401</v>
      </c>
      <c r="F50" s="1274">
        <f ca="1">F7</f>
        <v>30271.149999999991</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8">
        <f ca="1">F8</f>
        <v>365</v>
      </c>
      <c r="I51" s="1894" t="s">
        <v>1535</v>
      </c>
      <c r="J51" s="1895">
        <f>IF(J49="",J50,J49+J50-YEAR('数据-取费表'!B2))</f>
        <v>43</v>
      </c>
      <c r="K51" s="1896" t="s">
        <v>1536</v>
      </c>
      <c r="L51" s="1897">
        <f ca="1">ROUND(-PV(INDIRECT("'数据-取费表'!h"&amp;$G$1),L48,(C39-C13*C76),0),0)</f>
        <v>57026</v>
      </c>
      <c r="M51" s="1898"/>
      <c r="O51" s="1890" t="s">
        <v>1041</v>
      </c>
      <c r="P51" s="1881" t="s">
        <v>1537</v>
      </c>
      <c r="Q51" s="1893">
        <f>J52</f>
        <v>0.09</v>
      </c>
      <c r="R51" s="1882"/>
    </row>
    <row r="52" spans="1:18" s="1838" customFormat="1" ht="13.5" thickBot="1">
      <c r="A52" s="1193"/>
      <c r="B52" s="1195"/>
      <c r="C52" s="1196"/>
      <c r="D52" s="1169"/>
      <c r="E52" s="1197" t="s">
        <v>1403</v>
      </c>
      <c r="F52" s="1271"/>
      <c r="I52" s="1899" t="s">
        <v>1538</v>
      </c>
      <c r="J52" s="1900">
        <v>0.09</v>
      </c>
      <c r="K52" s="1899" t="s">
        <v>1539</v>
      </c>
      <c r="L52" s="1900"/>
      <c r="O52" s="1890" t="s">
        <v>1042</v>
      </c>
      <c r="P52" s="1881" t="s">
        <v>1540</v>
      </c>
      <c r="Q52" s="1882">
        <f ca="1">J53</f>
        <v>22.7</v>
      </c>
      <c r="R52" s="1882" t="s">
        <v>1541</v>
      </c>
    </row>
    <row r="53" spans="1:18" s="1838" customFormat="1" ht="24.75" thickBot="1">
      <c r="A53" s="1401" t="s">
        <v>1134</v>
      </c>
      <c r="B53" s="1827" t="s">
        <v>1404</v>
      </c>
      <c r="C53" s="361">
        <f ca="1">ROUND(IF(F53="押一",C49/12*F11,IF(F53="押二",C49/12*2*F11,IF(F53="押三",C49/12*3*F11,C54*F11))),0)</f>
        <v>0</v>
      </c>
      <c r="D53" s="1820" t="s">
        <v>3036</v>
      </c>
      <c r="E53" s="358" t="s">
        <v>1405</v>
      </c>
      <c r="F53" s="1362"/>
      <c r="I53" s="1901" t="s">
        <v>1542</v>
      </c>
      <c r="J53" s="2947">
        <f ca="1">IF(M47="住宅",IF(D1="——",MAX(J51,L48),MAX(J51,L48-'数据-取费表'!B24)),IF(D1="——",MIN(J51,L48),MIN(J51,L48-'数据-取费表'!B24)))</f>
        <v>22.7</v>
      </c>
      <c r="K53" s="3166" t="s">
        <v>1543</v>
      </c>
      <c r="L53" s="3167"/>
      <c r="O53" s="1880" t="s">
        <v>1043</v>
      </c>
      <c r="P53" s="1881" t="s">
        <v>1544</v>
      </c>
      <c r="Q53" s="1882">
        <f ca="1">Q47+Q48</f>
        <v>77315</v>
      </c>
      <c r="R53" s="1882" t="s">
        <v>1044</v>
      </c>
    </row>
    <row r="54" spans="1:18" s="1838" customFormat="1" ht="13.5" thickBot="1">
      <c r="A54" s="1402"/>
      <c r="B54" s="1821" t="s">
        <v>1383</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3">
        <v>2</v>
      </c>
      <c r="B56" s="1174" t="s">
        <v>1409</v>
      </c>
      <c r="C56" s="276">
        <f ca="1">C13</f>
        <v>8251</v>
      </c>
      <c r="D56" s="1909"/>
      <c r="E56" s="1910"/>
      <c r="F56" s="1902"/>
      <c r="I56" s="1911" t="s">
        <v>1549</v>
      </c>
      <c r="J56" s="1912" t="s">
        <v>3069</v>
      </c>
      <c r="K56" s="1883" t="s">
        <v>1550</v>
      </c>
      <c r="L56" s="1886" t="str">
        <f ca="1">IF(L48&lt;J51,"——",L48-J53)</f>
        <v>——</v>
      </c>
      <c r="O56" s="1880" t="s">
        <v>1037</v>
      </c>
      <c r="P56" s="1881" t="s">
        <v>1523</v>
      </c>
      <c r="Q56" s="1882">
        <f ca="1">C40+J29</f>
        <v>77315</v>
      </c>
      <c r="R56" s="1882" t="s">
        <v>1524</v>
      </c>
    </row>
    <row r="57" spans="1:18" s="1838" customFormat="1" ht="24.75" thickBot="1">
      <c r="A57" s="1913"/>
      <c r="B57" s="1166" t="s">
        <v>1473</v>
      </c>
      <c r="C57" s="282">
        <f ca="1">C29</f>
        <v>11460</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60" t="s">
        <v>1027</v>
      </c>
      <c r="B58" s="1174" t="s">
        <v>1419</v>
      </c>
      <c r="C58" s="361">
        <f ca="1">ROUND(C59+C64+C65+C66,0)</f>
        <v>1149</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965.1</v>
      </c>
      <c r="D59" s="1179" t="s">
        <v>1425</v>
      </c>
      <c r="E59" s="1180" t="s">
        <v>1426</v>
      </c>
      <c r="F59" s="368"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IF(项目基本情况!B11="自然人","——",IF(D61="按租金收入计税",ROUND(C48*F61,2),IF(D61="按房产原值计税",ROUND(C57*F61*0.7,2),INDIRECT("'数据-取费表'!Aj"&amp;$G$1))))</f>
        <v>962.64</v>
      </c>
      <c r="D61" s="1824" t="s">
        <v>1433</v>
      </c>
      <c r="E61" s="1166" t="s">
        <v>1489</v>
      </c>
      <c r="F61" s="367">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1491</v>
      </c>
      <c r="C62" s="25">
        <f ca="1">IF(项目基本情况!B11="自然人","——",ROUND(F62*F63/10000,2))</f>
        <v>2.46</v>
      </c>
      <c r="D62" s="1181" t="s">
        <v>1492</v>
      </c>
      <c r="E62" s="1166" t="s">
        <v>1493</v>
      </c>
      <c r="F62" s="371">
        <f t="shared" si="0"/>
        <v>3</v>
      </c>
      <c r="I62" s="1924" t="s">
        <v>1565</v>
      </c>
      <c r="J62" s="1925" t="s">
        <v>1566</v>
      </c>
      <c r="K62" s="1925" t="s">
        <v>1567</v>
      </c>
      <c r="L62" s="1925" t="s">
        <v>1568</v>
      </c>
      <c r="M62" s="1926" t="s">
        <v>1569</v>
      </c>
      <c r="O62" s="1880" t="s">
        <v>1043</v>
      </c>
      <c r="P62" s="1881" t="s">
        <v>1570</v>
      </c>
      <c r="Q62" s="1882">
        <f ca="1">Q56+Q57</f>
        <v>77315</v>
      </c>
      <c r="R62" s="1882" t="s">
        <v>1044</v>
      </c>
    </row>
    <row r="63" spans="1:18" s="1838" customFormat="1" ht="13.5" thickBot="1">
      <c r="A63" s="372"/>
      <c r="B63" s="1172"/>
      <c r="C63" s="29"/>
      <c r="D63" s="1182"/>
      <c r="E63" s="1166" t="s">
        <v>1494</v>
      </c>
      <c r="F63" s="348">
        <f t="shared" ca="1" si="0"/>
        <v>8201.42</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f ca="1">ROUND(C57*F64,1)</f>
        <v>171.9</v>
      </c>
      <c r="D64" s="1180" t="s">
        <v>1497</v>
      </c>
      <c r="E64" s="1166" t="s">
        <v>1489</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ROUND(C56*F65,1)</f>
        <v>12.4</v>
      </c>
      <c r="D65" s="1180" t="s">
        <v>1449</v>
      </c>
      <c r="E65" s="1166" t="s">
        <v>1450</v>
      </c>
      <c r="F65" s="376">
        <f t="shared" ca="1" si="0"/>
        <v>1.5E-3</v>
      </c>
      <c r="I65" s="1924" t="s">
        <v>1574</v>
      </c>
      <c r="J65" s="1925">
        <v>40</v>
      </c>
      <c r="K65" s="1925">
        <v>30</v>
      </c>
      <c r="L65" s="1925">
        <v>50</v>
      </c>
      <c r="M65" s="1927">
        <v>0.02</v>
      </c>
      <c r="O65" s="1880" t="s">
        <v>1037</v>
      </c>
      <c r="P65" s="1881" t="s">
        <v>1575</v>
      </c>
      <c r="Q65" s="1882">
        <f ca="1">C40+J29</f>
        <v>77315</v>
      </c>
      <c r="R65" s="1882" t="s">
        <v>1524</v>
      </c>
    </row>
    <row r="66" spans="1:18" s="1838" customFormat="1" ht="16.5" thickBot="1">
      <c r="A66" s="1198" t="s">
        <v>1499</v>
      </c>
      <c r="B66" s="1166" t="s">
        <v>1434</v>
      </c>
      <c r="C66" s="24">
        <f ca="1">ROUND(C48*F66,1)</f>
        <v>0</v>
      </c>
      <c r="D66" s="1180" t="s">
        <v>1500</v>
      </c>
      <c r="E66" s="1166" t="s">
        <v>1417</v>
      </c>
      <c r="F66" s="357">
        <f t="shared" ca="1" si="0"/>
        <v>0.01</v>
      </c>
      <c r="O66" s="1880" t="s">
        <v>1038</v>
      </c>
      <c r="P66" s="1881" t="s">
        <v>1553</v>
      </c>
      <c r="Q66" s="1882">
        <f ca="1">L60</f>
        <v>0</v>
      </c>
      <c r="R66" s="1882" t="s">
        <v>1576</v>
      </c>
    </row>
    <row r="67" spans="1:18" s="1838" customFormat="1" ht="16.5" thickBot="1">
      <c r="A67" s="1173" t="s">
        <v>1028</v>
      </c>
      <c r="B67" s="1183" t="s">
        <v>1458</v>
      </c>
      <c r="C67" s="361">
        <f ca="1">C48-C58</f>
        <v>-1149</v>
      </c>
      <c r="D67" s="1179" t="s">
        <v>1459</v>
      </c>
      <c r="E67" s="1184"/>
      <c r="F67" s="1185"/>
      <c r="O67" s="1890" t="s">
        <v>1039</v>
      </c>
      <c r="P67" s="1881" t="s">
        <v>1557</v>
      </c>
      <c r="Q67" s="1928">
        <f ca="1">L51</f>
        <v>57026</v>
      </c>
      <c r="R67" s="1882" t="s">
        <v>1577</v>
      </c>
    </row>
    <row r="68" spans="1:18" s="1838" customFormat="1" ht="16.5" thickBot="1">
      <c r="A68" s="1163" t="s">
        <v>1029</v>
      </c>
      <c r="B68" s="1164" t="s">
        <v>1480</v>
      </c>
      <c r="C68" s="346">
        <f ca="1">ROUND(C67*(1-((1+F70)/(1+F68))^F69)/(F68-F70),0)</f>
        <v>-16132</v>
      </c>
      <c r="D68" s="1181" t="s">
        <v>1464</v>
      </c>
      <c r="E68" s="1166" t="s">
        <v>1465</v>
      </c>
      <c r="F68" s="357">
        <f ca="1">F40</f>
        <v>4.4999999999999998E-2</v>
      </c>
      <c r="O68" s="1890" t="s">
        <v>1040</v>
      </c>
      <c r="P68" s="1929" t="s">
        <v>1578</v>
      </c>
      <c r="Q68" s="1882">
        <f ca="1">ROUND(Q69-Q70*Q71,0)</f>
        <v>3870</v>
      </c>
      <c r="R68" s="1882" t="s">
        <v>1048</v>
      </c>
    </row>
    <row r="69" spans="1:18" s="1838" customFormat="1" ht="13.5" thickBot="1">
      <c r="A69" s="1167"/>
      <c r="B69" s="1168"/>
      <c r="C69" s="351"/>
      <c r="D69" s="1186" t="s">
        <v>1468</v>
      </c>
      <c r="E69" s="1166" t="s">
        <v>1469</v>
      </c>
      <c r="F69" s="379">
        <f ca="1">F41</f>
        <v>22.7</v>
      </c>
      <c r="O69" s="1890" t="s">
        <v>1045</v>
      </c>
      <c r="P69" s="1929" t="s">
        <v>1579</v>
      </c>
      <c r="Q69" s="1882">
        <f ca="1">C39</f>
        <v>4571</v>
      </c>
      <c r="R69" s="1882" t="s">
        <v>1524</v>
      </c>
    </row>
    <row r="70" spans="1:18" s="1838" customFormat="1" ht="13.5" thickBot="1">
      <c r="A70" s="1170"/>
      <c r="B70" s="1171"/>
      <c r="C70" s="355"/>
      <c r="D70" s="1182"/>
      <c r="E70" s="1166" t="s">
        <v>1472</v>
      </c>
      <c r="F70" s="1271"/>
      <c r="O70" s="1890" t="s">
        <v>1046</v>
      </c>
      <c r="P70" s="1929" t="s">
        <v>1580</v>
      </c>
      <c r="Q70" s="1882">
        <f ca="1">C13</f>
        <v>8251</v>
      </c>
      <c r="R70" s="1882" t="s">
        <v>1524</v>
      </c>
    </row>
    <row r="71" spans="1:18" s="1838" customFormat="1" ht="13.5" thickBot="1">
      <c r="A71" s="1187" t="s">
        <v>1030</v>
      </c>
      <c r="B71" s="1188" t="s">
        <v>1482</v>
      </c>
      <c r="C71" s="382">
        <f ca="1">ROUND(C68*10000/F71,0)</f>
        <v>-5329</v>
      </c>
      <c r="D71" s="1189" t="s">
        <v>1483</v>
      </c>
      <c r="E71" s="1190" t="s">
        <v>1484</v>
      </c>
      <c r="F71" s="385">
        <f ca="1">F43</f>
        <v>30271.149999999991</v>
      </c>
      <c r="O71" s="1890" t="s">
        <v>1047</v>
      </c>
      <c r="P71" s="1929" t="s">
        <v>1581</v>
      </c>
      <c r="Q71" s="1893">
        <f ca="1">C76</f>
        <v>8.5000000000000006E-2</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6" t="s">
        <v>1501</v>
      </c>
      <c r="C75" s="387">
        <f ca="1">ROUND(C13*C76,0)</f>
        <v>701</v>
      </c>
      <c r="D75" s="1838"/>
      <c r="E75" s="1838"/>
      <c r="F75" s="1838"/>
      <c r="K75" s="1864"/>
      <c r="L75" s="1838"/>
      <c r="O75" s="1880" t="s">
        <v>1043</v>
      </c>
      <c r="P75" s="1881" t="s">
        <v>1544</v>
      </c>
      <c r="Q75" s="1882">
        <f ca="1">Q65+Q66</f>
        <v>77315</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0.84699999999999998</v>
      </c>
    </row>
    <row r="80" spans="1:18">
      <c r="B80" s="386" t="s">
        <v>1506</v>
      </c>
      <c r="C80" s="318">
        <f ca="1">ROUND(C75/C39,3)</f>
        <v>0.153</v>
      </c>
    </row>
    <row r="81" spans="2:3">
      <c r="B81" s="314" t="s">
        <v>1507</v>
      </c>
      <c r="C81" s="282"/>
    </row>
    <row r="82" spans="2:3">
      <c r="B82" s="317" t="s">
        <v>1508</v>
      </c>
      <c r="C82" s="319">
        <f ca="1">1-C83</f>
        <v>0.89300000000000002</v>
      </c>
    </row>
    <row r="83" spans="2:3">
      <c r="B83" s="317" t="s">
        <v>1509</v>
      </c>
      <c r="C83" s="318">
        <f ca="1">ROUND(C13/C40,3)</f>
        <v>0.107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79"/>
      <c r="C1" s="1833" t="s">
        <v>27</v>
      </c>
      <c r="D1" s="1816" t="s">
        <v>70</v>
      </c>
      <c r="E1" s="1817" t="s">
        <v>1382</v>
      </c>
      <c r="F1" s="1279">
        <f ca="1">J53</f>
        <v>22.7</v>
      </c>
      <c r="G1" s="1832">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1585</v>
      </c>
      <c r="B2" s="1840">
        <f ca="1">ROUND(D2/10000,0)</f>
        <v>81894</v>
      </c>
      <c r="C2" s="1841" t="s">
        <v>1586</v>
      </c>
      <c r="D2" s="1933">
        <f ca="1">C40+J29+L46</f>
        <v>818935658</v>
      </c>
      <c r="E2" s="1842" t="s">
        <v>1587</v>
      </c>
      <c r="F2" s="1843"/>
      <c r="G2" s="1844"/>
      <c r="H2" s="1836"/>
      <c r="I2" s="1836"/>
      <c r="J2" s="1836"/>
      <c r="K2" s="1837"/>
      <c r="L2" s="1836"/>
      <c r="M2" s="1836"/>
    </row>
    <row r="3" spans="1:37" ht="18" customHeight="1" thickBot="1">
      <c r="A3" s="1845" t="s">
        <v>1588</v>
      </c>
      <c r="B3" s="1846">
        <f ca="1">IF(ISERROR(D2/F43),0,ROUND(D2/F43,0))</f>
        <v>27053</v>
      </c>
      <c r="C3" s="1841" t="s">
        <v>1589</v>
      </c>
      <c r="D3" s="1841"/>
      <c r="E3" s="1842"/>
      <c r="F3" s="1843"/>
      <c r="G3" s="1844"/>
      <c r="H3" s="741" t="s">
        <v>1583</v>
      </c>
      <c r="I3" s="1836"/>
      <c r="J3" s="1836"/>
      <c r="K3" s="1837"/>
      <c r="L3" s="1836"/>
      <c r="M3" s="1836"/>
    </row>
    <row r="4" spans="1:37" ht="18" customHeight="1">
      <c r="A4" s="340" t="s">
        <v>1590</v>
      </c>
      <c r="B4" s="341" t="s">
        <v>1591</v>
      </c>
      <c r="C4" s="341" t="s">
        <v>1592</v>
      </c>
      <c r="D4" s="341" t="s">
        <v>1593</v>
      </c>
      <c r="E4" s="342" t="s">
        <v>1594</v>
      </c>
      <c r="F4" s="343"/>
      <c r="G4" s="1847"/>
      <c r="H4" s="340" t="s">
        <v>1590</v>
      </c>
      <c r="I4" s="341" t="s">
        <v>1591</v>
      </c>
      <c r="J4" s="341" t="s">
        <v>1592</v>
      </c>
      <c r="K4" s="341" t="s">
        <v>1593</v>
      </c>
      <c r="L4" s="342" t="s">
        <v>1594</v>
      </c>
      <c r="M4" s="343"/>
    </row>
    <row r="5" spans="1:37" ht="18" customHeight="1">
      <c r="A5" s="344">
        <v>1</v>
      </c>
      <c r="B5" s="345" t="s">
        <v>1595</v>
      </c>
      <c r="C5" s="1288">
        <f ca="1">C6+C10+C12</f>
        <v>57819811</v>
      </c>
      <c r="D5" s="1818" t="s">
        <v>1596</v>
      </c>
      <c r="E5" s="1289"/>
      <c r="F5" s="1290"/>
      <c r="G5" s="1847"/>
      <c r="H5" s="344">
        <v>1</v>
      </c>
      <c r="I5" s="345" t="s">
        <v>1595</v>
      </c>
      <c r="J5" s="1288">
        <f ca="1">J6+J10+J12</f>
        <v>0</v>
      </c>
      <c r="K5" s="1818" t="s">
        <v>1596</v>
      </c>
      <c r="L5" s="1289"/>
      <c r="M5" s="1290"/>
    </row>
    <row r="6" spans="1:37" ht="18" customHeight="1">
      <c r="A6" s="1287" t="s">
        <v>1032</v>
      </c>
      <c r="B6" s="3168" t="s">
        <v>1398</v>
      </c>
      <c r="C6" s="1292">
        <f ca="1">ROUND(F6*F8*F7*(1-F9),0)</f>
        <v>57675622</v>
      </c>
      <c r="D6" s="164" t="s">
        <v>3025</v>
      </c>
      <c r="E6" s="347" t="s">
        <v>1400</v>
      </c>
      <c r="F6" s="348">
        <f ca="1">INDIRECT("'数据-取费表'!u"&amp;$G$1)</f>
        <v>5.8</v>
      </c>
      <c r="G6" s="1847"/>
      <c r="H6" s="1287" t="s">
        <v>1032</v>
      </c>
      <c r="I6" s="3168" t="s">
        <v>1398</v>
      </c>
      <c r="J6" s="346">
        <f ca="1">ROUND(M6*M8*M7*(1-M9),0)</f>
        <v>0</v>
      </c>
      <c r="K6" s="1830" t="s">
        <v>3026</v>
      </c>
      <c r="L6" s="347" t="s">
        <v>1400</v>
      </c>
      <c r="M6" s="348">
        <f ca="1">INDIRECT("'数据-取费表'!z"&amp;$G$1)</f>
        <v>0</v>
      </c>
    </row>
    <row r="7" spans="1:37" ht="18" customHeight="1">
      <c r="A7" s="1291"/>
      <c r="B7" s="3169"/>
      <c r="C7" s="1293"/>
      <c r="D7" s="352"/>
      <c r="E7" s="1294" t="s">
        <v>1401</v>
      </c>
      <c r="F7" s="348">
        <f ca="1">IF(INDIRECT("'数据-取费表'!ah"&amp;$G$1)="",INDIRECT("'数据-取费表'!k"&amp;$G$1),INDIRECT("'数据-取费表'!ah"&amp;$G$1))</f>
        <v>30271.149999999991</v>
      </c>
      <c r="G7" s="1847"/>
      <c r="H7" s="349"/>
      <c r="I7" s="3169"/>
      <c r="J7" s="351"/>
      <c r="K7" s="352"/>
      <c r="L7" s="347" t="s">
        <v>1401</v>
      </c>
      <c r="M7" s="348">
        <f ca="1">F7</f>
        <v>30271.149999999991</v>
      </c>
    </row>
    <row r="8" spans="1:37" ht="18" customHeight="1">
      <c r="A8" s="349"/>
      <c r="B8" s="3169"/>
      <c r="C8" s="351"/>
      <c r="D8" s="352"/>
      <c r="E8" s="347" t="s">
        <v>1402</v>
      </c>
      <c r="F8" s="348">
        <f ca="1">INDIRECT("'数据-取费表'!ai"&amp;$G$1)</f>
        <v>365</v>
      </c>
      <c r="G8" s="1847"/>
      <c r="H8" s="349"/>
      <c r="I8" s="3169"/>
      <c r="J8" s="351"/>
      <c r="K8" s="352"/>
      <c r="L8" s="347" t="s">
        <v>1402</v>
      </c>
      <c r="M8" s="348">
        <f ca="1">INDIRECT("'数据-取费表'!ai"&amp;$G$1)</f>
        <v>365</v>
      </c>
    </row>
    <row r="9" spans="1:37" ht="18" customHeight="1">
      <c r="A9" s="349"/>
      <c r="B9" s="3170"/>
      <c r="C9" s="351"/>
      <c r="D9" s="352"/>
      <c r="E9" s="347" t="s">
        <v>1403</v>
      </c>
      <c r="F9" s="357">
        <f ca="1">INDIRECT("'数据-取费表'!w"&amp;$G$1)</f>
        <v>0.1</v>
      </c>
      <c r="G9" s="1847"/>
      <c r="H9" s="349"/>
      <c r="I9" s="3170"/>
      <c r="J9" s="351"/>
      <c r="K9" s="352"/>
      <c r="L9" s="358" t="s">
        <v>1403</v>
      </c>
      <c r="M9" s="359">
        <f ca="1">INDIRECT("'数据-取费表'!ab"&amp;$G$1)</f>
        <v>0</v>
      </c>
    </row>
    <row r="10" spans="1:37" ht="18" customHeight="1">
      <c r="A10" s="1287" t="s">
        <v>1036</v>
      </c>
      <c r="B10" s="1819" t="s">
        <v>1404</v>
      </c>
      <c r="C10" s="361">
        <f ca="1">ROUND(IF(F10="押一",C6/12*F11,IF(F10="押二",C6/12*2*F11,IF(F10="押三",C6/12*3*F11,C11*F11))),0)</f>
        <v>144189</v>
      </c>
      <c r="D10" s="1820" t="s">
        <v>3036</v>
      </c>
      <c r="E10" s="358" t="s">
        <v>1405</v>
      </c>
      <c r="F10" s="1362" t="s">
        <v>3108</v>
      </c>
      <c r="G10" s="1847"/>
      <c r="H10" s="1287" t="s">
        <v>1036</v>
      </c>
      <c r="I10" s="1819" t="s">
        <v>1404</v>
      </c>
      <c r="J10" s="346">
        <f ca="1">ROUND(IF(M10="押一",J6/12*M11,IF(M10="押二",J6/12*2*M11,IF(M10="押三",J6/12*3*M11,J11*M11))),0)</f>
        <v>0</v>
      </c>
      <c r="K10" s="1831" t="s">
        <v>3038</v>
      </c>
      <c r="L10" s="358" t="s">
        <v>1405</v>
      </c>
      <c r="M10" s="1362"/>
    </row>
    <row r="11" spans="1:37" ht="18" customHeight="1">
      <c r="A11" s="353"/>
      <c r="B11" s="1821" t="s">
        <v>1597</v>
      </c>
      <c r="C11" s="1175"/>
      <c r="D11" s="352"/>
      <c r="E11" s="358" t="s">
        <v>1407</v>
      </c>
      <c r="F11" s="359">
        <f ca="1">'数据-取费表'!B39</f>
        <v>1.4999999999999999E-2</v>
      </c>
      <c r="G11" s="1847"/>
      <c r="H11" s="1295"/>
      <c r="I11" s="1821" t="s">
        <v>1598</v>
      </c>
      <c r="J11" s="1175"/>
      <c r="K11" s="745"/>
      <c r="L11" s="358" t="s">
        <v>1407</v>
      </c>
      <c r="M11" s="1053">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82518885</v>
      </c>
      <c r="D13" s="1327" t="s">
        <v>1410</v>
      </c>
      <c r="E13" s="1327" t="s">
        <v>1411</v>
      </c>
      <c r="F13" s="1328">
        <f ca="1">INDIRECT("'数据-取费表'!y"&amp;$G$1)</f>
        <v>0.72</v>
      </c>
      <c r="G13" s="1847"/>
      <c r="H13" s="1325">
        <v>2</v>
      </c>
      <c r="I13" s="1326" t="s">
        <v>1409</v>
      </c>
      <c r="J13" s="1286">
        <f ca="1">ROUND(J14*J15,0)</f>
        <v>0</v>
      </c>
      <c r="K13" s="1333" t="s">
        <v>1410</v>
      </c>
      <c r="L13" s="1848"/>
      <c r="M13" s="1849"/>
    </row>
    <row r="14" spans="1:37" ht="18" customHeight="1">
      <c r="A14" s="1198" t="s">
        <v>1031</v>
      </c>
      <c r="B14" s="347" t="s">
        <v>1412</v>
      </c>
      <c r="C14" s="363">
        <f ca="1">ROUND(INDIRECT("'数据-取费表'!l"&amp;$G$1)*F43+'数据-取费表'!L14*INDIRECT("'数据-取费表'!S"&amp;$G$1),0)</f>
        <v>81732105</v>
      </c>
      <c r="D14" s="1796" t="s">
        <v>1413</v>
      </c>
      <c r="E14" s="1790"/>
      <c r="F14" s="364"/>
      <c r="G14" s="1847"/>
      <c r="H14" s="1198" t="s">
        <v>1032</v>
      </c>
      <c r="I14" s="347" t="s">
        <v>1414</v>
      </c>
      <c r="J14" s="24">
        <f ca="1">C29</f>
        <v>114609563</v>
      </c>
      <c r="K14" s="15"/>
      <c r="L14" s="976"/>
      <c r="M14" s="977"/>
    </row>
    <row r="15" spans="1:37" s="1854" customFormat="1" ht="18" customHeight="1" thickBot="1">
      <c r="A15" s="1198" t="s">
        <v>1033</v>
      </c>
      <c r="B15" s="347" t="s">
        <v>1415</v>
      </c>
      <c r="C15" s="24">
        <f ca="1">ROUND(C14*F15,0)</f>
        <v>2451963</v>
      </c>
      <c r="D15" s="365" t="s">
        <v>1416</v>
      </c>
      <c r="E15" s="365" t="s">
        <v>1417</v>
      </c>
      <c r="F15" s="366">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ROUND(INDIRECT("'数据-取费表'!l"&amp;$G$1)*F43*F16,0)</f>
        <v>0</v>
      </c>
      <c r="D16" s="347" t="s">
        <v>1416</v>
      </c>
      <c r="E16" s="347" t="s">
        <v>1417</v>
      </c>
      <c r="F16" s="367">
        <f ca="1">IF(INDIRECT("'数据-取费表'!c"&amp;$G$1)="住宅",'数据-取费表'!B34,0)</f>
        <v>0</v>
      </c>
      <c r="G16" s="1847"/>
      <c r="H16" s="1325" t="s">
        <v>1027</v>
      </c>
      <c r="I16" s="1326" t="s">
        <v>1419</v>
      </c>
      <c r="J16" s="355">
        <f ca="1">ROUND(J17+J22+J23+J24,0)</f>
        <v>2706467</v>
      </c>
      <c r="K16" s="1333" t="s">
        <v>1420</v>
      </c>
      <c r="L16" s="1334"/>
      <c r="M16" s="1290"/>
    </row>
    <row r="17" spans="1:37" s="1854" customFormat="1" ht="18" customHeight="1">
      <c r="A17" s="1198" t="s">
        <v>1385</v>
      </c>
      <c r="B17" s="347" t="s">
        <v>1421</v>
      </c>
      <c r="C17" s="24">
        <f ca="1">ROUND(F17*(F43+INDIRECT("'数据-取费表'!S"&amp;$G$1)),0)</f>
        <v>6054230</v>
      </c>
      <c r="D17" s="347" t="s">
        <v>1422</v>
      </c>
      <c r="E17" s="347" t="s">
        <v>1423</v>
      </c>
      <c r="F17" s="26">
        <f>'数据-取费表'!B35</f>
        <v>200</v>
      </c>
      <c r="G17" s="1850"/>
      <c r="H17" s="1198" t="s">
        <v>1032</v>
      </c>
      <c r="I17" s="347" t="s">
        <v>1424</v>
      </c>
      <c r="J17" s="24">
        <f ca="1">ROUND(IF(项目基本情况!B11="自然人",J6*M17/(1+'数据-取费表'!C42),J18+J19+J20),0)</f>
        <v>987324</v>
      </c>
      <c r="K17" s="1796" t="s">
        <v>1425</v>
      </c>
      <c r="L17" s="1794"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1225982</v>
      </c>
      <c r="D18" s="347" t="s">
        <v>1416</v>
      </c>
      <c r="E18" s="347" t="s">
        <v>1417</v>
      </c>
      <c r="F18" s="367">
        <f>'数据-取费表'!B36</f>
        <v>1.4999999999999999E-2</v>
      </c>
      <c r="G18" s="1850"/>
      <c r="H18" s="1198" t="s">
        <v>1031</v>
      </c>
      <c r="I18" s="347" t="s">
        <v>1428</v>
      </c>
      <c r="J18" s="24">
        <f ca="1">ROUND(J6*M18/(1+'数据-取费表'!C42),0)</f>
        <v>0</v>
      </c>
      <c r="K18" s="1794"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91464280</v>
      </c>
      <c r="D19" s="140" t="s">
        <v>1431</v>
      </c>
      <c r="E19" s="1814"/>
      <c r="F19" s="26"/>
      <c r="G19" s="1847"/>
      <c r="H19" s="1198" t="s">
        <v>1033</v>
      </c>
      <c r="I19" s="347" t="s">
        <v>1432</v>
      </c>
      <c r="J19" s="24">
        <f ca="1">IF(K19="按租金收入计税",ROUND(J6*M19/(1+'数据-取费表'!C42),0),ROUND(C29*M19*0.7,0))</f>
        <v>962720</v>
      </c>
      <c r="K19" s="1824" t="s">
        <v>1433</v>
      </c>
      <c r="L19" s="347" t="s">
        <v>1417</v>
      </c>
      <c r="M19" s="367">
        <f>IF(K19="按租金收入计税",'数据-取费表'!B51,'数据-取费表'!B50)</f>
        <v>1.2E-2</v>
      </c>
    </row>
    <row r="20" spans="1:37" s="1854" customFormat="1" ht="18" customHeight="1">
      <c r="A20" s="1198" t="s">
        <v>1036</v>
      </c>
      <c r="B20" s="347" t="s">
        <v>1434</v>
      </c>
      <c r="C20" s="24">
        <f ca="1">ROUND(C19*F20,0)</f>
        <v>1371964</v>
      </c>
      <c r="D20" s="369" t="s">
        <v>1435</v>
      </c>
      <c r="E20" s="347" t="s">
        <v>1417</v>
      </c>
      <c r="F20" s="367">
        <f>'数据-取费表'!B37</f>
        <v>1.4999999999999999E-2</v>
      </c>
      <c r="G20" s="1850"/>
      <c r="H20" s="1198" t="s">
        <v>1384</v>
      </c>
      <c r="I20" s="164" t="s">
        <v>1436</v>
      </c>
      <c r="J20" s="25">
        <f ca="1">ROUND(M20*M21,0)</f>
        <v>24604</v>
      </c>
      <c r="K20" s="370" t="s">
        <v>1437</v>
      </c>
      <c r="L20" s="347" t="s">
        <v>1438</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v>
      </c>
      <c r="D21" s="369" t="s">
        <v>1440</v>
      </c>
      <c r="E21" s="347" t="s">
        <v>1441</v>
      </c>
      <c r="F21" s="367">
        <f>'数据-取费表'!B38</f>
        <v>1.4999999999999999E-2</v>
      </c>
      <c r="G21" s="1850"/>
      <c r="H21" s="372"/>
      <c r="I21" s="356"/>
      <c r="J21" s="29"/>
      <c r="K21" s="373"/>
      <c r="L21" s="347" t="s">
        <v>1442</v>
      </c>
      <c r="M21" s="348">
        <f ca="1">INDIRECT("'数据-取费表'!r"&amp;$G$1)</f>
        <v>8201.42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1814"/>
      <c r="F22" s="26"/>
      <c r="G22" s="1847"/>
      <c r="H22" s="1198" t="s">
        <v>1036</v>
      </c>
      <c r="I22" s="347" t="s">
        <v>1444</v>
      </c>
      <c r="J22" s="24">
        <f ca="1">ROUND(J14*M22,0)</f>
        <v>1719143</v>
      </c>
      <c r="K22" s="1794" t="s">
        <v>1445</v>
      </c>
      <c r="L22" s="347" t="s">
        <v>1417</v>
      </c>
      <c r="M22" s="374">
        <f ca="1">INDIRECT("'数据-取费表'!Ak"&amp;$G$1)</f>
        <v>1.4999999999999999E-2</v>
      </c>
    </row>
    <row r="23" spans="1:37" s="1854" customFormat="1" ht="18" customHeight="1">
      <c r="A23" s="1198" t="s">
        <v>1031</v>
      </c>
      <c r="B23" s="347" t="s">
        <v>1446</v>
      </c>
      <c r="C23" s="24">
        <f ca="1">IF('数据-取费表'!B22&lt;=1,ROUND(C19*F24*F23/2,0)+ROUND(C20*F24*F23/2,0),ROUND(C19*(POWER((1+F24),F23/2)-1),0)+ROUND(C20*(POWER((1+F24),F23/2)-1),0))</f>
        <v>4409721</v>
      </c>
      <c r="D23" s="375" t="str">
        <f>IF(F23&lt;=1,"(建造成本+管理费用)×利率×(建设周期÷2)","(建造成本+管理费用)×((1+利率)^(建设周期÷2)-1)")</f>
        <v>(建造成本+管理费用)×((1+利率)^(建设周期÷2)-1)</v>
      </c>
      <c r="E23" s="347" t="s">
        <v>1447</v>
      </c>
      <c r="F23" s="371">
        <f>'数据-取费表'!B20</f>
        <v>2</v>
      </c>
      <c r="G23" s="1850"/>
      <c r="H23" s="1198" t="s">
        <v>1072</v>
      </c>
      <c r="I23" s="347" t="s">
        <v>1448</v>
      </c>
      <c r="J23" s="24">
        <f ca="1">ROUND(J13*M23,0)</f>
        <v>0</v>
      </c>
      <c r="K23" s="1794" t="s">
        <v>1449</v>
      </c>
      <c r="L23" s="347" t="s">
        <v>1450</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0"/>
      <c r="H24" s="1335" t="s">
        <v>1388</v>
      </c>
      <c r="I24" s="1336" t="s">
        <v>1434</v>
      </c>
      <c r="J24" s="1337">
        <f ca="1">ROUND(J5*M24,0)</f>
        <v>0</v>
      </c>
      <c r="K24" s="1338" t="s">
        <v>1454</v>
      </c>
      <c r="L24" s="1336" t="s">
        <v>1450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1455</v>
      </c>
      <c r="B25" s="347" t="s">
        <v>1456</v>
      </c>
      <c r="C25" s="24"/>
      <c r="D25" s="140" t="s">
        <v>1457</v>
      </c>
      <c r="E25" s="1814"/>
      <c r="F25" s="26"/>
      <c r="G25" s="1847"/>
      <c r="H25" s="1325" t="s">
        <v>1028</v>
      </c>
      <c r="I25" s="1340" t="s">
        <v>1458</v>
      </c>
      <c r="J25" s="355">
        <f ca="1">J5-J16</f>
        <v>-2706467</v>
      </c>
      <c r="K25" s="1341" t="s">
        <v>1459</v>
      </c>
      <c r="L25" s="1342"/>
      <c r="M25" s="1343"/>
    </row>
    <row r="26" spans="1:37" ht="18" customHeight="1">
      <c r="A26" s="1198" t="s">
        <v>1031</v>
      </c>
      <c r="B26" s="347" t="s">
        <v>1460</v>
      </c>
      <c r="C26" s="24">
        <f ca="1">ROUND((C19+C20)*F26,0)</f>
        <v>9283624</v>
      </c>
      <c r="D26" s="369" t="s">
        <v>1461</v>
      </c>
      <c r="E26" s="358" t="s">
        <v>1462</v>
      </c>
      <c r="F26" s="357">
        <f ca="1">INDIRECT("'数据-取费表'!q"&amp;$G$1)</f>
        <v>0.1</v>
      </c>
      <c r="G26" s="1847"/>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198" t="s">
        <v>1033</v>
      </c>
      <c r="B27" s="347" t="s">
        <v>1466</v>
      </c>
      <c r="C27" s="24">
        <f ca="1">ROUND(F21*F26,4)</f>
        <v>1.5E-3</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114609563</v>
      </c>
      <c r="D29" s="1338"/>
      <c r="E29" s="1336"/>
      <c r="F29" s="1339"/>
      <c r="G29" s="1850"/>
      <c r="H29" s="380" t="s">
        <v>1030</v>
      </c>
      <c r="I29" s="381" t="s">
        <v>1474</v>
      </c>
      <c r="J29" s="382">
        <f ca="1">ROUND(J26/(1+F40)^F41,0)</f>
        <v>0</v>
      </c>
      <c r="K29" s="383" t="s">
        <v>1475</v>
      </c>
      <c r="L29" s="384"/>
      <c r="M29" s="385">
        <f ca="1">INDIRECT("'数据-取费表'!k"&amp;$G$1)</f>
        <v>30271.149999999991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12113256</v>
      </c>
      <c r="D30" s="1333" t="s">
        <v>1420</v>
      </c>
      <c r="E30" s="1334"/>
      <c r="F30" s="1290"/>
      <c r="G30" s="1847"/>
      <c r="H30" s="742"/>
      <c r="I30" s="743"/>
      <c r="J30" s="744"/>
      <c r="K30" s="745"/>
      <c r="L30" s="746"/>
      <c r="M30" s="747"/>
    </row>
    <row r="31" spans="1:37" ht="18" customHeight="1">
      <c r="A31" s="1198" t="s">
        <v>1032</v>
      </c>
      <c r="B31" s="347" t="s">
        <v>1424</v>
      </c>
      <c r="C31" s="24">
        <f ca="1">ROUND(IF(项目基本情况!B11="自然人",C6*F31/(1+'数据-取费表'!C42),C32+C33+C34),0)</f>
        <v>9692137</v>
      </c>
      <c r="D31" s="1796" t="s">
        <v>1425</v>
      </c>
      <c r="E31" s="1794" t="s">
        <v>1476</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7" t="s">
        <v>1428</v>
      </c>
      <c r="C32" s="24">
        <f ca="1">IF(项目基本情况!B11="自然人","——",ROUND(C6*F32/(1+'数据-取费表'!C42),0))</f>
        <v>3076033</v>
      </c>
      <c r="D32" s="1794" t="s">
        <v>1429</v>
      </c>
      <c r="E32" s="347" t="s">
        <v>1417</v>
      </c>
      <c r="F32" s="377">
        <f>'数据-取费表'!B41</f>
        <v>5.6000000000000001E-2</v>
      </c>
      <c r="G32" s="1847"/>
      <c r="H32" s="742"/>
      <c r="I32" s="743"/>
      <c r="J32" s="744"/>
      <c r="K32" s="745"/>
      <c r="L32" s="746"/>
      <c r="M32" s="747"/>
    </row>
    <row r="33" spans="1:18" ht="18" customHeight="1">
      <c r="A33" s="1198" t="s">
        <v>1033</v>
      </c>
      <c r="B33" s="347" t="s">
        <v>1432</v>
      </c>
      <c r="C33" s="24">
        <f ca="1">IF(项目基本情况!B11="自然人","——",IF(D33="按租金收入计税",ROUND(C6*F33/(1+'数据-取费表'!C42),0),IF(D33="按房产原值计税",ROUND(C29*F33*0.7,0),INDIRECT("'数据-取费表'!Aj"&amp;$G$1))))</f>
        <v>6591500</v>
      </c>
      <c r="D33" s="1824" t="s">
        <v>3109</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f>
        <v>24604</v>
      </c>
      <c r="D34" s="370" t="s">
        <v>1437</v>
      </c>
      <c r="E34" s="347" t="s">
        <v>1438</v>
      </c>
      <c r="F34" s="371">
        <f>'数据-取费表'!B52</f>
        <v>3</v>
      </c>
      <c r="G34" s="1847"/>
      <c r="H34" s="742"/>
      <c r="I34" s="1856"/>
      <c r="J34" s="1857"/>
      <c r="K34" s="1859"/>
      <c r="L34" s="1860"/>
      <c r="M34" s="1860"/>
    </row>
    <row r="35" spans="1:18" ht="18" customHeight="1">
      <c r="A35" s="1349"/>
      <c r="B35" s="1347"/>
      <c r="C35" s="29"/>
      <c r="D35" s="373"/>
      <c r="E35" s="347" t="s">
        <v>1442</v>
      </c>
      <c r="F35" s="348">
        <f ca="1">INDIRECT("'数据-取费表'!r"&amp;$G$1)</f>
        <v>8201.42</v>
      </c>
      <c r="G35" s="1847"/>
      <c r="H35" s="742"/>
      <c r="I35" s="1856"/>
      <c r="J35" s="1857"/>
      <c r="K35" s="1858"/>
      <c r="L35" s="1855"/>
      <c r="M35" s="1855"/>
    </row>
    <row r="36" spans="1:18" ht="18" customHeight="1">
      <c r="A36" s="1348" t="s">
        <v>1036</v>
      </c>
      <c r="B36" s="347" t="s">
        <v>1444</v>
      </c>
      <c r="C36" s="24">
        <f ca="1">ROUND(C29*F36,0)</f>
        <v>1719143</v>
      </c>
      <c r="D36" s="1794" t="s">
        <v>1477</v>
      </c>
      <c r="E36" s="347" t="s">
        <v>1417</v>
      </c>
      <c r="F36" s="374">
        <f ca="1">INDIRECT("'数据-取费表'!Ak"&amp;$G$1)</f>
        <v>1.4999999999999999E-2</v>
      </c>
      <c r="G36" s="1847"/>
      <c r="H36" s="1855"/>
      <c r="I36" s="1856"/>
      <c r="J36" s="1857"/>
      <c r="K36" s="748"/>
      <c r="L36" s="1855"/>
      <c r="M36" s="1855"/>
    </row>
    <row r="37" spans="1:18" ht="18" customHeight="1">
      <c r="A37" s="1198" t="s">
        <v>1072</v>
      </c>
      <c r="B37" s="347" t="s">
        <v>1448</v>
      </c>
      <c r="C37" s="24">
        <f ca="1">ROUND(C13*F37,0)</f>
        <v>123778</v>
      </c>
      <c r="D37" s="1794" t="s">
        <v>1449</v>
      </c>
      <c r="E37" s="347" t="s">
        <v>1450</v>
      </c>
      <c r="F37" s="376">
        <f ca="1">INDIRECT("'数据-取费表'!Al"&amp;$G$1)</f>
        <v>1.5E-3</v>
      </c>
      <c r="G37" s="1847"/>
      <c r="H37" s="1855"/>
      <c r="I37" s="1856"/>
      <c r="J37" s="1857"/>
      <c r="K37" s="748"/>
      <c r="L37" s="1855"/>
      <c r="M37" s="1855"/>
    </row>
    <row r="38" spans="1:18" ht="18" customHeight="1" thickBot="1">
      <c r="A38" s="1335" t="s">
        <v>1388</v>
      </c>
      <c r="B38" s="1336" t="s">
        <v>1434</v>
      </c>
      <c r="C38" s="1337">
        <f ca="1">ROUND(C5*F38,1)</f>
        <v>578198.1</v>
      </c>
      <c r="D38" s="1338" t="s">
        <v>1454</v>
      </c>
      <c r="E38" s="1336" t="s">
        <v>1450</v>
      </c>
      <c r="F38" s="1332">
        <f ca="1">INDIRECT("'数据-取费表'!Am"&amp;$G$1)</f>
        <v>0.01</v>
      </c>
      <c r="G38" s="1847"/>
      <c r="H38" s="1855"/>
      <c r="I38" s="1856"/>
      <c r="J38" s="1857"/>
      <c r="K38" s="1861"/>
      <c r="L38" s="1855"/>
      <c r="M38" s="1855"/>
    </row>
    <row r="39" spans="1:18" ht="24.6" customHeight="1" thickTop="1">
      <c r="A39" s="1325" t="s">
        <v>1028</v>
      </c>
      <c r="B39" s="1340" t="s">
        <v>1478</v>
      </c>
      <c r="C39" s="355">
        <f ca="1">C5-C30</f>
        <v>45706555</v>
      </c>
      <c r="D39" s="1341" t="s">
        <v>1479</v>
      </c>
      <c r="E39" s="1342"/>
      <c r="F39" s="1343"/>
      <c r="G39" s="1847"/>
      <c r="H39" s="1855"/>
      <c r="I39" s="1856"/>
      <c r="J39" s="1857"/>
      <c r="K39" s="1861"/>
      <c r="L39" s="1855"/>
      <c r="M39" s="1855"/>
    </row>
    <row r="40" spans="1:18" ht="18" customHeight="1">
      <c r="A40" s="344" t="s">
        <v>1029</v>
      </c>
      <c r="B40" s="345" t="s">
        <v>1480</v>
      </c>
      <c r="C40" s="346">
        <f ca="1">ROUND(C39*(1-((1+F42)/(1+F40))^F41)/(F40-F42),0)</f>
        <v>773091833</v>
      </c>
      <c r="D40" s="370" t="s">
        <v>1464</v>
      </c>
      <c r="E40" s="347" t="s">
        <v>1465</v>
      </c>
      <c r="F40" s="357">
        <f ca="1">INDIRECT("'数据-取费表'!I"&amp;$G$1)</f>
        <v>4.4999999999999998E-2</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22.7</v>
      </c>
      <c r="G41" s="1847"/>
      <c r="H41" s="729"/>
      <c r="I41" s="1856"/>
      <c r="J41" s="1857"/>
      <c r="K41" s="748"/>
      <c r="L41" s="729"/>
      <c r="M41" s="729"/>
    </row>
    <row r="42" spans="1:18" ht="18" customHeight="1">
      <c r="A42" s="353"/>
      <c r="B42" s="354"/>
      <c r="C42" s="355"/>
      <c r="D42" s="373"/>
      <c r="E42" s="347" t="s">
        <v>1472</v>
      </c>
      <c r="F42" s="357">
        <f ca="1">INDIRECT("'数据-取费表'!v"&amp;$G$1)</f>
        <v>0.02</v>
      </c>
      <c r="G42" s="1847"/>
      <c r="H42" s="729"/>
      <c r="I42" s="1856"/>
      <c r="J42" s="1857"/>
      <c r="K42" s="748"/>
      <c r="L42" s="729"/>
      <c r="M42" s="729"/>
    </row>
    <row r="43" spans="1:18" ht="18" customHeight="1" thickBot="1">
      <c r="A43" s="380" t="s">
        <v>1030</v>
      </c>
      <c r="B43" s="381" t="s">
        <v>1482</v>
      </c>
      <c r="C43" s="382">
        <f ca="1">ROUND(C40/F43,0)</f>
        <v>25539</v>
      </c>
      <c r="D43" s="383" t="s">
        <v>1483</v>
      </c>
      <c r="E43" s="384" t="s">
        <v>1484</v>
      </c>
      <c r="F43" s="385">
        <f ca="1">INDIRECT("'数据-取费表'!k"&amp;$G$1)</f>
        <v>30271.149999999991</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f ca="1">C68-C40</f>
        <v>-967516470</v>
      </c>
      <c r="D45" s="1935" t="s">
        <v>1599</v>
      </c>
      <c r="E45" s="1862"/>
      <c r="F45" s="1862"/>
      <c r="O45" s="1865" t="s">
        <v>1514</v>
      </c>
      <c r="P45" s="1835"/>
      <c r="Q45" s="1835"/>
      <c r="R45" s="1835"/>
    </row>
    <row r="46" spans="1:18" s="1838" customFormat="1" ht="13.5" thickBot="1">
      <c r="A46" s="1866" t="s">
        <v>1515</v>
      </c>
      <c r="C46" s="1867">
        <f ca="1">ROUND(C45/10000,0)</f>
        <v>-96752</v>
      </c>
      <c r="D46" s="1868" t="str">
        <f>C2</f>
        <v>万元</v>
      </c>
      <c r="I46" s="1869" t="s">
        <v>1516</v>
      </c>
      <c r="J46" s="1870"/>
      <c r="K46" s="1871"/>
      <c r="L46" s="1872">
        <f ca="1">IF(M47="住宅",0,IF(L48&gt;J51,L60,J60))</f>
        <v>45843825</v>
      </c>
      <c r="O46" s="1873" t="s">
        <v>1517</v>
      </c>
      <c r="P46" s="1874" t="s">
        <v>1518</v>
      </c>
      <c r="Q46" s="1875" t="s">
        <v>1519</v>
      </c>
      <c r="R46" s="1875" t="s">
        <v>1520</v>
      </c>
    </row>
    <row r="47" spans="1:18" s="1838" customFormat="1" ht="13.5" thickBot="1">
      <c r="A47" s="1162" t="s">
        <v>1391</v>
      </c>
      <c r="B47" s="1194" t="s">
        <v>1392</v>
      </c>
      <c r="C47" s="1194" t="s">
        <v>1393</v>
      </c>
      <c r="D47" s="1194" t="s">
        <v>1394</v>
      </c>
      <c r="E47" s="1275" t="s">
        <v>1395</v>
      </c>
      <c r="F47" s="1276"/>
      <c r="G47" s="789"/>
      <c r="I47" s="1876" t="s">
        <v>1521</v>
      </c>
      <c r="J47" s="1877" t="s">
        <v>3093</v>
      </c>
      <c r="K47" s="1878" t="s">
        <v>1522</v>
      </c>
      <c r="L47" s="1879">
        <f ca="1">INDIRECT("'数据-取费表'!d"&amp;$G$1)</f>
        <v>50</v>
      </c>
      <c r="M47" s="1834" t="str">
        <f>IF(ISNUMBER(FIND("住宅",C1)),"住宅","非住宅")</f>
        <v>非住宅</v>
      </c>
      <c r="O47" s="1880" t="s">
        <v>1037</v>
      </c>
      <c r="P47" s="1881" t="s">
        <v>1523</v>
      </c>
      <c r="Q47" s="1882">
        <f ca="1">C40+J29</f>
        <v>773091833</v>
      </c>
      <c r="R47" s="1882" t="s">
        <v>1524</v>
      </c>
    </row>
    <row r="48" spans="1:18" s="1838" customFormat="1" ht="28.5" thickBot="1">
      <c r="A48" s="1356" t="s">
        <v>1132</v>
      </c>
      <c r="B48" s="345" t="s">
        <v>1396</v>
      </c>
      <c r="C48" s="1813">
        <f ca="1">C49+C53+C55</f>
        <v>0</v>
      </c>
      <c r="D48" s="1358"/>
      <c r="E48" s="1359"/>
      <c r="F48" s="1178"/>
      <c r="G48" s="789"/>
      <c r="H48" s="790"/>
      <c r="I48" s="1883" t="s">
        <v>1525</v>
      </c>
      <c r="J48" s="1884" t="s">
        <v>3107</v>
      </c>
      <c r="K48" s="1885" t="s">
        <v>1526</v>
      </c>
      <c r="L48" s="1886">
        <f ca="1">INDIRECT("'数据-取费表'!f"&amp;$G$1)</f>
        <v>22.7</v>
      </c>
      <c r="O48" s="1880" t="s">
        <v>1038</v>
      </c>
      <c r="P48" s="1881" t="s">
        <v>1527</v>
      </c>
      <c r="Q48" s="1882">
        <f ca="1">J60</f>
        <v>45843825</v>
      </c>
      <c r="R48" s="1882" t="s">
        <v>1528</v>
      </c>
    </row>
    <row r="49" spans="1:18" s="1838" customFormat="1" ht="13.5" thickBot="1">
      <c r="A49" s="1191" t="s">
        <v>1133</v>
      </c>
      <c r="B49" s="1825" t="s">
        <v>1485</v>
      </c>
      <c r="C49" s="1360">
        <f ca="1">ROUND(F49*F51*F50*(1-F52),0)</f>
        <v>0</v>
      </c>
      <c r="D49" s="1272" t="s">
        <v>1399</v>
      </c>
      <c r="E49" s="1826" t="s">
        <v>1486</v>
      </c>
      <c r="F49" s="1277"/>
      <c r="G49" s="1887"/>
      <c r="H49" s="790"/>
      <c r="I49" s="1883" t="s">
        <v>1529</v>
      </c>
      <c r="J49" s="1888">
        <v>2002</v>
      </c>
      <c r="K49" s="1885" t="s">
        <v>1530</v>
      </c>
      <c r="L49" s="1889"/>
      <c r="O49" s="1890" t="s">
        <v>1039</v>
      </c>
      <c r="P49" s="1881" t="s">
        <v>1531</v>
      </c>
      <c r="Q49" s="1882">
        <f ca="1">C29</f>
        <v>114609563</v>
      </c>
      <c r="R49" s="1882" t="s">
        <v>1524</v>
      </c>
    </row>
    <row r="50" spans="1:18" s="1838" customFormat="1" ht="13.5" thickBot="1">
      <c r="A50" s="1192"/>
      <c r="B50" s="1195"/>
      <c r="C50" s="1196"/>
      <c r="D50" s="1169"/>
      <c r="E50" s="1273" t="s">
        <v>1401</v>
      </c>
      <c r="F50" s="1274">
        <f ca="1">F7</f>
        <v>30271.149999999991</v>
      </c>
      <c r="H50" s="790"/>
      <c r="I50" s="1883" t="s">
        <v>1532</v>
      </c>
      <c r="J50" s="1891">
        <f>SUMPRODUCT((I63:I65=J47)*(J62:L62=J48)*(J63:L65))</f>
        <v>60</v>
      </c>
      <c r="K50" s="1885" t="s">
        <v>1533</v>
      </c>
      <c r="L50" s="1889"/>
      <c r="M50" s="1892"/>
      <c r="O50" s="1890" t="s">
        <v>1040</v>
      </c>
      <c r="P50" s="1881" t="s">
        <v>1534</v>
      </c>
      <c r="Q50" s="1893">
        <f ca="1">J58</f>
        <v>0.4</v>
      </c>
      <c r="R50" s="1882"/>
    </row>
    <row r="51" spans="1:18" s="1838" customFormat="1" ht="13.5" thickBot="1">
      <c r="A51" s="1193"/>
      <c r="B51" s="1195"/>
      <c r="C51" s="1196"/>
      <c r="D51" s="1169"/>
      <c r="E51" s="1197" t="s">
        <v>1402</v>
      </c>
      <c r="F51" s="348">
        <f ca="1">F8</f>
        <v>365</v>
      </c>
      <c r="I51" s="1894" t="s">
        <v>1535</v>
      </c>
      <c r="J51" s="1895">
        <f>IF(J49="",J50,J49+J50-YEAR('数据-取费表'!B2))</f>
        <v>43</v>
      </c>
      <c r="K51" s="1896" t="s">
        <v>1536</v>
      </c>
      <c r="L51" s="1897">
        <f ca="1">ROUND(-PV(INDIRECT("'数据-取费表'!h"&amp;$G$1),L48,(C39-C13*C76),0),0)</f>
        <v>570202515</v>
      </c>
      <c r="M51" s="1898"/>
      <c r="O51" s="1890" t="s">
        <v>1041</v>
      </c>
      <c r="P51" s="1881" t="s">
        <v>1537</v>
      </c>
      <c r="Q51" s="1893">
        <f>J52</f>
        <v>0</v>
      </c>
      <c r="R51" s="1882"/>
    </row>
    <row r="52" spans="1:18" s="1838" customFormat="1" ht="13.5" thickBot="1">
      <c r="A52" s="1193"/>
      <c r="B52" s="1195"/>
      <c r="C52" s="1196"/>
      <c r="D52" s="1169"/>
      <c r="E52" s="1197" t="s">
        <v>1403</v>
      </c>
      <c r="F52" s="1271"/>
      <c r="I52" s="1899" t="s">
        <v>1538</v>
      </c>
      <c r="J52" s="1900"/>
      <c r="K52" s="1899" t="s">
        <v>1539</v>
      </c>
      <c r="L52" s="1900"/>
      <c r="O52" s="1890" t="s">
        <v>1042</v>
      </c>
      <c r="P52" s="1881" t="s">
        <v>1540</v>
      </c>
      <c r="Q52" s="1882">
        <f ca="1">J53</f>
        <v>22.7</v>
      </c>
      <c r="R52" s="1882" t="s">
        <v>1541</v>
      </c>
    </row>
    <row r="53" spans="1:18" s="1838" customFormat="1" ht="30.75" customHeight="1" thickBot="1">
      <c r="A53" s="1357" t="s">
        <v>1134</v>
      </c>
      <c r="B53" s="369" t="s">
        <v>1404</v>
      </c>
      <c r="C53" s="361">
        <f ca="1">ROUND(IF(F53="押一",C49/12*F11,IF(F53="押二",C49/12*2*F11,IF(F53="押三",C49/12*3*F11,C54*F11))),0)</f>
        <v>0</v>
      </c>
      <c r="D53" s="1820" t="s">
        <v>3039</v>
      </c>
      <c r="E53" s="358" t="s">
        <v>1405</v>
      </c>
      <c r="F53" s="1362"/>
      <c r="I53" s="1901" t="s">
        <v>1542</v>
      </c>
      <c r="J53" s="2947">
        <f ca="1">IF(M47="住宅",IF(D1="——",MAX(J51,L48),MAX(J51,L48-'数据-取费表'!B24)),IF(D1="——",MIN(J51,L48),MIN(J51,L48-'数据-取费表'!B24)))</f>
        <v>22.7</v>
      </c>
      <c r="K53" s="3166" t="s">
        <v>1543</v>
      </c>
      <c r="L53" s="3167"/>
      <c r="O53" s="1880" t="s">
        <v>1043</v>
      </c>
      <c r="P53" s="1881" t="s">
        <v>1544</v>
      </c>
      <c r="Q53" s="1882">
        <f ca="1">Q47+Q48</f>
        <v>818935658</v>
      </c>
      <c r="R53" s="1882" t="s">
        <v>1044</v>
      </c>
    </row>
    <row r="54" spans="1:18" s="1838" customFormat="1" ht="13.5" thickBot="1">
      <c r="A54" s="1191"/>
      <c r="B54" s="1936" t="s">
        <v>1598</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f ca="1">ROUND(IF(J47="钢混",J57/J50,1-(1-2%)*(J50-J57)/J50),3)</f>
        <v>0.33800000000000002</v>
      </c>
      <c r="K55" s="1907" t="s">
        <v>1547</v>
      </c>
      <c r="L55" s="1908"/>
      <c r="O55" s="1873" t="s">
        <v>1517</v>
      </c>
      <c r="P55" s="1874" t="s">
        <v>1518</v>
      </c>
      <c r="Q55" s="1875" t="s">
        <v>1519</v>
      </c>
      <c r="R55" s="1875" t="s">
        <v>1520</v>
      </c>
    </row>
    <row r="56" spans="1:18" s="1838" customFormat="1" ht="36" customHeight="1" thickTop="1" thickBot="1">
      <c r="A56" s="1173">
        <v>2</v>
      </c>
      <c r="B56" s="1174" t="s">
        <v>1409</v>
      </c>
      <c r="C56" s="276">
        <f ca="1">C13</f>
        <v>82518885</v>
      </c>
      <c r="D56" s="1909"/>
      <c r="E56" s="1910"/>
      <c r="F56" s="1902"/>
      <c r="I56" s="1911" t="s">
        <v>1549</v>
      </c>
      <c r="J56" s="1912"/>
      <c r="K56" s="1883" t="s">
        <v>1550</v>
      </c>
      <c r="L56" s="1886" t="str">
        <f ca="1">IF(L48&lt;J51,"——",L48-J51)</f>
        <v>——</v>
      </c>
      <c r="O56" s="1880" t="s">
        <v>1037</v>
      </c>
      <c r="P56" s="1881" t="s">
        <v>1523</v>
      </c>
      <c r="Q56" s="1882">
        <f ca="1">C40+J29</f>
        <v>773091833</v>
      </c>
      <c r="R56" s="1882" t="s">
        <v>1524</v>
      </c>
    </row>
    <row r="57" spans="1:18" s="1838" customFormat="1" ht="24.75" thickBot="1">
      <c r="A57" s="1913"/>
      <c r="B57" s="1166" t="s">
        <v>1473</v>
      </c>
      <c r="C57" s="282">
        <f ca="1">C29</f>
        <v>114609563</v>
      </c>
      <c r="D57" s="1914"/>
      <c r="E57" s="1915"/>
      <c r="F57" s="1916"/>
      <c r="I57" s="1917" t="s">
        <v>1551</v>
      </c>
      <c r="J57" s="1918">
        <f ca="1">IF(OR(M47="住宅",J51&lt;L48,J56="是"),"——",J51-L48)</f>
        <v>20.3</v>
      </c>
      <c r="K57" s="1883" t="s">
        <v>1600</v>
      </c>
      <c r="L57" s="1886" t="str">
        <f ca="1">IF(L48&lt;J51,"——",IF(L55="比较法",L49,IF(L55="基准地价",L50,L51)))</f>
        <v>——</v>
      </c>
      <c r="O57" s="1880" t="s">
        <v>1038</v>
      </c>
      <c r="P57" s="1881" t="s">
        <v>1601</v>
      </c>
      <c r="Q57" s="1882">
        <f ca="1">L60</f>
        <v>0</v>
      </c>
      <c r="R57" s="1882" t="s">
        <v>1602</v>
      </c>
    </row>
    <row r="58" spans="1:18" s="1838" customFormat="1" ht="24.75" thickBot="1">
      <c r="A58" s="360" t="s">
        <v>1027</v>
      </c>
      <c r="B58" s="1174" t="s">
        <v>1419</v>
      </c>
      <c r="C58" s="361">
        <f ca="1">ROUND(C59+C64+C65+C66,0)</f>
        <v>11494728</v>
      </c>
      <c r="D58" s="1176" t="s">
        <v>1420</v>
      </c>
      <c r="E58" s="1177"/>
      <c r="F58" s="1178"/>
      <c r="I58" s="1917" t="s">
        <v>1555</v>
      </c>
      <c r="J58" s="1919">
        <f ca="1">IF(J55&lt;0.4,0.4,J55)</f>
        <v>0.4</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ROUND(IF(项目基本情况!B11="自然人",C48*F59,C60+C61+C62),0)</f>
        <v>9651807</v>
      </c>
      <c r="D59" s="1179" t="s">
        <v>1425</v>
      </c>
      <c r="E59" s="1180" t="s">
        <v>1426</v>
      </c>
      <c r="F59" s="368" t="str">
        <f ca="1">IF(项目基本情况!B11="企业","",IF(INDIRECT("'数据-取费表'!c"&amp;$G$1)="住宅",5%,IF(F49*F50*F51/12/(1+'数据-取费表'!C42)&gt;20000,12%,7%)))</f>
        <v/>
      </c>
      <c r="I59" s="1917" t="s">
        <v>1558</v>
      </c>
      <c r="J59" s="1918">
        <f ca="1">IF(OR(M47="住宅",J51&lt;L48,J56="是"),"——",ROUND(C29*J58,0))</f>
        <v>45843825</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IF(项目基本情况!B11="自然人","——",ROUND(C48*F60/(1+'数据-取费表'!C42),0))</f>
        <v>0</v>
      </c>
      <c r="D60" s="1180" t="s">
        <v>1429</v>
      </c>
      <c r="E60" s="1166" t="s">
        <v>1417</v>
      </c>
      <c r="F60" s="377">
        <f t="shared" ref="F60:F66" si="0">F32</f>
        <v>5.6000000000000001E-2</v>
      </c>
      <c r="I60" s="1920" t="s">
        <v>1560</v>
      </c>
      <c r="J60" s="1921">
        <f ca="1">IF(OR(M47="住宅",J51&lt;L48,J56="是"),"0",ROUND(J59/(1+J52)^J53,0))</f>
        <v>45843825</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IF(项目基本情况!B11="自然人","——",IF(D61="按租金收入计税",ROUND(C48*F61,0),IF(D61="按房产原值计税",ROUND(C57*F61*0.7,0),INDIRECT("'数据-取费表'!Aj"&amp;$G$1))))</f>
        <v>9627203</v>
      </c>
      <c r="D61" s="1824" t="s">
        <v>1433</v>
      </c>
      <c r="E61" s="1166" t="s">
        <v>1489</v>
      </c>
      <c r="F61" s="367">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1491</v>
      </c>
      <c r="C62" s="25">
        <f ca="1">IF(项目基本情况!B11="自然人","——",ROUND(F62*F63,0))</f>
        <v>24604</v>
      </c>
      <c r="D62" s="1181" t="s">
        <v>1492</v>
      </c>
      <c r="E62" s="1166" t="s">
        <v>1493</v>
      </c>
      <c r="F62" s="371">
        <f t="shared" si="0"/>
        <v>3</v>
      </c>
      <c r="I62" s="1924" t="s">
        <v>1565</v>
      </c>
      <c r="J62" s="1925" t="s">
        <v>1566</v>
      </c>
      <c r="K62" s="1925" t="s">
        <v>1567</v>
      </c>
      <c r="L62" s="1925" t="s">
        <v>1568</v>
      </c>
      <c r="M62" s="1926" t="s">
        <v>1569</v>
      </c>
      <c r="O62" s="1880" t="s">
        <v>1043</v>
      </c>
      <c r="P62" s="1881" t="s">
        <v>1570</v>
      </c>
      <c r="Q62" s="1882">
        <f ca="1">Q56+Q57</f>
        <v>773091833</v>
      </c>
      <c r="R62" s="1882" t="s">
        <v>1044</v>
      </c>
    </row>
    <row r="63" spans="1:18" s="1838" customFormat="1" ht="13.5" thickBot="1">
      <c r="A63" s="372"/>
      <c r="B63" s="1172"/>
      <c r="C63" s="29"/>
      <c r="D63" s="1182"/>
      <c r="E63" s="1166" t="s">
        <v>1494</v>
      </c>
      <c r="F63" s="348">
        <f t="shared" ca="1" si="0"/>
        <v>8201.42</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f ca="1">ROUND(C57*F64,0)</f>
        <v>1719143</v>
      </c>
      <c r="D64" s="1180" t="s">
        <v>1497</v>
      </c>
      <c r="E64" s="1166" t="s">
        <v>1489</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ROUND(C56*F65,0)</f>
        <v>123778</v>
      </c>
      <c r="D65" s="1180" t="s">
        <v>1449</v>
      </c>
      <c r="E65" s="1166" t="s">
        <v>1450</v>
      </c>
      <c r="F65" s="376">
        <f t="shared" ca="1" si="0"/>
        <v>1.5E-3</v>
      </c>
      <c r="I65" s="1924" t="s">
        <v>1574</v>
      </c>
      <c r="J65" s="1925">
        <v>40</v>
      </c>
      <c r="K65" s="1925">
        <v>30</v>
      </c>
      <c r="L65" s="1925">
        <v>50</v>
      </c>
      <c r="M65" s="1927">
        <v>0.02</v>
      </c>
      <c r="O65" s="1880" t="s">
        <v>1037</v>
      </c>
      <c r="P65" s="1881" t="s">
        <v>1575</v>
      </c>
      <c r="Q65" s="1882">
        <f ca="1">C40+J29</f>
        <v>773091833</v>
      </c>
      <c r="R65" s="1882" t="s">
        <v>1524</v>
      </c>
    </row>
    <row r="66" spans="1:18" s="1838" customFormat="1" ht="16.5" thickBot="1">
      <c r="A66" s="1198" t="s">
        <v>1499</v>
      </c>
      <c r="B66" s="1166" t="s">
        <v>1434</v>
      </c>
      <c r="C66" s="24">
        <f ca="1">ROUND(C48*F66,0)</f>
        <v>0</v>
      </c>
      <c r="D66" s="1180" t="s">
        <v>1500</v>
      </c>
      <c r="E66" s="1166" t="s">
        <v>1417</v>
      </c>
      <c r="F66" s="357">
        <f t="shared" ca="1" si="0"/>
        <v>0.01</v>
      </c>
      <c r="O66" s="1880" t="s">
        <v>1038</v>
      </c>
      <c r="P66" s="1881" t="s">
        <v>1553</v>
      </c>
      <c r="Q66" s="1882">
        <f ca="1">L60</f>
        <v>0</v>
      </c>
      <c r="R66" s="1882" t="s">
        <v>1576</v>
      </c>
    </row>
    <row r="67" spans="1:18" s="1838" customFormat="1" ht="16.5" thickBot="1">
      <c r="A67" s="1173" t="s">
        <v>1028</v>
      </c>
      <c r="B67" s="1183" t="s">
        <v>1458</v>
      </c>
      <c r="C67" s="361">
        <f ca="1">C48-C58</f>
        <v>-11494728</v>
      </c>
      <c r="D67" s="1179" t="s">
        <v>1459</v>
      </c>
      <c r="E67" s="1184"/>
      <c r="F67" s="1185"/>
      <c r="O67" s="1890" t="s">
        <v>1039</v>
      </c>
      <c r="P67" s="1881" t="s">
        <v>1557</v>
      </c>
      <c r="Q67" s="1928">
        <f ca="1">L51</f>
        <v>570202515</v>
      </c>
      <c r="R67" s="1882" t="s">
        <v>1577</v>
      </c>
    </row>
    <row r="68" spans="1:18" s="1838" customFormat="1" ht="16.5" thickBot="1">
      <c r="A68" s="1163" t="s">
        <v>1029</v>
      </c>
      <c r="B68" s="1164" t="s">
        <v>1480</v>
      </c>
      <c r="C68" s="346">
        <f ca="1">ROUND(C67*(1-((1+F70)/(1+F68))^F69)/(F68-F70),0)</f>
        <v>-194424637</v>
      </c>
      <c r="D68" s="1181" t="s">
        <v>1464</v>
      </c>
      <c r="E68" s="1166" t="s">
        <v>1465</v>
      </c>
      <c r="F68" s="357">
        <f ca="1">F40</f>
        <v>4.4999999999999998E-2</v>
      </c>
      <c r="O68" s="1890" t="s">
        <v>1040</v>
      </c>
      <c r="P68" s="1929" t="s">
        <v>1578</v>
      </c>
      <c r="Q68" s="1882">
        <f ca="1">ROUND(Q69-Q70*Q71,0)</f>
        <v>38692450</v>
      </c>
      <c r="R68" s="1882" t="s">
        <v>1048</v>
      </c>
    </row>
    <row r="69" spans="1:18" s="1838" customFormat="1" ht="13.5" thickBot="1">
      <c r="A69" s="1167"/>
      <c r="B69" s="1168"/>
      <c r="C69" s="351"/>
      <c r="D69" s="1186" t="s">
        <v>1468</v>
      </c>
      <c r="E69" s="1166" t="s">
        <v>1469</v>
      </c>
      <c r="F69" s="379">
        <f ca="1">F41</f>
        <v>22.7</v>
      </c>
      <c r="O69" s="1890" t="s">
        <v>1045</v>
      </c>
      <c r="P69" s="1929" t="s">
        <v>1579</v>
      </c>
      <c r="Q69" s="1882">
        <f ca="1">C39</f>
        <v>45706555</v>
      </c>
      <c r="R69" s="1882" t="s">
        <v>1524</v>
      </c>
    </row>
    <row r="70" spans="1:18" s="1838" customFormat="1" ht="13.5" thickBot="1">
      <c r="A70" s="1170"/>
      <c r="B70" s="1171"/>
      <c r="C70" s="355"/>
      <c r="D70" s="1182"/>
      <c r="E70" s="1166" t="s">
        <v>1472</v>
      </c>
      <c r="F70" s="1271">
        <f ca="1">F42</f>
        <v>0.02</v>
      </c>
      <c r="O70" s="1890" t="s">
        <v>1046</v>
      </c>
      <c r="P70" s="1929" t="s">
        <v>1580</v>
      </c>
      <c r="Q70" s="1882">
        <f ca="1">C13</f>
        <v>82518885</v>
      </c>
      <c r="R70" s="1882" t="s">
        <v>1524</v>
      </c>
    </row>
    <row r="71" spans="1:18" s="1838" customFormat="1" ht="13.5" thickBot="1">
      <c r="A71" s="1187" t="s">
        <v>1030</v>
      </c>
      <c r="B71" s="1188" t="s">
        <v>1482</v>
      </c>
      <c r="C71" s="382">
        <f ca="1">ROUND(C68/F71,0)</f>
        <v>-6423</v>
      </c>
      <c r="D71" s="1189" t="s">
        <v>1483</v>
      </c>
      <c r="E71" s="1190" t="s">
        <v>1484</v>
      </c>
      <c r="F71" s="385">
        <f ca="1">F43</f>
        <v>30271.149999999991</v>
      </c>
      <c r="O71" s="1890" t="s">
        <v>1047</v>
      </c>
      <c r="P71" s="1929" t="s">
        <v>1581</v>
      </c>
      <c r="Q71" s="1893">
        <f ca="1">C76</f>
        <v>8.5000000000000006E-2</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6" t="s">
        <v>1501</v>
      </c>
      <c r="C75" s="387">
        <f ca="1">ROUND(C13*C76,0)</f>
        <v>7014105</v>
      </c>
      <c r="D75" s="1838"/>
      <c r="E75" s="1838"/>
      <c r="F75" s="1838"/>
      <c r="K75" s="1864"/>
      <c r="L75" s="1838"/>
      <c r="O75" s="1880" t="s">
        <v>1043</v>
      </c>
      <c r="P75" s="1881" t="s">
        <v>1544</v>
      </c>
      <c r="Q75" s="1882">
        <f ca="1">Q65+Q66</f>
        <v>773091833</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0.84699999999999998</v>
      </c>
    </row>
    <row r="80" spans="1:18">
      <c r="B80" s="386" t="s">
        <v>1506</v>
      </c>
      <c r="C80" s="318">
        <f ca="1">ROUND(C75/C39,3)</f>
        <v>0.153</v>
      </c>
    </row>
    <row r="81" spans="2:3">
      <c r="B81" s="314" t="s">
        <v>1507</v>
      </c>
      <c r="C81" s="282"/>
    </row>
    <row r="82" spans="2:3">
      <c r="B82" s="317" t="s">
        <v>1508</v>
      </c>
      <c r="C82" s="319">
        <f ca="1">1-C83</f>
        <v>0.89300000000000002</v>
      </c>
    </row>
    <row r="83" spans="2:3">
      <c r="B83" s="317" t="s">
        <v>1509</v>
      </c>
      <c r="C83" s="318">
        <f ca="1">ROUND(C13/C40,3)</f>
        <v>0.107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2525</v>
      </c>
      <c r="B1" s="2559"/>
      <c r="C1" s="2559"/>
      <c r="D1" s="2559"/>
      <c r="E1" s="2560"/>
    </row>
    <row r="2" spans="1:6" ht="15.75">
      <c r="A2" s="2561" t="s">
        <v>2326</v>
      </c>
      <c r="B2" s="2562">
        <f ca="1">SUMIF(B6:B13,"&lt;&gt;#ref!",B6:B13)</f>
        <v>78213</v>
      </c>
      <c r="C2" s="2563" t="s">
        <v>2518</v>
      </c>
      <c r="D2" s="2564" t="s">
        <v>2519</v>
      </c>
      <c r="E2" s="2565">
        <f>SUM(E6:E13)</f>
        <v>32523.979999999989</v>
      </c>
    </row>
    <row r="3" spans="1:6" ht="15.75">
      <c r="A3" s="2561" t="s">
        <v>1390</v>
      </c>
      <c r="B3" s="2562">
        <f ca="1">ROUND(B2*10000/E2,0)</f>
        <v>24048</v>
      </c>
      <c r="C3" s="2563" t="s">
        <v>2526</v>
      </c>
      <c r="D3" s="2566"/>
      <c r="E3" s="2567"/>
    </row>
    <row r="4" spans="1:6" ht="15.75">
      <c r="A4" s="2568"/>
      <c r="B4" s="2566"/>
      <c r="C4" s="2566"/>
      <c r="D4" s="2566"/>
      <c r="E4" s="2567"/>
    </row>
    <row r="5" spans="1:6" ht="15">
      <c r="A5" s="2569" t="s">
        <v>2520</v>
      </c>
      <c r="B5" s="3171" t="s">
        <v>2521</v>
      </c>
      <c r="C5" s="3171"/>
      <c r="D5" s="2570"/>
      <c r="E5" s="2571" t="s">
        <v>2522</v>
      </c>
      <c r="F5" s="2572" t="s">
        <v>2523</v>
      </c>
    </row>
    <row r="6" spans="1:6">
      <c r="A6" s="2573" t="str">
        <f>'数据-取费表'!AN6</f>
        <v>收益法-办公</v>
      </c>
      <c r="B6" s="2572">
        <f ca="1">IF(F6="是",'数据-取费表'!AO6,0)</f>
        <v>77315</v>
      </c>
      <c r="C6" s="2563" t="s">
        <v>2518</v>
      </c>
      <c r="D6" s="2566"/>
      <c r="E6" s="2574">
        <f>IF(OR(A6=0,F6="否"),0,'数据-取费表'!K6+'数据-取费表'!S6)</f>
        <v>30271.149999999991</v>
      </c>
      <c r="F6" s="2575" t="s">
        <v>2524</v>
      </c>
    </row>
    <row r="7" spans="1:6">
      <c r="A7" s="2573">
        <f>'数据-取费表'!AN7</f>
        <v>0</v>
      </c>
      <c r="B7" s="2572" t="e">
        <f ca="1">IF(F7="是",'数据-取费表'!AO7,0)</f>
        <v>#REF!</v>
      </c>
      <c r="C7" s="2563" t="s">
        <v>2518</v>
      </c>
      <c r="D7" s="2566"/>
      <c r="E7" s="2574">
        <f>IF(OR(A7=0,F7="否"),0,'数据-取费表'!K7+'数据-取费表'!S7)</f>
        <v>0</v>
      </c>
      <c r="F7" s="2575" t="s">
        <v>2524</v>
      </c>
    </row>
    <row r="8" spans="1:6">
      <c r="A8" s="2573" t="str">
        <f>'数据-取费表'!AN8</f>
        <v>收益法-车库（元）</v>
      </c>
      <c r="B8" s="2572">
        <f ca="1">IF(F8="是",'数据-取费表'!AO8,0)</f>
        <v>898</v>
      </c>
      <c r="C8" s="2563" t="s">
        <v>2518</v>
      </c>
      <c r="D8" s="2566"/>
      <c r="E8" s="2574">
        <f>IF(OR(A8=0,F8="否"),0,'数据-取费表'!K8+'数据-取费表'!S8)</f>
        <v>2252.83</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1073</v>
      </c>
      <c r="B1" s="3189"/>
      <c r="C1" s="3190"/>
      <c r="D1" s="3191">
        <f>SUM(I10,I15,I20,I21,I23)</f>
        <v>0</v>
      </c>
      <c r="E1" s="3191"/>
      <c r="F1" s="3191"/>
      <c r="G1" s="3191"/>
      <c r="H1" s="3191"/>
      <c r="I1" s="3192"/>
    </row>
    <row r="2" spans="1:9">
      <c r="A2" s="3178" t="s">
        <v>1074</v>
      </c>
      <c r="B2" s="3179" t="s">
        <v>1075</v>
      </c>
      <c r="C2" s="3179"/>
      <c r="D2" s="1297" t="s">
        <v>1076</v>
      </c>
      <c r="E2" s="1297" t="s">
        <v>1077</v>
      </c>
      <c r="F2" s="1297" t="s">
        <v>1078</v>
      </c>
      <c r="G2" s="1297" t="s">
        <v>1079</v>
      </c>
      <c r="H2" s="1297" t="s">
        <v>1080</v>
      </c>
      <c r="I2" s="1298" t="s">
        <v>1081</v>
      </c>
    </row>
    <row r="3" spans="1:9">
      <c r="A3" s="3178"/>
      <c r="B3" s="3179" t="s">
        <v>1082</v>
      </c>
      <c r="C3" s="3179"/>
      <c r="D3" s="1299"/>
      <c r="E3" s="1297"/>
      <c r="F3" s="1300"/>
      <c r="G3" s="1300"/>
      <c r="H3" s="1301"/>
      <c r="I3" s="1302">
        <f>ROUND(D3*E3*F3*G3*H3/10000,0)</f>
        <v>0</v>
      </c>
    </row>
    <row r="4" spans="1:9">
      <c r="A4" s="3178"/>
      <c r="B4" s="3179" t="s">
        <v>1083</v>
      </c>
      <c r="C4" s="3179"/>
      <c r="D4" s="1299"/>
      <c r="E4" s="1297"/>
      <c r="F4" s="1300"/>
      <c r="G4" s="1300"/>
      <c r="H4" s="1301"/>
      <c r="I4" s="1302">
        <f t="shared" ref="I4:I9" si="0">ROUND(D4*E4*F4*G4*H4/10000,0)</f>
        <v>0</v>
      </c>
    </row>
    <row r="5" spans="1:9">
      <c r="A5" s="3178"/>
      <c r="B5" s="3179" t="s">
        <v>1084</v>
      </c>
      <c r="C5" s="3179"/>
      <c r="D5" s="1299"/>
      <c r="E5" s="1297"/>
      <c r="F5" s="1300"/>
      <c r="G5" s="1300"/>
      <c r="H5" s="1301"/>
      <c r="I5" s="1302">
        <f t="shared" si="0"/>
        <v>0</v>
      </c>
    </row>
    <row r="6" spans="1:9">
      <c r="A6" s="3178"/>
      <c r="B6" s="3179" t="s">
        <v>1085</v>
      </c>
      <c r="C6" s="3179"/>
      <c r="D6" s="1299"/>
      <c r="E6" s="1297"/>
      <c r="F6" s="1300"/>
      <c r="G6" s="1300"/>
      <c r="H6" s="1301"/>
      <c r="I6" s="1302">
        <f t="shared" si="0"/>
        <v>0</v>
      </c>
    </row>
    <row r="7" spans="1:9">
      <c r="A7" s="3178"/>
      <c r="B7" s="3179" t="s">
        <v>1086</v>
      </c>
      <c r="C7" s="3179"/>
      <c r="D7" s="1299"/>
      <c r="E7" s="1297"/>
      <c r="F7" s="1300"/>
      <c r="G7" s="1300"/>
      <c r="H7" s="1301"/>
      <c r="I7" s="1302">
        <f t="shared" si="0"/>
        <v>0</v>
      </c>
    </row>
    <row r="8" spans="1:9">
      <c r="A8" s="3178"/>
      <c r="B8" s="3179" t="s">
        <v>1087</v>
      </c>
      <c r="C8" s="3179"/>
      <c r="D8" s="1299"/>
      <c r="E8" s="1297"/>
      <c r="F8" s="1300"/>
      <c r="G8" s="1300"/>
      <c r="H8" s="1301"/>
      <c r="I8" s="1302">
        <f t="shared" si="0"/>
        <v>0</v>
      </c>
    </row>
    <row r="9" spans="1:9">
      <c r="A9" s="3178"/>
      <c r="B9" s="3179" t="s">
        <v>1088</v>
      </c>
      <c r="C9" s="3179"/>
      <c r="D9" s="1299"/>
      <c r="E9" s="1297"/>
      <c r="F9" s="1300"/>
      <c r="G9" s="1300"/>
      <c r="H9" s="1301"/>
      <c r="I9" s="1302">
        <f t="shared" si="0"/>
        <v>0</v>
      </c>
    </row>
    <row r="10" spans="1:9">
      <c r="A10" s="3178"/>
      <c r="B10" s="3180" t="s">
        <v>1089</v>
      </c>
      <c r="C10" s="3180"/>
      <c r="D10" s="1303"/>
      <c r="E10" s="1303" t="e">
        <f>ROUND(D1*10000/D10/H9,0)</f>
        <v>#DIV/0!</v>
      </c>
      <c r="F10" s="1304"/>
      <c r="G10" s="1304"/>
      <c r="H10" s="1305"/>
      <c r="I10" s="1306">
        <f>SUM(I3:I9)</f>
        <v>0</v>
      </c>
    </row>
    <row r="11" spans="1:9" ht="14.25">
      <c r="A11" s="3178" t="s">
        <v>1090</v>
      </c>
      <c r="B11" s="3179" t="s">
        <v>1091</v>
      </c>
      <c r="C11" s="3179"/>
      <c r="D11" s="1299" t="s">
        <v>1092</v>
      </c>
      <c r="E11" s="1299" t="s">
        <v>1093</v>
      </c>
      <c r="F11" s="1300" t="s">
        <v>1094</v>
      </c>
      <c r="G11" s="1300" t="s">
        <v>1080</v>
      </c>
      <c r="H11" s="1307" t="s">
        <v>1095</v>
      </c>
      <c r="I11" s="1298" t="s">
        <v>1081</v>
      </c>
    </row>
    <row r="12" spans="1:9">
      <c r="A12" s="3178"/>
      <c r="B12" s="3179" t="s">
        <v>1096</v>
      </c>
      <c r="C12" s="3179"/>
      <c r="D12" s="1299"/>
      <c r="E12" s="1299"/>
      <c r="F12" s="1300"/>
      <c r="G12" s="1301"/>
      <c r="H12" s="1308"/>
      <c r="I12" s="1298">
        <f>ROUND(D12*E12*F12*G12/10000,0)</f>
        <v>0</v>
      </c>
    </row>
    <row r="13" spans="1:9">
      <c r="A13" s="3178"/>
      <c r="B13" s="3179" t="s">
        <v>1097</v>
      </c>
      <c r="C13" s="3179"/>
      <c r="D13" s="1299"/>
      <c r="E13" s="1299"/>
      <c r="F13" s="1300"/>
      <c r="G13" s="1301"/>
      <c r="H13" s="1308"/>
      <c r="I13" s="1298">
        <f>ROUND(D13*E13*F13*G13/10000,0)</f>
        <v>0</v>
      </c>
    </row>
    <row r="14" spans="1:9">
      <c r="A14" s="3178"/>
      <c r="B14" s="3179" t="s">
        <v>1098</v>
      </c>
      <c r="C14" s="3179"/>
      <c r="D14" s="1299"/>
      <c r="E14" s="1299"/>
      <c r="F14" s="1300"/>
      <c r="G14" s="1301"/>
      <c r="H14" s="1308"/>
      <c r="I14" s="1298">
        <f>ROUND(D14*E14*F14*G14/10000,0)</f>
        <v>0</v>
      </c>
    </row>
    <row r="15" spans="1:9">
      <c r="A15" s="3178"/>
      <c r="B15" s="3180" t="s">
        <v>1089</v>
      </c>
      <c r="C15" s="3180"/>
      <c r="D15" s="1303"/>
      <c r="E15" s="1303">
        <f>SUM(E12:E14)</f>
        <v>0</v>
      </c>
      <c r="F15" s="1304"/>
      <c r="G15" s="1301"/>
      <c r="H15" s="1308"/>
      <c r="I15" s="1309">
        <f>SUM(I12:I14)</f>
        <v>0</v>
      </c>
    </row>
    <row r="16" spans="1:9" ht="24">
      <c r="A16" s="3178" t="s">
        <v>1099</v>
      </c>
      <c r="B16" s="3179" t="s">
        <v>1100</v>
      </c>
      <c r="C16" s="3179"/>
      <c r="D16" s="1299" t="s">
        <v>1076</v>
      </c>
      <c r="E16" s="1310" t="s">
        <v>1101</v>
      </c>
      <c r="F16" s="1300" t="s">
        <v>1102</v>
      </c>
      <c r="G16" s="1301" t="s">
        <v>1080</v>
      </c>
      <c r="H16" s="1307" t="s">
        <v>1095</v>
      </c>
      <c r="I16" s="1298" t="s">
        <v>1081</v>
      </c>
    </row>
    <row r="17" spans="1:9" ht="14.25">
      <c r="A17" s="3178"/>
      <c r="B17" s="3179" t="s">
        <v>1103</v>
      </c>
      <c r="C17" s="3179"/>
      <c r="D17" s="1299"/>
      <c r="E17" s="1299"/>
      <c r="F17" s="1300"/>
      <c r="G17" s="1301"/>
      <c r="H17" s="1311"/>
      <c r="I17" s="1312">
        <f>ROUND(D17*E17*F17*G17/10000,0)</f>
        <v>0</v>
      </c>
    </row>
    <row r="18" spans="1:9" ht="14.25">
      <c r="A18" s="3178"/>
      <c r="B18" s="3179" t="s">
        <v>1104</v>
      </c>
      <c r="C18" s="3179"/>
      <c r="D18" s="1299"/>
      <c r="E18" s="1299"/>
      <c r="F18" s="1300"/>
      <c r="G18" s="1301"/>
      <c r="H18" s="1311"/>
      <c r="I18" s="1312">
        <f>ROUND(D18*E18*F18*G18/10000,0)</f>
        <v>0</v>
      </c>
    </row>
    <row r="19" spans="1:9" ht="14.25">
      <c r="A19" s="3178"/>
      <c r="B19" s="3179" t="s">
        <v>1105</v>
      </c>
      <c r="C19" s="3179"/>
      <c r="D19" s="1299"/>
      <c r="E19" s="1299"/>
      <c r="F19" s="1300"/>
      <c r="G19" s="1301"/>
      <c r="H19" s="1311"/>
      <c r="I19" s="1312">
        <f>ROUND(D19*E19*F19*G19/10000,0)</f>
        <v>0</v>
      </c>
    </row>
    <row r="20" spans="1:9">
      <c r="A20" s="3178"/>
      <c r="B20" s="3180" t="s">
        <v>1089</v>
      </c>
      <c r="C20" s="3180"/>
      <c r="D20" s="1303">
        <f>SUM(D17:D19)</f>
        <v>0</v>
      </c>
      <c r="E20" s="1303"/>
      <c r="F20" s="1304"/>
      <c r="G20" s="1301"/>
      <c r="H20" s="1308"/>
      <c r="I20" s="1309">
        <f>SUM(I17:I19)</f>
        <v>0</v>
      </c>
    </row>
    <row r="21" spans="1:9">
      <c r="A21" s="3178" t="s">
        <v>1106</v>
      </c>
      <c r="B21" s="3181"/>
      <c r="C21" s="3181"/>
      <c r="D21" s="3181"/>
      <c r="E21" s="3181"/>
      <c r="F21" s="3181"/>
      <c r="G21" s="3181"/>
      <c r="H21" s="1761">
        <v>0.1</v>
      </c>
      <c r="I21" s="1306">
        <f>ROUND(I10*H21,0)</f>
        <v>0</v>
      </c>
    </row>
    <row r="22" spans="1:9" ht="14.25">
      <c r="A22" s="3182" t="s">
        <v>1107</v>
      </c>
      <c r="B22" s="3183"/>
      <c r="C22" s="3184"/>
      <c r="D22" s="1313" t="s">
        <v>1108</v>
      </c>
      <c r="E22" s="1313" t="s">
        <v>1109</v>
      </c>
      <c r="F22" s="1314" t="s">
        <v>1110</v>
      </c>
      <c r="G22" s="1314" t="s">
        <v>1111</v>
      </c>
      <c r="H22" s="1307" t="s">
        <v>1112</v>
      </c>
      <c r="I22" s="1298" t="s">
        <v>1113</v>
      </c>
    </row>
    <row r="23" spans="1:9" ht="14.25" thickBot="1">
      <c r="A23" s="3185"/>
      <c r="B23" s="3186"/>
      <c r="C23" s="3187"/>
      <c r="D23" s="1315"/>
      <c r="E23" s="1315"/>
      <c r="F23" s="1315"/>
      <c r="G23" s="1316"/>
      <c r="H23" s="1317"/>
      <c r="I23" s="1318">
        <f>ROUND(E23*D23*F23*(1-G23)/10000,0)</f>
        <v>0</v>
      </c>
    </row>
    <row r="26" spans="1:9">
      <c r="A26" s="1319" t="s">
        <v>1114</v>
      </c>
      <c r="B26" s="1319"/>
      <c r="C26" s="1319"/>
      <c r="D26" s="1319"/>
      <c r="E26" s="3175">
        <f>C27-C30-C31-C32</f>
        <v>0</v>
      </c>
      <c r="F26" s="3175"/>
      <c r="G26" s="3175"/>
      <c r="H26" s="1733" t="s">
        <v>1336</v>
      </c>
    </row>
    <row r="27" spans="1:9">
      <c r="A27" s="1320">
        <v>1</v>
      </c>
      <c r="B27" s="1321" t="s">
        <v>1115</v>
      </c>
      <c r="C27" s="1321">
        <f>C28+C29</f>
        <v>0</v>
      </c>
      <c r="D27" s="1321"/>
      <c r="E27" s="3176"/>
      <c r="F27" s="3176"/>
      <c r="G27" s="3176"/>
    </row>
    <row r="28" spans="1:9">
      <c r="A28" s="1322" t="s">
        <v>1116</v>
      </c>
      <c r="B28" s="1321" t="s">
        <v>1117</v>
      </c>
      <c r="C28" s="1321"/>
      <c r="D28" s="1321"/>
      <c r="E28" s="3176"/>
      <c r="F28" s="3176"/>
      <c r="G28" s="3176"/>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77"/>
      <c r="F32" s="3177"/>
      <c r="G32" s="3177"/>
    </row>
    <row r="33" spans="1:7" hidden="1">
      <c r="A33" s="3172" t="s">
        <v>1126</v>
      </c>
      <c r="B33" s="3173"/>
      <c r="C33" s="3173"/>
      <c r="D33" s="3174"/>
      <c r="E33" s="3175"/>
      <c r="F33" s="3175"/>
      <c r="G33" s="3175"/>
    </row>
    <row r="34" spans="1:7" hidden="1">
      <c r="A34" s="1324">
        <v>1</v>
      </c>
      <c r="B34" s="1321" t="s">
        <v>1127</v>
      </c>
      <c r="C34" s="1321"/>
      <c r="D34" s="1321"/>
      <c r="E34" s="3176"/>
      <c r="F34" s="3176"/>
      <c r="G34" s="3176"/>
    </row>
    <row r="35" spans="1:7" hidden="1">
      <c r="A35" s="1324">
        <v>2</v>
      </c>
      <c r="B35" s="1321" t="s">
        <v>1128</v>
      </c>
      <c r="C35" s="1321"/>
      <c r="D35" s="1321"/>
      <c r="E35" s="3176"/>
      <c r="F35" s="3176"/>
      <c r="G35" s="3176"/>
    </row>
    <row r="36" spans="1:7" hidden="1">
      <c r="A36" s="1324">
        <v>3</v>
      </c>
      <c r="B36" s="1321" t="s">
        <v>1129</v>
      </c>
      <c r="C36" s="1321"/>
      <c r="D36" s="1321"/>
      <c r="E36" s="3176"/>
      <c r="F36" s="3176"/>
      <c r="G36" s="3176"/>
    </row>
    <row r="37" spans="1:7" hidden="1">
      <c r="A37" s="1324">
        <v>4</v>
      </c>
      <c r="B37" s="1321" t="s">
        <v>1130</v>
      </c>
      <c r="C37" s="1321"/>
      <c r="D37" s="1321"/>
      <c r="E37" s="3176"/>
      <c r="F37" s="3176"/>
      <c r="G37" s="3176"/>
    </row>
    <row r="38" spans="1:7" hidden="1">
      <c r="A38" s="3172" t="s">
        <v>1131</v>
      </c>
      <c r="B38" s="3173"/>
      <c r="C38" s="3173"/>
      <c r="D38" s="3174"/>
      <c r="E38" s="3175"/>
      <c r="F38" s="3175"/>
      <c r="G38" s="31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579" t="s">
        <v>2528</v>
      </c>
      <c r="C1" s="1630" t="s">
        <v>2529</v>
      </c>
      <c r="D1" s="1617"/>
      <c r="E1" s="2580"/>
      <c r="F1" s="2581" t="s">
        <v>2530</v>
      </c>
      <c r="G1" s="1627" t="s">
        <v>2531</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1389</v>
      </c>
      <c r="B2" s="1414" t="e">
        <f ca="1">IF(C2="——",ROUND(C49*D3/10000,0),ROUND(C49*D3/10000,0)-D2)</f>
        <v>#DIV/0!</v>
      </c>
      <c r="C2" s="2583"/>
      <c r="D2" s="1361" t="e">
        <f ca="1">SUMIF(INDIRECT("'"&amp;F2&amp;"'"&amp;"!A:A"),"承租人权益价值",INDIRECT("'"&amp;F2&amp;"'"&amp;"!c:c"))</f>
        <v>#REF!</v>
      </c>
      <c r="E2" s="2584" t="s">
        <v>2532</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2533</v>
      </c>
      <c r="D3" s="399">
        <f>IF(D1="",'数据-汇总表'!E3,SUMIF('数据-汇总表'!$C19:$C33,D1,'数据-汇总表'!$E19:$E33))</f>
        <v>32523.979999999992</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8"/>
    </row>
    <row r="4" spans="1:29" ht="15">
      <c r="A4" s="401" t="s">
        <v>2534</v>
      </c>
      <c r="B4" s="402"/>
      <c r="C4" s="3211" t="s">
        <v>2535</v>
      </c>
      <c r="D4" s="3212"/>
      <c r="E4" s="3213" t="s">
        <v>2536</v>
      </c>
      <c r="F4" s="3214"/>
      <c r="G4" s="3211" t="s">
        <v>2537</v>
      </c>
      <c r="H4" s="3212"/>
      <c r="I4" s="3211" t="s">
        <v>2538</v>
      </c>
      <c r="J4" s="3212"/>
      <c r="K4" s="2593" t="s">
        <v>2539</v>
      </c>
      <c r="L4" s="1127"/>
      <c r="M4" s="1128"/>
      <c r="N4" s="1128"/>
      <c r="O4" s="1128"/>
      <c r="P4" s="3215" t="s">
        <v>2540</v>
      </c>
      <c r="Q4" s="3216"/>
      <c r="R4" s="3221" t="s">
        <v>2536</v>
      </c>
      <c r="S4" s="3222"/>
      <c r="T4" s="3221" t="s">
        <v>2537</v>
      </c>
      <c r="U4" s="3222"/>
      <c r="V4" s="3227" t="s">
        <v>2538</v>
      </c>
      <c r="W4" s="3227"/>
      <c r="X4" s="1809"/>
      <c r="Y4" s="3221" t="s">
        <v>2540</v>
      </c>
      <c r="Z4" s="3222"/>
      <c r="AA4" s="3208" t="s">
        <v>2536</v>
      </c>
      <c r="AB4" s="3208" t="s">
        <v>2537</v>
      </c>
      <c r="AC4" s="3208" t="s">
        <v>2538</v>
      </c>
    </row>
    <row r="5" spans="1:29" ht="15">
      <c r="A5" s="404"/>
      <c r="B5" s="405"/>
      <c r="C5" s="3230" t="s">
        <v>2541</v>
      </c>
      <c r="D5" s="3231"/>
      <c r="E5" s="3237" t="s">
        <v>2542</v>
      </c>
      <c r="F5" s="3238"/>
      <c r="G5" s="3230" t="s">
        <v>2543</v>
      </c>
      <c r="H5" s="3231"/>
      <c r="I5" s="3230" t="s">
        <v>2544</v>
      </c>
      <c r="J5" s="3231"/>
      <c r="K5" s="2594"/>
      <c r="L5" s="1127"/>
      <c r="M5" s="1128"/>
      <c r="N5" s="1128"/>
      <c r="O5" s="1128"/>
      <c r="P5" s="3217"/>
      <c r="Q5" s="3218"/>
      <c r="R5" s="3223"/>
      <c r="S5" s="3224"/>
      <c r="T5" s="3223"/>
      <c r="U5" s="3224"/>
      <c r="V5" s="3227"/>
      <c r="W5" s="3227"/>
      <c r="X5" s="1809"/>
      <c r="Y5" s="3223"/>
      <c r="Z5" s="3224"/>
      <c r="AA5" s="3209"/>
      <c r="AB5" s="3209"/>
      <c r="AC5" s="3209"/>
    </row>
    <row r="6" spans="1:29" ht="15.75" thickBot="1">
      <c r="A6" s="406"/>
      <c r="B6" s="407"/>
      <c r="C6" s="3228" t="s">
        <v>2545</v>
      </c>
      <c r="D6" s="3229"/>
      <c r="E6" s="3235" t="s">
        <v>2545</v>
      </c>
      <c r="F6" s="3236"/>
      <c r="G6" s="3228" t="s">
        <v>2545</v>
      </c>
      <c r="H6" s="3229"/>
      <c r="I6" s="3228" t="s">
        <v>2545</v>
      </c>
      <c r="J6" s="3229"/>
      <c r="K6" s="2594" t="s">
        <v>2546</v>
      </c>
      <c r="L6" s="1127"/>
      <c r="M6" s="1128"/>
      <c r="N6" s="1128"/>
      <c r="O6" s="1128"/>
      <c r="P6" s="3219"/>
      <c r="Q6" s="3220"/>
      <c r="R6" s="3223"/>
      <c r="S6" s="3224"/>
      <c r="T6" s="3225"/>
      <c r="U6" s="3226"/>
      <c r="V6" s="3227"/>
      <c r="W6" s="3227"/>
      <c r="X6" s="1809"/>
      <c r="Y6" s="3225"/>
      <c r="Z6" s="3226"/>
      <c r="AA6" s="3210"/>
      <c r="AB6" s="3210"/>
      <c r="AC6" s="3210"/>
    </row>
    <row r="7" spans="1:29" s="117" customFormat="1" ht="15.75" thickBot="1">
      <c r="A7" s="408" t="s">
        <v>2547</v>
      </c>
      <c r="B7" s="409"/>
      <c r="C7" s="410">
        <f>'数据-取费表'!B2</f>
        <v>43790</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232" t="s">
        <v>2548</v>
      </c>
      <c r="Q7" s="3234"/>
      <c r="R7" s="767" t="s">
        <v>23</v>
      </c>
      <c r="S7" s="768">
        <f t="shared" ref="S7:S15" si="0">F7</f>
        <v>0</v>
      </c>
      <c r="T7" s="767" t="s">
        <v>23</v>
      </c>
      <c r="U7" s="768">
        <f t="shared" ref="U7:U15" si="1">H7</f>
        <v>0</v>
      </c>
      <c r="V7" s="767" t="s">
        <v>23</v>
      </c>
      <c r="W7" s="768">
        <f t="shared" ref="W7:W15" si="2">J7</f>
        <v>0</v>
      </c>
      <c r="X7" s="769"/>
      <c r="Y7" s="3232" t="s">
        <v>2548</v>
      </c>
      <c r="Z7" s="3233"/>
      <c r="AA7" s="770" t="e">
        <f>D7/F7</f>
        <v>#DIV/0!</v>
      </c>
      <c r="AB7" s="770" t="e">
        <f>D7/H7</f>
        <v>#DIV/0!</v>
      </c>
      <c r="AC7" s="770" t="e">
        <f>D7/J7</f>
        <v>#DIV/0!</v>
      </c>
    </row>
    <row r="8" spans="1:29" s="117" customFormat="1" ht="15.75" thickBot="1">
      <c r="A8" s="408" t="s">
        <v>2549</v>
      </c>
      <c r="B8" s="409"/>
      <c r="C8" s="414" t="s">
        <v>2550</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232" t="s">
        <v>2551</v>
      </c>
      <c r="Q8" s="3233"/>
      <c r="R8" s="767" t="s">
        <v>23</v>
      </c>
      <c r="S8" s="768">
        <f t="shared" si="0"/>
        <v>0</v>
      </c>
      <c r="T8" s="767" t="s">
        <v>23</v>
      </c>
      <c r="U8" s="768">
        <f t="shared" si="1"/>
        <v>0</v>
      </c>
      <c r="V8" s="767" t="s">
        <v>23</v>
      </c>
      <c r="W8" s="768">
        <f t="shared" si="2"/>
        <v>0</v>
      </c>
      <c r="X8" s="769"/>
      <c r="Y8" s="3232" t="s">
        <v>2551</v>
      </c>
      <c r="Z8" s="3233"/>
      <c r="AA8" s="770" t="e">
        <f t="shared" ref="AA8:AA19" si="3">D8/F8</f>
        <v>#DIV/0!</v>
      </c>
      <c r="AB8" s="770" t="e">
        <f t="shared" ref="AB8:AB19" si="4">D8/H8</f>
        <v>#DIV/0!</v>
      </c>
      <c r="AC8" s="770"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207" t="s">
        <v>2554</v>
      </c>
      <c r="Q9" s="1791" t="str">
        <f t="shared" ref="Q9:Q15" si="6">B9</f>
        <v>用途</v>
      </c>
      <c r="R9" s="767" t="s">
        <v>17</v>
      </c>
      <c r="S9" s="768">
        <f t="shared" si="0"/>
        <v>100</v>
      </c>
      <c r="T9" s="767" t="s">
        <v>17</v>
      </c>
      <c r="U9" s="768">
        <f t="shared" si="1"/>
        <v>100</v>
      </c>
      <c r="V9" s="767" t="s">
        <v>17</v>
      </c>
      <c r="W9" s="768">
        <f t="shared" si="2"/>
        <v>100</v>
      </c>
      <c r="X9" s="769"/>
      <c r="Y9" s="3024"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7"/>
      <c r="Q10" s="1791"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7"/>
      <c r="Q11" s="1791" t="str">
        <f t="shared" si="6"/>
        <v>容积率</v>
      </c>
      <c r="R11" s="767" t="s">
        <v>21</v>
      </c>
      <c r="S11" s="768" t="e">
        <f t="shared" si="0"/>
        <v>#N/A</v>
      </c>
      <c r="T11" s="767" t="s">
        <v>21</v>
      </c>
      <c r="U11" s="768" t="e">
        <f t="shared" si="1"/>
        <v>#N/A</v>
      </c>
      <c r="V11" s="767" t="s">
        <v>21</v>
      </c>
      <c r="W11" s="768" t="e">
        <f t="shared" si="2"/>
        <v>#N/A</v>
      </c>
      <c r="X11" s="769"/>
      <c r="Y11" s="3024"/>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207"/>
      <c r="Q12" s="1791">
        <f t="shared" si="6"/>
        <v>111</v>
      </c>
      <c r="R12" s="767" t="s">
        <v>21</v>
      </c>
      <c r="S12" s="768">
        <f t="shared" si="0"/>
        <v>100</v>
      </c>
      <c r="T12" s="767" t="s">
        <v>21</v>
      </c>
      <c r="U12" s="768">
        <f t="shared" si="1"/>
        <v>100</v>
      </c>
      <c r="V12" s="767" t="s">
        <v>21</v>
      </c>
      <c r="W12" s="768">
        <f t="shared" si="2"/>
        <v>100</v>
      </c>
      <c r="X12" s="769"/>
      <c r="Y12" s="3024"/>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207"/>
      <c r="Q13" s="1791">
        <f t="shared" si="6"/>
        <v>111</v>
      </c>
      <c r="R13" s="767" t="s">
        <v>21</v>
      </c>
      <c r="S13" s="768">
        <f t="shared" si="0"/>
        <v>100</v>
      </c>
      <c r="T13" s="767" t="s">
        <v>21</v>
      </c>
      <c r="U13" s="768">
        <f t="shared" si="1"/>
        <v>100</v>
      </c>
      <c r="V13" s="767" t="s">
        <v>21</v>
      </c>
      <c r="W13" s="768">
        <f t="shared" si="2"/>
        <v>100</v>
      </c>
      <c r="X13" s="769"/>
      <c r="Y13" s="3024"/>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207"/>
      <c r="Q14" s="1791">
        <f t="shared" si="6"/>
        <v>111</v>
      </c>
      <c r="R14" s="767" t="s">
        <v>21</v>
      </c>
      <c r="S14" s="768">
        <f t="shared" si="0"/>
        <v>100</v>
      </c>
      <c r="T14" s="767" t="s">
        <v>21</v>
      </c>
      <c r="U14" s="768">
        <f t="shared" si="1"/>
        <v>100</v>
      </c>
      <c r="V14" s="767" t="s">
        <v>21</v>
      </c>
      <c r="W14" s="768">
        <f t="shared" si="2"/>
        <v>100</v>
      </c>
      <c r="X14" s="769"/>
      <c r="Y14" s="3024"/>
      <c r="Z14" s="55">
        <f t="shared" si="7"/>
        <v>111</v>
      </c>
      <c r="AA14" s="770">
        <f t="shared" si="3"/>
        <v>1</v>
      </c>
      <c r="AB14" s="770">
        <f t="shared" si="4"/>
        <v>1</v>
      </c>
      <c r="AC14" s="770">
        <f t="shared" si="5"/>
        <v>1</v>
      </c>
    </row>
    <row r="15" spans="1:29" ht="99.75">
      <c r="A15" s="440" t="s">
        <v>2558</v>
      </c>
      <c r="B15" s="69" t="s">
        <v>2084</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05" t="s">
        <v>2559</v>
      </c>
      <c r="Q15" s="1806" t="str">
        <f t="shared" si="6"/>
        <v>居住社区成熟度</v>
      </c>
      <c r="R15" s="771" t="s">
        <v>21</v>
      </c>
      <c r="S15" s="772">
        <f t="shared" si="0"/>
        <v>100</v>
      </c>
      <c r="T15" s="771" t="s">
        <v>21</v>
      </c>
      <c r="U15" s="772">
        <f t="shared" si="1"/>
        <v>100</v>
      </c>
      <c r="V15" s="771" t="s">
        <v>21</v>
      </c>
      <c r="W15" s="772">
        <f t="shared" si="2"/>
        <v>100</v>
      </c>
      <c r="X15" s="1809"/>
      <c r="Y15" s="3198" t="s">
        <v>2559</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7"/>
      <c r="M16" s="1128"/>
      <c r="N16" s="1128"/>
      <c r="O16" s="1128"/>
      <c r="P16" s="3206"/>
      <c r="Q16" s="1806"/>
      <c r="R16" s="771"/>
      <c r="S16" s="772"/>
      <c r="T16" s="771"/>
      <c r="U16" s="772"/>
      <c r="V16" s="771"/>
      <c r="W16" s="772"/>
      <c r="X16" s="1809"/>
      <c r="Y16" s="3199"/>
      <c r="Z16" s="1810"/>
      <c r="AA16" s="1807">
        <v>1</v>
      </c>
      <c r="AB16" s="1807">
        <v>1</v>
      </c>
      <c r="AC16" s="1807">
        <v>1</v>
      </c>
    </row>
    <row r="17" spans="1:29" ht="85.5">
      <c r="A17" s="428"/>
      <c r="B17" s="451" t="s">
        <v>2096</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06"/>
      <c r="Q17" s="1806" t="str">
        <f>B17</f>
        <v>交通便捷度</v>
      </c>
      <c r="R17" s="771" t="s">
        <v>21</v>
      </c>
      <c r="S17" s="772">
        <f>F17</f>
        <v>100</v>
      </c>
      <c r="T17" s="771" t="s">
        <v>21</v>
      </c>
      <c r="U17" s="772">
        <f>H17</f>
        <v>100</v>
      </c>
      <c r="V17" s="771" t="s">
        <v>21</v>
      </c>
      <c r="W17" s="772">
        <f>J17</f>
        <v>100</v>
      </c>
      <c r="X17" s="1809"/>
      <c r="Y17" s="3199"/>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7"/>
      <c r="M18" s="1128"/>
      <c r="N18" s="1128"/>
      <c r="O18" s="1128"/>
      <c r="P18" s="3206"/>
      <c r="Q18" s="1806"/>
      <c r="R18" s="771"/>
      <c r="S18" s="772"/>
      <c r="T18" s="771"/>
      <c r="U18" s="772"/>
      <c r="V18" s="771"/>
      <c r="W18" s="772"/>
      <c r="X18" s="1809"/>
      <c r="Y18" s="3199"/>
      <c r="Z18" s="1810"/>
      <c r="AA18" s="1807">
        <v>1</v>
      </c>
      <c r="AB18" s="1807">
        <v>1</v>
      </c>
      <c r="AC18" s="1807">
        <v>1</v>
      </c>
    </row>
    <row r="19" spans="1:29" ht="42.75">
      <c r="A19" s="428"/>
      <c r="B19" s="451" t="s">
        <v>2094</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06"/>
      <c r="Q19" s="1806" t="str">
        <f>B19</f>
        <v>公共配套设施</v>
      </c>
      <c r="R19" s="771" t="s">
        <v>21</v>
      </c>
      <c r="S19" s="772">
        <f>F19</f>
        <v>100</v>
      </c>
      <c r="T19" s="771" t="s">
        <v>21</v>
      </c>
      <c r="U19" s="772">
        <f>H19</f>
        <v>100</v>
      </c>
      <c r="V19" s="771" t="s">
        <v>21</v>
      </c>
      <c r="W19" s="772">
        <f>J19</f>
        <v>100</v>
      </c>
      <c r="X19" s="1809"/>
      <c r="Y19" s="3199"/>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7"/>
      <c r="M20" s="1128"/>
      <c r="N20" s="1128"/>
      <c r="O20" s="1128"/>
      <c r="P20" s="3206"/>
      <c r="Q20" s="1806"/>
      <c r="R20" s="771"/>
      <c r="S20" s="772"/>
      <c r="T20" s="771"/>
      <c r="U20" s="772"/>
      <c r="V20" s="771"/>
      <c r="W20" s="772"/>
      <c r="X20" s="1809"/>
      <c r="Y20" s="3199"/>
      <c r="Z20" s="1810"/>
      <c r="AA20" s="1807">
        <v>1</v>
      </c>
      <c r="AB20" s="1807">
        <v>1</v>
      </c>
      <c r="AC20" s="1807">
        <v>1</v>
      </c>
    </row>
    <row r="21" spans="1:29" ht="28.5">
      <c r="A21" s="428"/>
      <c r="B21" s="1380" t="s">
        <v>2097</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06"/>
      <c r="Q21" s="1806" t="str">
        <f>B21</f>
        <v>基础设施水平</v>
      </c>
      <c r="R21" s="771" t="s">
        <v>17</v>
      </c>
      <c r="S21" s="772">
        <f>F21</f>
        <v>100</v>
      </c>
      <c r="T21" s="771" t="s">
        <v>17</v>
      </c>
      <c r="U21" s="772">
        <f>H21</f>
        <v>100</v>
      </c>
      <c r="V21" s="771" t="s">
        <v>17</v>
      </c>
      <c r="W21" s="772">
        <f>J21</f>
        <v>100</v>
      </c>
      <c r="X21" s="1809"/>
      <c r="Y21" s="3199"/>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37"/>
      <c r="M22" s="1128"/>
      <c r="N22" s="1128"/>
      <c r="O22" s="1128"/>
      <c r="P22" s="3206"/>
      <c r="Q22" s="1806"/>
      <c r="R22" s="771"/>
      <c r="S22" s="772"/>
      <c r="T22" s="771"/>
      <c r="U22" s="772"/>
      <c r="V22" s="771"/>
      <c r="W22" s="772"/>
      <c r="X22" s="1809"/>
      <c r="Y22" s="3199"/>
      <c r="Z22" s="1810"/>
      <c r="AA22" s="1807">
        <v>1</v>
      </c>
      <c r="AB22" s="1807">
        <v>1</v>
      </c>
      <c r="AC22" s="1807">
        <v>1</v>
      </c>
    </row>
    <row r="23" spans="1:29" ht="57">
      <c r="A23" s="428"/>
      <c r="B23" s="451" t="s">
        <v>2101</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06"/>
      <c r="Q23" s="1806" t="str">
        <f>B23</f>
        <v>自然及人文环境</v>
      </c>
      <c r="R23" s="771" t="s">
        <v>21</v>
      </c>
      <c r="S23" s="772">
        <f>F23</f>
        <v>100</v>
      </c>
      <c r="T23" s="771" t="s">
        <v>21</v>
      </c>
      <c r="U23" s="772">
        <f>H23</f>
        <v>100</v>
      </c>
      <c r="V23" s="771" t="s">
        <v>21</v>
      </c>
      <c r="W23" s="772">
        <f>J23</f>
        <v>100</v>
      </c>
      <c r="X23" s="1809"/>
      <c r="Y23" s="3199"/>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7"/>
      <c r="M24" s="1128"/>
      <c r="N24" s="1128"/>
      <c r="O24" s="1128"/>
      <c r="P24" s="3206"/>
      <c r="Q24" s="1806"/>
      <c r="R24" s="771"/>
      <c r="S24" s="772"/>
      <c r="T24" s="771"/>
      <c r="U24" s="772"/>
      <c r="V24" s="771"/>
      <c r="W24" s="772"/>
      <c r="X24" s="1809"/>
      <c r="Y24" s="3199"/>
      <c r="Z24" s="1810"/>
      <c r="AA24" s="1807">
        <v>1</v>
      </c>
      <c r="AB24" s="1807">
        <v>1</v>
      </c>
      <c r="AC24" s="1807">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206"/>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99"/>
      <c r="Z25" s="1810" t="str">
        <f>Q25</f>
        <v>楼层-1</v>
      </c>
      <c r="AA25" s="1807">
        <f t="shared" ref="AA25:AA46" si="15">D25/F25</f>
        <v>1</v>
      </c>
      <c r="AB25" s="1807">
        <f t="shared" ref="AB25:AB46" si="16">D25/H25</f>
        <v>1</v>
      </c>
      <c r="AC25" s="1807">
        <f t="shared" ref="AC25:AC46" si="17">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206"/>
      <c r="Q26" s="1806" t="str">
        <f t="shared" si="11"/>
        <v>朝向</v>
      </c>
      <c r="R26" s="771" t="s">
        <v>21</v>
      </c>
      <c r="S26" s="772">
        <f t="shared" si="12"/>
        <v>100</v>
      </c>
      <c r="T26" s="771" t="s">
        <v>21</v>
      </c>
      <c r="U26" s="772">
        <f t="shared" si="13"/>
        <v>100</v>
      </c>
      <c r="V26" s="771" t="s">
        <v>21</v>
      </c>
      <c r="W26" s="772">
        <f t="shared" si="14"/>
        <v>100</v>
      </c>
      <c r="X26" s="1809"/>
      <c r="Y26" s="3199"/>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206"/>
      <c r="Q27" s="1791">
        <f t="shared" si="11"/>
        <v>111</v>
      </c>
      <c r="R27" s="767" t="s">
        <v>21</v>
      </c>
      <c r="S27" s="768">
        <f t="shared" si="12"/>
        <v>100</v>
      </c>
      <c r="T27" s="767" t="s">
        <v>21</v>
      </c>
      <c r="U27" s="768">
        <f t="shared" si="13"/>
        <v>100</v>
      </c>
      <c r="V27" s="767" t="s">
        <v>21</v>
      </c>
      <c r="W27" s="768">
        <f t="shared" si="14"/>
        <v>100</v>
      </c>
      <c r="X27" s="769"/>
      <c r="Y27" s="3199"/>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206"/>
      <c r="Q28" s="1806">
        <f t="shared" si="11"/>
        <v>111</v>
      </c>
      <c r="R28" s="771" t="s">
        <v>21</v>
      </c>
      <c r="S28" s="772">
        <f t="shared" si="12"/>
        <v>100</v>
      </c>
      <c r="T28" s="771" t="s">
        <v>21</v>
      </c>
      <c r="U28" s="772">
        <f t="shared" si="13"/>
        <v>100</v>
      </c>
      <c r="V28" s="771" t="s">
        <v>21</v>
      </c>
      <c r="W28" s="772">
        <f t="shared" si="14"/>
        <v>100</v>
      </c>
      <c r="X28" s="1809"/>
      <c r="Y28" s="3199"/>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206"/>
      <c r="Q29" s="1806">
        <f t="shared" si="11"/>
        <v>111</v>
      </c>
      <c r="R29" s="771" t="s">
        <v>21</v>
      </c>
      <c r="S29" s="772">
        <f t="shared" si="12"/>
        <v>100</v>
      </c>
      <c r="T29" s="771" t="s">
        <v>21</v>
      </c>
      <c r="U29" s="772">
        <f t="shared" si="13"/>
        <v>100</v>
      </c>
      <c r="V29" s="771" t="s">
        <v>21</v>
      </c>
      <c r="W29" s="772">
        <f t="shared" si="14"/>
        <v>100</v>
      </c>
      <c r="X29" s="1809"/>
      <c r="Y29" s="3199"/>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206"/>
      <c r="Q30" s="1806">
        <f t="shared" si="11"/>
        <v>111</v>
      </c>
      <c r="R30" s="771" t="s">
        <v>21</v>
      </c>
      <c r="S30" s="772">
        <f t="shared" si="12"/>
        <v>100</v>
      </c>
      <c r="T30" s="771" t="s">
        <v>21</v>
      </c>
      <c r="U30" s="772">
        <f t="shared" si="13"/>
        <v>100</v>
      </c>
      <c r="V30" s="771" t="s">
        <v>21</v>
      </c>
      <c r="W30" s="772">
        <f t="shared" si="14"/>
        <v>100</v>
      </c>
      <c r="X30" s="1809"/>
      <c r="Y30" s="3199"/>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206"/>
      <c r="Q31" s="1806">
        <f t="shared" si="11"/>
        <v>111</v>
      </c>
      <c r="R31" s="771" t="s">
        <v>21</v>
      </c>
      <c r="S31" s="772">
        <f t="shared" si="12"/>
        <v>100</v>
      </c>
      <c r="T31" s="771" t="s">
        <v>21</v>
      </c>
      <c r="U31" s="772">
        <f t="shared" si="13"/>
        <v>100</v>
      </c>
      <c r="V31" s="771" t="s">
        <v>21</v>
      </c>
      <c r="W31" s="772">
        <f t="shared" si="14"/>
        <v>100</v>
      </c>
      <c r="X31" s="1809"/>
      <c r="Y31" s="3199"/>
      <c r="Z31" s="1810">
        <f t="shared" si="18"/>
        <v>111</v>
      </c>
      <c r="AA31" s="1807">
        <f t="shared" si="15"/>
        <v>1</v>
      </c>
      <c r="AB31" s="1807">
        <f t="shared" si="16"/>
        <v>1</v>
      </c>
      <c r="AC31" s="1807">
        <f t="shared" si="17"/>
        <v>1</v>
      </c>
    </row>
    <row r="32" spans="1:29" ht="15">
      <c r="A32" s="440" t="s">
        <v>2562</v>
      </c>
      <c r="B32" s="71" t="s">
        <v>2563</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200" t="s">
        <v>2564</v>
      </c>
      <c r="Q32" s="1806" t="str">
        <f t="shared" si="11"/>
        <v>建筑类型</v>
      </c>
      <c r="R32" s="771" t="s">
        <v>21</v>
      </c>
      <c r="S32" s="772">
        <f t="shared" si="12"/>
        <v>100</v>
      </c>
      <c r="T32" s="771" t="s">
        <v>21</v>
      </c>
      <c r="U32" s="772">
        <f t="shared" si="13"/>
        <v>100</v>
      </c>
      <c r="V32" s="771" t="s">
        <v>21</v>
      </c>
      <c r="W32" s="772">
        <f t="shared" si="14"/>
        <v>100</v>
      </c>
      <c r="X32" s="1809"/>
      <c r="Y32" s="3203" t="s">
        <v>2564</v>
      </c>
      <c r="Z32" s="1810" t="str">
        <f t="shared" si="18"/>
        <v>建筑类型</v>
      </c>
      <c r="AA32" s="1807">
        <f t="shared" si="15"/>
        <v>1</v>
      </c>
      <c r="AB32" s="1807">
        <f t="shared" si="16"/>
        <v>1</v>
      </c>
      <c r="AC32" s="1807">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201"/>
      <c r="Q33" s="773" t="str">
        <f t="shared" si="11"/>
        <v>项目建筑规模</v>
      </c>
      <c r="R33" s="774" t="s">
        <v>21</v>
      </c>
      <c r="S33" s="775" t="e">
        <f t="shared" si="12"/>
        <v>#N/A</v>
      </c>
      <c r="T33" s="774" t="s">
        <v>21</v>
      </c>
      <c r="U33" s="775" t="e">
        <f t="shared" si="13"/>
        <v>#N/A</v>
      </c>
      <c r="V33" s="774" t="s">
        <v>21</v>
      </c>
      <c r="W33" s="775" t="e">
        <f t="shared" si="14"/>
        <v>#N/A</v>
      </c>
      <c r="X33" s="776"/>
      <c r="Y33" s="3203"/>
      <c r="Z33" s="777" t="str">
        <f t="shared" si="18"/>
        <v>项目建筑规模</v>
      </c>
      <c r="AA33" s="1807" t="e">
        <f t="shared" si="15"/>
        <v>#N/A</v>
      </c>
      <c r="AB33" s="1807" t="e">
        <f t="shared" si="16"/>
        <v>#N/A</v>
      </c>
      <c r="AC33" s="1807" t="e">
        <f t="shared" si="17"/>
        <v>#N/A</v>
      </c>
    </row>
    <row r="34" spans="1:29" ht="15">
      <c r="A34" s="472"/>
      <c r="B34" s="422" t="s">
        <v>2566</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201"/>
      <c r="Q34" s="1806" t="str">
        <f t="shared" si="11"/>
        <v>建筑结构</v>
      </c>
      <c r="R34" s="771" t="s">
        <v>21</v>
      </c>
      <c r="S34" s="772">
        <f t="shared" si="12"/>
        <v>100</v>
      </c>
      <c r="T34" s="771" t="s">
        <v>21</v>
      </c>
      <c r="U34" s="772">
        <f t="shared" si="13"/>
        <v>100</v>
      </c>
      <c r="V34" s="771" t="s">
        <v>21</v>
      </c>
      <c r="W34" s="772">
        <f t="shared" si="14"/>
        <v>100</v>
      </c>
      <c r="X34" s="1809"/>
      <c r="Y34" s="3203"/>
      <c r="Z34" s="1810" t="str">
        <f t="shared" si="18"/>
        <v>建筑结构</v>
      </c>
      <c r="AA34" s="1807">
        <f t="shared" si="15"/>
        <v>1</v>
      </c>
      <c r="AB34" s="1807">
        <f t="shared" si="16"/>
        <v>1</v>
      </c>
      <c r="AC34" s="1807">
        <f t="shared" si="17"/>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201"/>
      <c r="Q35" s="1806" t="str">
        <f t="shared" si="11"/>
        <v>建筑品质</v>
      </c>
      <c r="R35" s="771" t="s">
        <v>21</v>
      </c>
      <c r="S35" s="772">
        <f t="shared" si="12"/>
        <v>100</v>
      </c>
      <c r="T35" s="771" t="s">
        <v>21</v>
      </c>
      <c r="U35" s="772">
        <f t="shared" si="13"/>
        <v>100</v>
      </c>
      <c r="V35" s="771" t="s">
        <v>21</v>
      </c>
      <c r="W35" s="772">
        <f t="shared" si="14"/>
        <v>100</v>
      </c>
      <c r="X35" s="1809"/>
      <c r="Y35" s="3203"/>
      <c r="Z35" s="1810" t="str">
        <f t="shared" si="18"/>
        <v>建筑品质</v>
      </c>
      <c r="AA35" s="1807">
        <f t="shared" si="15"/>
        <v>1</v>
      </c>
      <c r="AB35" s="1807">
        <f t="shared" si="16"/>
        <v>1</v>
      </c>
      <c r="AC35" s="1807">
        <f t="shared" si="17"/>
        <v>1</v>
      </c>
    </row>
    <row r="36" spans="1:29" ht="15">
      <c r="A36" s="472"/>
      <c r="B36" s="422" t="s">
        <v>2568</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201"/>
      <c r="Q36" s="1806" t="str">
        <f t="shared" si="11"/>
        <v>公共部分装修</v>
      </c>
      <c r="R36" s="771" t="s">
        <v>21</v>
      </c>
      <c r="S36" s="772">
        <f t="shared" si="12"/>
        <v>100</v>
      </c>
      <c r="T36" s="771" t="s">
        <v>21</v>
      </c>
      <c r="U36" s="772">
        <f t="shared" si="13"/>
        <v>100</v>
      </c>
      <c r="V36" s="771" t="s">
        <v>21</v>
      </c>
      <c r="W36" s="772">
        <f t="shared" si="14"/>
        <v>100</v>
      </c>
      <c r="X36" s="1809"/>
      <c r="Y36" s="3203"/>
      <c r="Z36" s="1810" t="str">
        <f t="shared" si="18"/>
        <v>公共部分装修</v>
      </c>
      <c r="AA36" s="1807">
        <f t="shared" si="15"/>
        <v>1</v>
      </c>
      <c r="AB36" s="1807">
        <f t="shared" si="16"/>
        <v>1</v>
      </c>
      <c r="AC36" s="1807">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01"/>
      <c r="Q37" s="1791" t="str">
        <f t="shared" si="11"/>
        <v>成新度</v>
      </c>
      <c r="R37" s="767" t="s">
        <v>21</v>
      </c>
      <c r="S37" s="768" t="e">
        <f t="shared" si="12"/>
        <v>#N/A</v>
      </c>
      <c r="T37" s="767" t="s">
        <v>21</v>
      </c>
      <c r="U37" s="768" t="e">
        <f t="shared" si="13"/>
        <v>#N/A</v>
      </c>
      <c r="V37" s="767" t="s">
        <v>21</v>
      </c>
      <c r="W37" s="768" t="e">
        <f t="shared" si="14"/>
        <v>#N/A</v>
      </c>
      <c r="X37" s="769"/>
      <c r="Y37" s="3203"/>
      <c r="Z37" s="55" t="str">
        <f t="shared" si="18"/>
        <v>成新度</v>
      </c>
      <c r="AA37" s="770" t="e">
        <f t="shared" si="15"/>
        <v>#N/A</v>
      </c>
      <c r="AB37" s="770" t="e">
        <f t="shared" si="16"/>
        <v>#N/A</v>
      </c>
      <c r="AC37" s="770" t="e">
        <f t="shared" si="17"/>
        <v>#N/A</v>
      </c>
    </row>
    <row r="38" spans="1:29" ht="15">
      <c r="A38" s="472"/>
      <c r="B38" s="422" t="s">
        <v>2570</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201" t="s">
        <v>2564</v>
      </c>
      <c r="Q38" s="1806" t="str">
        <f t="shared" si="11"/>
        <v>物业管理</v>
      </c>
      <c r="R38" s="771" t="s">
        <v>21</v>
      </c>
      <c r="S38" s="772">
        <f t="shared" si="12"/>
        <v>100</v>
      </c>
      <c r="T38" s="771" t="s">
        <v>21</v>
      </c>
      <c r="U38" s="772">
        <f t="shared" si="13"/>
        <v>100</v>
      </c>
      <c r="V38" s="771" t="s">
        <v>21</v>
      </c>
      <c r="W38" s="772">
        <f t="shared" si="14"/>
        <v>100</v>
      </c>
      <c r="X38" s="1809"/>
      <c r="Y38" s="3203" t="s">
        <v>2564</v>
      </c>
      <c r="Z38" s="1810" t="str">
        <f t="shared" si="18"/>
        <v>物业管理</v>
      </c>
      <c r="AA38" s="1807">
        <f t="shared" si="15"/>
        <v>1</v>
      </c>
      <c r="AB38" s="1807">
        <f t="shared" si="16"/>
        <v>1</v>
      </c>
      <c r="AC38" s="1807">
        <f t="shared" si="17"/>
        <v>1</v>
      </c>
    </row>
    <row r="39" spans="1:29" ht="15">
      <c r="A39" s="472"/>
      <c r="B39" s="422" t="s">
        <v>2571</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201"/>
      <c r="Q39" s="1806" t="str">
        <f t="shared" si="11"/>
        <v>市政基础设施</v>
      </c>
      <c r="R39" s="771" t="s">
        <v>21</v>
      </c>
      <c r="S39" s="772">
        <f t="shared" si="12"/>
        <v>100</v>
      </c>
      <c r="T39" s="771" t="s">
        <v>21</v>
      </c>
      <c r="U39" s="772">
        <f t="shared" si="13"/>
        <v>100</v>
      </c>
      <c r="V39" s="771" t="s">
        <v>21</v>
      </c>
      <c r="W39" s="772">
        <f t="shared" si="14"/>
        <v>100</v>
      </c>
      <c r="X39" s="1809"/>
      <c r="Y39" s="3203"/>
      <c r="Z39" s="1810" t="str">
        <f t="shared" si="18"/>
        <v>市政基础设施</v>
      </c>
      <c r="AA39" s="1807">
        <f t="shared" si="15"/>
        <v>1</v>
      </c>
      <c r="AB39" s="1807">
        <f t="shared" si="16"/>
        <v>1</v>
      </c>
      <c r="AC39" s="1807">
        <f t="shared" si="17"/>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201"/>
      <c r="Q40" s="1806" t="str">
        <f t="shared" si="11"/>
        <v>房型</v>
      </c>
      <c r="R40" s="771" t="s">
        <v>21</v>
      </c>
      <c r="S40" s="772">
        <f t="shared" si="12"/>
        <v>100</v>
      </c>
      <c r="T40" s="771" t="s">
        <v>21</v>
      </c>
      <c r="U40" s="772">
        <f t="shared" si="13"/>
        <v>100</v>
      </c>
      <c r="V40" s="771" t="s">
        <v>21</v>
      </c>
      <c r="W40" s="772">
        <f t="shared" si="14"/>
        <v>100</v>
      </c>
      <c r="X40" s="1809"/>
      <c r="Y40" s="3203"/>
      <c r="Z40" s="1810" t="str">
        <f t="shared" si="18"/>
        <v>房型</v>
      </c>
      <c r="AA40" s="1807">
        <f t="shared" si="15"/>
        <v>1</v>
      </c>
      <c r="AB40" s="1807">
        <f t="shared" si="16"/>
        <v>1</v>
      </c>
      <c r="AC40" s="1807">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201"/>
      <c r="Q41" s="773" t="str">
        <f t="shared" si="11"/>
        <v>单套/主力户型建筑面积</v>
      </c>
      <c r="R41" s="774" t="s">
        <v>21</v>
      </c>
      <c r="S41" s="775">
        <f t="shared" si="12"/>
        <v>100</v>
      </c>
      <c r="T41" s="774" t="s">
        <v>21</v>
      </c>
      <c r="U41" s="775">
        <f t="shared" si="13"/>
        <v>100</v>
      </c>
      <c r="V41" s="774" t="s">
        <v>21</v>
      </c>
      <c r="W41" s="775">
        <f t="shared" si="14"/>
        <v>100</v>
      </c>
      <c r="X41" s="776"/>
      <c r="Y41" s="3203"/>
      <c r="Z41" s="777" t="str">
        <f t="shared" si="18"/>
        <v>单套/主力户型建筑面积</v>
      </c>
      <c r="AA41" s="1807">
        <f t="shared" si="15"/>
        <v>1</v>
      </c>
      <c r="AB41" s="1807">
        <f t="shared" si="16"/>
        <v>1</v>
      </c>
      <c r="AC41" s="1807">
        <f t="shared" si="17"/>
        <v>1</v>
      </c>
    </row>
    <row r="42" spans="1:29" ht="15">
      <c r="A42" s="472"/>
      <c r="B42" s="422" t="s">
        <v>2574</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201"/>
      <c r="Q42" s="1806" t="str">
        <f t="shared" si="11"/>
        <v>内部装修</v>
      </c>
      <c r="R42" s="771" t="s">
        <v>21</v>
      </c>
      <c r="S42" s="772">
        <f t="shared" si="12"/>
        <v>100</v>
      </c>
      <c r="T42" s="771" t="s">
        <v>21</v>
      </c>
      <c r="U42" s="772">
        <f t="shared" si="13"/>
        <v>100</v>
      </c>
      <c r="V42" s="771" t="s">
        <v>21</v>
      </c>
      <c r="W42" s="772">
        <f t="shared" si="14"/>
        <v>100</v>
      </c>
      <c r="X42" s="1809"/>
      <c r="Y42" s="3203"/>
      <c r="Z42" s="1810" t="str">
        <f t="shared" si="18"/>
        <v>内部装修</v>
      </c>
      <c r="AA42" s="1807">
        <f t="shared" si="15"/>
        <v>1</v>
      </c>
      <c r="AB42" s="1807">
        <f t="shared" si="16"/>
        <v>1</v>
      </c>
      <c r="AC42" s="1807">
        <f t="shared" si="17"/>
        <v>1</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201"/>
      <c r="Q43" s="1806" t="str">
        <f t="shared" si="11"/>
        <v>内部装修维护情况</v>
      </c>
      <c r="R43" s="771" t="s">
        <v>21</v>
      </c>
      <c r="S43" s="772">
        <f t="shared" si="12"/>
        <v>100</v>
      </c>
      <c r="T43" s="771" t="s">
        <v>21</v>
      </c>
      <c r="U43" s="772">
        <f t="shared" si="13"/>
        <v>100</v>
      </c>
      <c r="V43" s="771" t="s">
        <v>21</v>
      </c>
      <c r="W43" s="772">
        <f t="shared" si="14"/>
        <v>100</v>
      </c>
      <c r="X43" s="1809"/>
      <c r="Y43" s="3203"/>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201"/>
      <c r="Q44" s="1791">
        <f t="shared" si="11"/>
        <v>111</v>
      </c>
      <c r="R44" s="767" t="s">
        <v>21</v>
      </c>
      <c r="S44" s="768">
        <f t="shared" si="12"/>
        <v>100</v>
      </c>
      <c r="T44" s="767" t="s">
        <v>21</v>
      </c>
      <c r="U44" s="768">
        <f t="shared" si="13"/>
        <v>100</v>
      </c>
      <c r="V44" s="767" t="s">
        <v>21</v>
      </c>
      <c r="W44" s="768">
        <f t="shared" si="14"/>
        <v>100</v>
      </c>
      <c r="X44" s="769"/>
      <c r="Y44" s="3203"/>
      <c r="Z44" s="55">
        <f t="shared" si="18"/>
        <v>111</v>
      </c>
      <c r="AA44" s="770">
        <f t="shared" si="15"/>
        <v>1</v>
      </c>
      <c r="AB44" s="770">
        <f t="shared" si="16"/>
        <v>1</v>
      </c>
      <c r="AC44" s="770">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201"/>
      <c r="Q45" s="1806">
        <f t="shared" si="11"/>
        <v>111</v>
      </c>
      <c r="R45" s="771" t="s">
        <v>21</v>
      </c>
      <c r="S45" s="772">
        <f t="shared" si="12"/>
        <v>100</v>
      </c>
      <c r="T45" s="771" t="s">
        <v>21</v>
      </c>
      <c r="U45" s="772">
        <f t="shared" si="13"/>
        <v>100</v>
      </c>
      <c r="V45" s="771" t="s">
        <v>21</v>
      </c>
      <c r="W45" s="772">
        <f t="shared" si="14"/>
        <v>100</v>
      </c>
      <c r="X45" s="1809"/>
      <c r="Y45" s="3203"/>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202"/>
      <c r="Q46" s="1806">
        <f t="shared" si="11"/>
        <v>111</v>
      </c>
      <c r="R46" s="771" t="s">
        <v>20</v>
      </c>
      <c r="S46" s="772">
        <f t="shared" si="12"/>
        <v>100</v>
      </c>
      <c r="T46" s="771" t="s">
        <v>20</v>
      </c>
      <c r="U46" s="772">
        <f t="shared" si="13"/>
        <v>100</v>
      </c>
      <c r="V46" s="771" t="s">
        <v>20</v>
      </c>
      <c r="W46" s="772">
        <f t="shared" si="14"/>
        <v>100</v>
      </c>
      <c r="X46" s="1809"/>
      <c r="Y46" s="3204"/>
      <c r="Z46" s="1810">
        <f t="shared" si="18"/>
        <v>111</v>
      </c>
      <c r="AA46" s="1807">
        <f t="shared" si="15"/>
        <v>1</v>
      </c>
      <c r="AB46" s="1807">
        <f t="shared" si="16"/>
        <v>1</v>
      </c>
      <c r="AC46" s="1807">
        <f t="shared" si="17"/>
        <v>1</v>
      </c>
    </row>
    <row r="47" spans="1:29" ht="15">
      <c r="A47" s="479" t="s">
        <v>2576</v>
      </c>
      <c r="B47" s="480"/>
      <c r="C47" s="1403" t="s">
        <v>19</v>
      </c>
      <c r="D47" s="1404"/>
      <c r="E47" s="1405"/>
      <c r="F47" s="1406"/>
      <c r="G47" s="1407"/>
      <c r="H47" s="1408"/>
      <c r="I47" s="1405"/>
      <c r="J47" s="1408"/>
      <c r="K47" s="2618"/>
      <c r="L47" s="1140"/>
      <c r="M47" s="1141"/>
      <c r="N47" s="1128"/>
      <c r="O47" s="1141"/>
      <c r="P47" s="3196" t="str">
        <f>A47</f>
        <v>成交单价（元/平方米）</v>
      </c>
      <c r="Q47" s="3196"/>
      <c r="R47" s="3197">
        <f>E47</f>
        <v>0</v>
      </c>
      <c r="S47" s="3197"/>
      <c r="T47" s="3197">
        <f>G47</f>
        <v>0</v>
      </c>
      <c r="U47" s="3197"/>
      <c r="V47" s="3197">
        <f>I47</f>
        <v>0</v>
      </c>
      <c r="W47" s="3197"/>
      <c r="X47" s="756"/>
      <c r="Y47" s="778"/>
      <c r="Z47" s="756"/>
      <c r="AA47" s="756"/>
      <c r="AB47" s="756"/>
      <c r="AC47" s="756"/>
    </row>
    <row r="48" spans="1:29" ht="15.75" thickBot="1">
      <c r="A48" s="486" t="s">
        <v>2577</v>
      </c>
      <c r="B48" s="487"/>
      <c r="C48" s="1409" t="e">
        <f>R49</f>
        <v>#DIV/0!</v>
      </c>
      <c r="D48" s="1410"/>
      <c r="E48" s="1411" t="e">
        <f>R48</f>
        <v>#DIV/0!</v>
      </c>
      <c r="F48" s="1411"/>
      <c r="G48" s="1409" t="e">
        <f>T48</f>
        <v>#DIV/0!</v>
      </c>
      <c r="H48" s="1410"/>
      <c r="I48" s="1411" t="e">
        <f>V48</f>
        <v>#DIV/0!</v>
      </c>
      <c r="J48" s="1410"/>
      <c r="K48" s="2619"/>
      <c r="L48" s="1140"/>
      <c r="M48" s="1141"/>
      <c r="N48" s="1141"/>
      <c r="O48" s="1141"/>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6"/>
      <c r="Y48" s="756"/>
      <c r="Z48" s="756"/>
      <c r="AA48" s="756"/>
      <c r="AB48" s="756"/>
      <c r="AC48" s="756"/>
    </row>
    <row r="49" spans="1:29" ht="15.75" thickBot="1">
      <c r="A49" s="492" t="s">
        <v>2578</v>
      </c>
      <c r="B49" s="493"/>
      <c r="C49" s="1412" t="e">
        <f>R49</f>
        <v>#DIV/0!</v>
      </c>
      <c r="D49" s="1413"/>
      <c r="E49" s="1413"/>
      <c r="F49" s="1413"/>
      <c r="G49" s="1413"/>
      <c r="H49" s="1413"/>
      <c r="I49" s="1413"/>
      <c r="J49" s="1413"/>
      <c r="K49" s="2620"/>
      <c r="L49" s="1140"/>
      <c r="M49" s="1141"/>
      <c r="N49" s="1141"/>
      <c r="O49" s="1141"/>
      <c r="P49" s="3193" t="str">
        <f>A49</f>
        <v>估价对象XX用房的比较价值（楼面单价，元/平方米）</v>
      </c>
      <c r="Q49" s="3194"/>
      <c r="R49" s="3195" t="e">
        <f>IF(F1="售价",ROUND(AVERAGE(R48:V48),0),ROUND(AVERAGE(R48:V48),1))</f>
        <v>#DIV/0!</v>
      </c>
      <c r="S49" s="3195"/>
      <c r="T49" s="3195"/>
      <c r="U49" s="3195"/>
      <c r="V49" s="3195"/>
      <c r="W49" s="319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0" t="s">
        <v>2582</v>
      </c>
      <c r="B57" s="756"/>
      <c r="C57" s="761"/>
      <c r="D57" s="761"/>
      <c r="E57" s="761"/>
      <c r="F57" s="762"/>
      <c r="G57" s="762"/>
      <c r="H57" s="761"/>
      <c r="I57" s="761"/>
      <c r="J57" s="761"/>
      <c r="K57" s="1157"/>
      <c r="L57" s="1158"/>
      <c r="M57" s="1156"/>
      <c r="N57" s="1156"/>
      <c r="O57" s="1156"/>
      <c r="P57" s="2623"/>
      <c r="Q57" s="504"/>
    </row>
    <row r="58" spans="1:29" s="508" customFormat="1" ht="15">
      <c r="A58" s="505" t="s">
        <v>2583</v>
      </c>
      <c r="B58" s="506"/>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2587</v>
      </c>
      <c r="B63" s="528" t="s">
        <v>2553</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2097</v>
      </c>
      <c r="C82" s="539" t="s">
        <v>2603</v>
      </c>
      <c r="D82" s="539" t="s">
        <v>2604</v>
      </c>
      <c r="E82" s="539" t="s">
        <v>2605</v>
      </c>
      <c r="F82" s="539" t="s">
        <v>2606</v>
      </c>
      <c r="G82" s="539" t="s">
        <v>2607</v>
      </c>
      <c r="H82" s="539"/>
      <c r="I82" s="539"/>
      <c r="J82" s="539"/>
      <c r="K82" s="539"/>
      <c r="L82" s="539"/>
      <c r="M82" s="1378"/>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2609</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2610</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2562</v>
      </c>
      <c r="B100" s="528" t="s">
        <v>2611</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2613</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2614</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2615</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2616</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2617</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2618</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2573</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2619</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1">
        <v>6</v>
      </c>
      <c r="C139" s="1082">
        <v>96</v>
      </c>
      <c r="D139" s="2645" t="s">
        <v>2630</v>
      </c>
      <c r="E139" s="1083">
        <v>100</v>
      </c>
      <c r="F139" s="1084">
        <v>102.5</v>
      </c>
      <c r="G139" s="2645" t="s">
        <v>2630</v>
      </c>
      <c r="H139" s="1085">
        <v>105</v>
      </c>
      <c r="I139" s="2646" t="s">
        <v>2631</v>
      </c>
      <c r="J139" s="1082">
        <v>20</v>
      </c>
      <c r="K139" s="1086">
        <f>C145/(J139-2)</f>
        <v>4.0555555555555553E-3</v>
      </c>
    </row>
    <row r="140" spans="1:17" ht="15">
      <c r="B140" s="1087">
        <v>5</v>
      </c>
      <c r="C140" s="1088">
        <v>100</v>
      </c>
      <c r="D140" s="1088"/>
      <c r="E140" s="1089"/>
      <c r="F140" s="1090">
        <v>102</v>
      </c>
      <c r="G140" s="1088"/>
      <c r="H140" s="1091"/>
      <c r="I140" s="2647" t="s">
        <v>2632</v>
      </c>
      <c r="J140" s="315">
        <f>ROUNDUP((J139-1)/2,0)</f>
        <v>10</v>
      </c>
      <c r="K140" s="1092">
        <v>100</v>
      </c>
    </row>
    <row r="141" spans="1:17" ht="15">
      <c r="B141" s="1087">
        <v>4</v>
      </c>
      <c r="C141" s="1088">
        <v>102</v>
      </c>
      <c r="D141" s="1088"/>
      <c r="E141" s="1089"/>
      <c r="F141" s="1090">
        <v>101.5</v>
      </c>
      <c r="G141" s="1088"/>
      <c r="H141" s="1091"/>
      <c r="I141" s="2647" t="s">
        <v>2633</v>
      </c>
      <c r="J141" s="315">
        <v>1</v>
      </c>
      <c r="K141" s="1093">
        <f>ROUND(100+(J141-J140)*K139*100,1)</f>
        <v>96.4</v>
      </c>
    </row>
    <row r="142" spans="1:17" ht="15">
      <c r="B142" s="1087">
        <v>3</v>
      </c>
      <c r="C142" s="1088">
        <v>103</v>
      </c>
      <c r="D142" s="1088"/>
      <c r="E142" s="1089"/>
      <c r="F142" s="1090">
        <v>101</v>
      </c>
      <c r="G142" s="1088"/>
      <c r="H142" s="1091"/>
      <c r="I142" s="2647" t="s">
        <v>2634</v>
      </c>
      <c r="J142" s="315">
        <f>J139</f>
        <v>20</v>
      </c>
      <c r="K142" s="1094">
        <v>95</v>
      </c>
    </row>
    <row r="143" spans="1:17" ht="15">
      <c r="B143" s="1087">
        <v>2</v>
      </c>
      <c r="C143" s="1088">
        <v>100</v>
      </c>
      <c r="D143" s="1088"/>
      <c r="E143" s="1089"/>
      <c r="F143" s="1090">
        <v>100.5</v>
      </c>
      <c r="G143" s="1088"/>
      <c r="H143" s="1091"/>
      <c r="I143" s="2647" t="s">
        <v>2635</v>
      </c>
      <c r="J143" s="1088">
        <v>15</v>
      </c>
      <c r="K143" s="1093">
        <f>ROUND(100+(J143-J140)*K139*100,1)</f>
        <v>102</v>
      </c>
    </row>
    <row r="144" spans="1:17" ht="15">
      <c r="B144" s="1087">
        <v>1</v>
      </c>
      <c r="C144" s="1088">
        <v>98</v>
      </c>
      <c r="D144" s="2648" t="s">
        <v>2636</v>
      </c>
      <c r="E144" s="1089">
        <v>102</v>
      </c>
      <c r="F144" s="1095">
        <v>100</v>
      </c>
      <c r="G144" s="2648" t="s">
        <v>2636</v>
      </c>
      <c r="H144" s="1091">
        <v>105</v>
      </c>
      <c r="I144" s="2647" t="s">
        <v>2635</v>
      </c>
      <c r="J144" s="1088">
        <v>18</v>
      </c>
      <c r="K144" s="1093">
        <f>ROUND(100+(J144-J140)*K139*100,1)</f>
        <v>103.2</v>
      </c>
    </row>
    <row r="145" spans="2:11" ht="15.75" thickBot="1">
      <c r="B145" s="2649" t="s">
        <v>2637</v>
      </c>
      <c r="C145" s="1096">
        <f>ROUND(MAX(C139:C144)/MIN(C139:C144)-1,3)</f>
        <v>7.2999999999999995E-2</v>
      </c>
      <c r="D145" s="1097"/>
      <c r="E145" s="1097"/>
      <c r="F145" s="2650" t="s">
        <v>2638</v>
      </c>
      <c r="G145" s="2651"/>
      <c r="H145" s="2652"/>
      <c r="I145" s="2653" t="s">
        <v>2635</v>
      </c>
      <c r="J145" s="1098">
        <v>8</v>
      </c>
      <c r="K145" s="1099">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579" t="s">
        <v>2641</v>
      </c>
      <c r="C1" s="1630" t="s">
        <v>2529</v>
      </c>
      <c r="D1" s="1617"/>
      <c r="E1" s="2654"/>
      <c r="F1" s="2581"/>
      <c r="G1" s="1627" t="s">
        <v>2642</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2326</v>
      </c>
      <c r="B2" s="1414" t="e">
        <f ca="1">IF(C2="——",ROUND(C49*D3/10000,0),ROUND(C49*D3/10000,0)-D2)</f>
        <v>#DIV/0!</v>
      </c>
      <c r="C2" s="2583"/>
      <c r="D2" s="1361" t="e">
        <f ca="1">SUMIF(INDIRECT("'"&amp;F2&amp;"'"&amp;"!A:A"),"承租人权益价值",INDIRECT("'"&amp;F2&amp;"'"&amp;"!c:c"))</f>
        <v>#REF!</v>
      </c>
      <c r="E2" s="2584" t="s">
        <v>2327</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2328</v>
      </c>
      <c r="B3" s="609" t="e">
        <f ca="1">IF(C2="——",C49,ROUND(B2*10000/D3,0))</f>
        <v>#DIV/0!</v>
      </c>
      <c r="C3" s="400" t="s">
        <v>2643</v>
      </c>
      <c r="D3" s="399">
        <f>IF(D1="",'数据-汇总表'!E3,SUMIF('数据-汇总表'!$C19:$C33,D1,'数据-汇总表'!$E19:$E33))</f>
        <v>32523.979999999992</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2644</v>
      </c>
      <c r="B4" s="402"/>
      <c r="C4" s="3211" t="s">
        <v>2645</v>
      </c>
      <c r="D4" s="3212"/>
      <c r="E4" s="3213" t="s">
        <v>2646</v>
      </c>
      <c r="F4" s="3214"/>
      <c r="G4" s="3211" t="s">
        <v>2647</v>
      </c>
      <c r="H4" s="3212"/>
      <c r="I4" s="3211" t="s">
        <v>2648</v>
      </c>
      <c r="J4" s="3212"/>
      <c r="K4" s="610" t="s">
        <v>2649</v>
      </c>
      <c r="L4" s="1127"/>
      <c r="M4" s="1128"/>
      <c r="N4" s="1128"/>
      <c r="O4" s="1128"/>
      <c r="P4" s="3215" t="s">
        <v>2650</v>
      </c>
      <c r="Q4" s="3216"/>
      <c r="R4" s="3221" t="s">
        <v>2646</v>
      </c>
      <c r="S4" s="3222"/>
      <c r="T4" s="3221" t="s">
        <v>2647</v>
      </c>
      <c r="U4" s="3222"/>
      <c r="V4" s="3227" t="s">
        <v>2648</v>
      </c>
      <c r="W4" s="3227"/>
      <c r="X4" s="1809"/>
      <c r="Y4" s="3221" t="s">
        <v>2650</v>
      </c>
      <c r="Z4" s="3222"/>
      <c r="AA4" s="3208" t="s">
        <v>2646</v>
      </c>
      <c r="AB4" s="3227" t="s">
        <v>2647</v>
      </c>
      <c r="AC4" s="3208" t="s">
        <v>2648</v>
      </c>
    </row>
    <row r="5" spans="1:29" ht="15">
      <c r="A5" s="404"/>
      <c r="B5" s="405"/>
      <c r="C5" s="3230" t="s">
        <v>2541</v>
      </c>
      <c r="D5" s="3231"/>
      <c r="E5" s="3237" t="s">
        <v>2542</v>
      </c>
      <c r="F5" s="3238"/>
      <c r="G5" s="3230" t="s">
        <v>2543</v>
      </c>
      <c r="H5" s="3231"/>
      <c r="I5" s="3230" t="s">
        <v>2544</v>
      </c>
      <c r="J5" s="3231"/>
      <c r="K5" s="610"/>
      <c r="L5" s="1127"/>
      <c r="M5" s="1128"/>
      <c r="N5" s="1128"/>
      <c r="O5" s="1128"/>
      <c r="P5" s="3217"/>
      <c r="Q5" s="3218"/>
      <c r="R5" s="3223"/>
      <c r="S5" s="3224"/>
      <c r="T5" s="3223"/>
      <c r="U5" s="3224"/>
      <c r="V5" s="3227"/>
      <c r="W5" s="3227"/>
      <c r="X5" s="1809"/>
      <c r="Y5" s="3223"/>
      <c r="Z5" s="3224"/>
      <c r="AA5" s="3209"/>
      <c r="AB5" s="3227"/>
      <c r="AC5" s="3209"/>
    </row>
    <row r="6" spans="1:29" ht="15.75" thickBot="1">
      <c r="A6" s="406"/>
      <c r="B6" s="407"/>
      <c r="C6" s="3228" t="s">
        <v>2545</v>
      </c>
      <c r="D6" s="3229"/>
      <c r="E6" s="3235" t="s">
        <v>2545</v>
      </c>
      <c r="F6" s="3236"/>
      <c r="G6" s="3228" t="s">
        <v>2545</v>
      </c>
      <c r="H6" s="3229"/>
      <c r="I6" s="3228" t="s">
        <v>2545</v>
      </c>
      <c r="J6" s="3229"/>
      <c r="K6" s="610" t="s">
        <v>2546</v>
      </c>
      <c r="L6" s="1127"/>
      <c r="M6" s="1128"/>
      <c r="N6" s="1128"/>
      <c r="O6" s="1128"/>
      <c r="P6" s="3219"/>
      <c r="Q6" s="3220"/>
      <c r="R6" s="3223"/>
      <c r="S6" s="3224"/>
      <c r="T6" s="3225"/>
      <c r="U6" s="3226"/>
      <c r="V6" s="3227"/>
      <c r="W6" s="3227"/>
      <c r="X6" s="1809"/>
      <c r="Y6" s="3225"/>
      <c r="Z6" s="3226"/>
      <c r="AA6" s="3210"/>
      <c r="AB6" s="3227"/>
      <c r="AC6" s="3210"/>
    </row>
    <row r="7" spans="1:29" s="117" customFormat="1" ht="15.75" thickBot="1">
      <c r="A7" s="408" t="s">
        <v>2547</v>
      </c>
      <c r="B7" s="409"/>
      <c r="C7" s="410">
        <f>'数据-取费表'!B2</f>
        <v>43790</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32" t="s">
        <v>2548</v>
      </c>
      <c r="Q7" s="3234"/>
      <c r="R7" s="767" t="s">
        <v>17</v>
      </c>
      <c r="S7" s="768">
        <f t="shared" ref="S7:S15" si="0">F7</f>
        <v>0</v>
      </c>
      <c r="T7" s="767" t="s">
        <v>17</v>
      </c>
      <c r="U7" s="768">
        <f t="shared" ref="U7:U15" si="1">H7</f>
        <v>0</v>
      </c>
      <c r="V7" s="767" t="s">
        <v>17</v>
      </c>
      <c r="W7" s="768">
        <f t="shared" ref="W7:W15" si="2">J7</f>
        <v>0</v>
      </c>
      <c r="X7" s="769"/>
      <c r="Y7" s="3232" t="s">
        <v>2548</v>
      </c>
      <c r="Z7" s="3233"/>
      <c r="AA7" s="770" t="e">
        <f>D7/F7</f>
        <v>#DIV/0!</v>
      </c>
      <c r="AB7" s="770" t="e">
        <f>D7/H7</f>
        <v>#DIV/0!</v>
      </c>
      <c r="AC7" s="770"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32" t="s">
        <v>2551</v>
      </c>
      <c r="Q8" s="3233"/>
      <c r="R8" s="767" t="s">
        <v>17</v>
      </c>
      <c r="S8" s="768">
        <f t="shared" si="0"/>
        <v>0</v>
      </c>
      <c r="T8" s="767" t="s">
        <v>17</v>
      </c>
      <c r="U8" s="768">
        <f t="shared" si="1"/>
        <v>0</v>
      </c>
      <c r="V8" s="767" t="s">
        <v>17</v>
      </c>
      <c r="W8" s="768">
        <f t="shared" si="2"/>
        <v>0</v>
      </c>
      <c r="X8" s="769"/>
      <c r="Y8" s="3232" t="s">
        <v>2551</v>
      </c>
      <c r="Z8" s="3233"/>
      <c r="AA8" s="770" t="e">
        <f t="shared" ref="AA8:AA46" si="3">D8/F8</f>
        <v>#DIV/0!</v>
      </c>
      <c r="AB8" s="770" t="e">
        <f t="shared" ref="AB8:AB46" si="4">D8/H8</f>
        <v>#DIV/0!</v>
      </c>
      <c r="AC8" s="770"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07" t="s">
        <v>2554</v>
      </c>
      <c r="Q9" s="1791" t="str">
        <f t="shared" ref="Q9:Q15" si="6">B9</f>
        <v>用途</v>
      </c>
      <c r="R9" s="767" t="s">
        <v>17</v>
      </c>
      <c r="S9" s="768">
        <f t="shared" si="0"/>
        <v>100</v>
      </c>
      <c r="T9" s="767" t="s">
        <v>17</v>
      </c>
      <c r="U9" s="768">
        <f t="shared" si="1"/>
        <v>100</v>
      </c>
      <c r="V9" s="767" t="s">
        <v>17</v>
      </c>
      <c r="W9" s="768">
        <f t="shared" si="2"/>
        <v>100</v>
      </c>
      <c r="X9" s="769"/>
      <c r="Y9" s="3024"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07"/>
      <c r="Q10" s="1791"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07"/>
      <c r="Q11" s="1791"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7"/>
      <c r="Q12" s="1791">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7"/>
      <c r="Q13" s="1791">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7"/>
      <c r="Q14" s="1791">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770">
        <f t="shared" si="5"/>
        <v>1</v>
      </c>
    </row>
    <row r="15" spans="1:29" ht="71.25">
      <c r="A15" s="440" t="s">
        <v>2558</v>
      </c>
      <c r="B15" s="69" t="s">
        <v>2652</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05" t="s">
        <v>2559</v>
      </c>
      <c r="Q15" s="1806" t="str">
        <f t="shared" si="6"/>
        <v>商业繁华度</v>
      </c>
      <c r="R15" s="771" t="s">
        <v>17</v>
      </c>
      <c r="S15" s="772">
        <f t="shared" si="0"/>
        <v>100</v>
      </c>
      <c r="T15" s="771" t="s">
        <v>17</v>
      </c>
      <c r="U15" s="772">
        <f t="shared" si="1"/>
        <v>100</v>
      </c>
      <c r="V15" s="771" t="s">
        <v>17</v>
      </c>
      <c r="W15" s="772">
        <f t="shared" si="2"/>
        <v>100</v>
      </c>
      <c r="X15" s="1809"/>
      <c r="Y15" s="3198" t="s">
        <v>2559</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206"/>
      <c r="Q16" s="1806"/>
      <c r="R16" s="771"/>
      <c r="S16" s="772"/>
      <c r="T16" s="771"/>
      <c r="U16" s="772"/>
      <c r="V16" s="771"/>
      <c r="W16" s="772"/>
      <c r="X16" s="1809"/>
      <c r="Y16" s="3199"/>
      <c r="Z16" s="1810"/>
      <c r="AA16" s="1807">
        <v>1</v>
      </c>
      <c r="AB16" s="1807">
        <v>1</v>
      </c>
      <c r="AC16" s="1807">
        <v>1</v>
      </c>
    </row>
    <row r="17" spans="1:29" ht="85.5">
      <c r="A17" s="428"/>
      <c r="B17" s="451" t="s">
        <v>2096</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06"/>
      <c r="Q17" s="1806" t="str">
        <f>B17</f>
        <v>交通便捷度</v>
      </c>
      <c r="R17" s="771" t="s">
        <v>17</v>
      </c>
      <c r="S17" s="772">
        <f>F17</f>
        <v>100</v>
      </c>
      <c r="T17" s="771" t="s">
        <v>17</v>
      </c>
      <c r="U17" s="772">
        <f>H17</f>
        <v>100</v>
      </c>
      <c r="V17" s="771" t="s">
        <v>17</v>
      </c>
      <c r="W17" s="772">
        <f>J17</f>
        <v>100</v>
      </c>
      <c r="X17" s="1809"/>
      <c r="Y17" s="3199"/>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7"/>
      <c r="M18" s="1128"/>
      <c r="N18" s="1128"/>
      <c r="O18" s="1128"/>
      <c r="P18" s="3206"/>
      <c r="Q18" s="1806"/>
      <c r="R18" s="771"/>
      <c r="S18" s="772"/>
      <c r="T18" s="771"/>
      <c r="U18" s="772"/>
      <c r="V18" s="771"/>
      <c r="W18" s="772"/>
      <c r="X18" s="1809"/>
      <c r="Y18" s="3199"/>
      <c r="Z18" s="1810"/>
      <c r="AA18" s="1807">
        <v>1</v>
      </c>
      <c r="AB18" s="1807">
        <v>1</v>
      </c>
      <c r="AC18" s="1807">
        <v>1</v>
      </c>
    </row>
    <row r="19" spans="1:29" ht="42.75">
      <c r="A19" s="428"/>
      <c r="B19" s="451" t="s">
        <v>2653</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06"/>
      <c r="Q19" s="1806" t="str">
        <f>B19</f>
        <v>公共配套设施</v>
      </c>
      <c r="R19" s="771" t="s">
        <v>17</v>
      </c>
      <c r="S19" s="772">
        <f>F19</f>
        <v>100</v>
      </c>
      <c r="T19" s="771" t="s">
        <v>17</v>
      </c>
      <c r="U19" s="772">
        <f>H19</f>
        <v>100</v>
      </c>
      <c r="V19" s="771" t="s">
        <v>17</v>
      </c>
      <c r="W19" s="772">
        <f>J19</f>
        <v>100</v>
      </c>
      <c r="X19" s="1809"/>
      <c r="Y19" s="3199"/>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7"/>
      <c r="M20" s="1128"/>
      <c r="N20" s="1128"/>
      <c r="O20" s="1128"/>
      <c r="P20" s="3206"/>
      <c r="Q20" s="1806"/>
      <c r="R20" s="771"/>
      <c r="S20" s="772"/>
      <c r="T20" s="771"/>
      <c r="U20" s="772"/>
      <c r="V20" s="771"/>
      <c r="W20" s="772"/>
      <c r="X20" s="1809"/>
      <c r="Y20" s="3199"/>
      <c r="Z20" s="1810"/>
      <c r="AA20" s="1807">
        <v>1</v>
      </c>
      <c r="AB20" s="1807">
        <v>1</v>
      </c>
      <c r="AC20" s="1807">
        <v>1</v>
      </c>
    </row>
    <row r="21" spans="1:29" ht="28.5">
      <c r="A21" s="428"/>
      <c r="B21" s="1380" t="s">
        <v>2654</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06"/>
      <c r="Q21" s="1806" t="str">
        <f>B21</f>
        <v>基础设施水平</v>
      </c>
      <c r="R21" s="771" t="s">
        <v>17</v>
      </c>
      <c r="S21" s="772">
        <f>F21</f>
        <v>100</v>
      </c>
      <c r="T21" s="771" t="s">
        <v>17</v>
      </c>
      <c r="U21" s="772">
        <f>H21</f>
        <v>100</v>
      </c>
      <c r="V21" s="771" t="s">
        <v>17</v>
      </c>
      <c r="W21" s="772">
        <f>J21</f>
        <v>100</v>
      </c>
      <c r="X21" s="1809"/>
      <c r="Y21" s="3199"/>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7"/>
      <c r="M22" s="1128"/>
      <c r="N22" s="1128"/>
      <c r="O22" s="1128"/>
      <c r="P22" s="3206"/>
      <c r="Q22" s="1806"/>
      <c r="R22" s="771"/>
      <c r="S22" s="772"/>
      <c r="T22" s="771"/>
      <c r="U22" s="772"/>
      <c r="V22" s="771"/>
      <c r="W22" s="772"/>
      <c r="X22" s="1809"/>
      <c r="Y22" s="3199"/>
      <c r="Z22" s="1810"/>
      <c r="AA22" s="1807">
        <v>1</v>
      </c>
      <c r="AB22" s="1807">
        <v>1</v>
      </c>
      <c r="AC22" s="1807">
        <v>1</v>
      </c>
    </row>
    <row r="23" spans="1:29" ht="57">
      <c r="A23" s="428"/>
      <c r="B23" s="451" t="s">
        <v>2101</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06"/>
      <c r="Q23" s="1806" t="str">
        <f>B23</f>
        <v>自然及人文环境</v>
      </c>
      <c r="R23" s="771" t="s">
        <v>17</v>
      </c>
      <c r="S23" s="772">
        <f>F23</f>
        <v>100</v>
      </c>
      <c r="T23" s="771" t="s">
        <v>17</v>
      </c>
      <c r="U23" s="772">
        <f>H23</f>
        <v>100</v>
      </c>
      <c r="V23" s="771" t="s">
        <v>17</v>
      </c>
      <c r="W23" s="772">
        <f>J23</f>
        <v>100</v>
      </c>
      <c r="X23" s="1809"/>
      <c r="Y23" s="3199"/>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37"/>
      <c r="M24" s="1128"/>
      <c r="N24" s="1128"/>
      <c r="O24" s="1128"/>
      <c r="P24" s="3206"/>
      <c r="Q24" s="1806"/>
      <c r="R24" s="771"/>
      <c r="S24" s="772"/>
      <c r="T24" s="771"/>
      <c r="U24" s="772"/>
      <c r="V24" s="771"/>
      <c r="W24" s="772"/>
      <c r="X24" s="1809"/>
      <c r="Y24" s="3199"/>
      <c r="Z24" s="1810"/>
      <c r="AA24" s="1807">
        <v>1</v>
      </c>
      <c r="AB24" s="1807">
        <v>1</v>
      </c>
      <c r="AC24" s="1807">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06"/>
      <c r="Q25" s="1806" t="str">
        <f t="shared" ref="Q25:Q46" si="11">B25</f>
        <v>临街状况</v>
      </c>
      <c r="R25" s="771" t="s">
        <v>17</v>
      </c>
      <c r="S25" s="772">
        <f>F25</f>
        <v>100</v>
      </c>
      <c r="T25" s="771" t="s">
        <v>17</v>
      </c>
      <c r="U25" s="772">
        <f>H25</f>
        <v>100</v>
      </c>
      <c r="V25" s="771" t="s">
        <v>17</v>
      </c>
      <c r="W25" s="772">
        <f>J25</f>
        <v>100</v>
      </c>
      <c r="X25" s="1809"/>
      <c r="Y25" s="3199"/>
      <c r="Z25" s="1810" t="str">
        <f>Q25</f>
        <v>临街状况</v>
      </c>
      <c r="AA25" s="1807">
        <f t="shared" si="3"/>
        <v>1</v>
      </c>
      <c r="AB25" s="1807">
        <f t="shared" si="4"/>
        <v>1</v>
      </c>
      <c r="AC25" s="1807">
        <f t="shared" si="5"/>
        <v>1</v>
      </c>
    </row>
    <row r="26" spans="1:29" ht="15">
      <c r="A26" s="428"/>
      <c r="B26" s="1382" t="s">
        <v>2656</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06"/>
      <c r="Q26" s="1806" t="str">
        <f t="shared" si="11"/>
        <v>平面位置/可视性</v>
      </c>
      <c r="R26" s="771" t="s">
        <v>17</v>
      </c>
      <c r="S26" s="772">
        <f>F26</f>
        <v>100</v>
      </c>
      <c r="T26" s="771" t="s">
        <v>17</v>
      </c>
      <c r="U26" s="772">
        <f>H26</f>
        <v>100</v>
      </c>
      <c r="V26" s="771" t="s">
        <v>17</v>
      </c>
      <c r="W26" s="772">
        <f>J26</f>
        <v>100</v>
      </c>
      <c r="X26" s="1809"/>
      <c r="Y26" s="3199"/>
      <c r="Z26" s="1810" t="str">
        <f>Q26</f>
        <v>平面位置/可视性</v>
      </c>
      <c r="AA26" s="1807">
        <f t="shared" si="3"/>
        <v>1</v>
      </c>
      <c r="AB26" s="1807">
        <f t="shared" si="4"/>
        <v>1</v>
      </c>
      <c r="AC26" s="1807">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206"/>
      <c r="Q27" s="1791" t="str">
        <f t="shared" si="11"/>
        <v>人流量</v>
      </c>
      <c r="R27" s="767" t="s">
        <v>17</v>
      </c>
      <c r="S27" s="768">
        <f>F27</f>
        <v>100</v>
      </c>
      <c r="T27" s="767" t="s">
        <v>17</v>
      </c>
      <c r="U27" s="768">
        <f>H27</f>
        <v>100</v>
      </c>
      <c r="V27" s="767" t="s">
        <v>17</v>
      </c>
      <c r="W27" s="768">
        <f>J27</f>
        <v>100</v>
      </c>
      <c r="X27" s="769"/>
      <c r="Y27" s="3199"/>
      <c r="Z27" s="55" t="str">
        <f>Q27</f>
        <v>人流量</v>
      </c>
      <c r="AA27" s="1807">
        <f>D27/F27</f>
        <v>1</v>
      </c>
      <c r="AB27" s="1807">
        <f>D27/H27</f>
        <v>1</v>
      </c>
      <c r="AC27" s="1807">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06"/>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99"/>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06"/>
      <c r="Q29" s="1806">
        <f t="shared" si="11"/>
        <v>111</v>
      </c>
      <c r="R29" s="771" t="s">
        <v>17</v>
      </c>
      <c r="S29" s="772">
        <f t="shared" si="12"/>
        <v>100</v>
      </c>
      <c r="T29" s="771" t="s">
        <v>17</v>
      </c>
      <c r="U29" s="772">
        <f t="shared" si="13"/>
        <v>100</v>
      </c>
      <c r="V29" s="771" t="s">
        <v>17</v>
      </c>
      <c r="W29" s="772">
        <f t="shared" si="14"/>
        <v>100</v>
      </c>
      <c r="X29" s="1809"/>
      <c r="Y29" s="3199"/>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06"/>
      <c r="Q30" s="1806">
        <f t="shared" si="11"/>
        <v>111</v>
      </c>
      <c r="R30" s="771" t="s">
        <v>17</v>
      </c>
      <c r="S30" s="772">
        <f t="shared" si="12"/>
        <v>100</v>
      </c>
      <c r="T30" s="771" t="s">
        <v>17</v>
      </c>
      <c r="U30" s="772">
        <f t="shared" si="13"/>
        <v>100</v>
      </c>
      <c r="V30" s="771" t="s">
        <v>17</v>
      </c>
      <c r="W30" s="772">
        <f t="shared" si="14"/>
        <v>100</v>
      </c>
      <c r="X30" s="1809"/>
      <c r="Y30" s="3199"/>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06"/>
      <c r="Q31" s="1806">
        <f t="shared" si="11"/>
        <v>111</v>
      </c>
      <c r="R31" s="771" t="s">
        <v>17</v>
      </c>
      <c r="S31" s="772">
        <f t="shared" si="12"/>
        <v>100</v>
      </c>
      <c r="T31" s="771" t="s">
        <v>17</v>
      </c>
      <c r="U31" s="772">
        <f t="shared" si="13"/>
        <v>100</v>
      </c>
      <c r="V31" s="771" t="s">
        <v>17</v>
      </c>
      <c r="W31" s="772">
        <f t="shared" si="14"/>
        <v>100</v>
      </c>
      <c r="X31" s="1809"/>
      <c r="Y31" s="3199"/>
      <c r="Z31" s="1810">
        <f t="shared" si="15"/>
        <v>111</v>
      </c>
      <c r="AA31" s="1807">
        <f t="shared" si="3"/>
        <v>1</v>
      </c>
      <c r="AB31" s="1807">
        <f t="shared" si="4"/>
        <v>1</v>
      </c>
      <c r="AC31" s="1807">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200" t="s">
        <v>2564</v>
      </c>
      <c r="Q32" s="1806" t="str">
        <f t="shared" si="11"/>
        <v>商业类型</v>
      </c>
      <c r="R32" s="771" t="s">
        <v>17</v>
      </c>
      <c r="S32" s="772">
        <f t="shared" si="12"/>
        <v>100</v>
      </c>
      <c r="T32" s="771" t="s">
        <v>17</v>
      </c>
      <c r="U32" s="772">
        <f t="shared" si="13"/>
        <v>100</v>
      </c>
      <c r="V32" s="771" t="s">
        <v>17</v>
      </c>
      <c r="W32" s="772">
        <f t="shared" si="14"/>
        <v>100</v>
      </c>
      <c r="X32" s="1809"/>
      <c r="Y32" s="3203" t="s">
        <v>2564</v>
      </c>
      <c r="Z32" s="1810" t="str">
        <f t="shared" si="15"/>
        <v>商业类型</v>
      </c>
      <c r="AA32" s="1807">
        <f t="shared" si="3"/>
        <v>1</v>
      </c>
      <c r="AB32" s="1807">
        <f t="shared" si="4"/>
        <v>1</v>
      </c>
      <c r="AC32" s="1807">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01"/>
      <c r="Q33" s="773" t="str">
        <f t="shared" si="11"/>
        <v>项目建筑规模</v>
      </c>
      <c r="R33" s="774" t="s">
        <v>17</v>
      </c>
      <c r="S33" s="775" t="e">
        <f t="shared" si="12"/>
        <v>#N/A</v>
      </c>
      <c r="T33" s="774" t="s">
        <v>17</v>
      </c>
      <c r="U33" s="775" t="e">
        <f t="shared" si="13"/>
        <v>#N/A</v>
      </c>
      <c r="V33" s="774" t="s">
        <v>17</v>
      </c>
      <c r="W33" s="775" t="e">
        <f t="shared" si="14"/>
        <v>#N/A</v>
      </c>
      <c r="X33" s="776"/>
      <c r="Y33" s="3203"/>
      <c r="Z33" s="777" t="str">
        <f t="shared" si="15"/>
        <v>项目建筑规模</v>
      </c>
      <c r="AA33" s="1807" t="e">
        <f t="shared" si="3"/>
        <v>#N/A</v>
      </c>
      <c r="AB33" s="1807" t="e">
        <f t="shared" si="4"/>
        <v>#N/A</v>
      </c>
      <c r="AC33" s="1807"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201"/>
      <c r="Q34" s="1806" t="str">
        <f t="shared" si="11"/>
        <v>建筑结构</v>
      </c>
      <c r="R34" s="771" t="s">
        <v>17</v>
      </c>
      <c r="S34" s="772">
        <f t="shared" si="12"/>
        <v>100</v>
      </c>
      <c r="T34" s="771" t="s">
        <v>17</v>
      </c>
      <c r="U34" s="772">
        <f t="shared" si="13"/>
        <v>100</v>
      </c>
      <c r="V34" s="771" t="s">
        <v>17</v>
      </c>
      <c r="W34" s="772">
        <f t="shared" si="14"/>
        <v>100</v>
      </c>
      <c r="X34" s="1809"/>
      <c r="Y34" s="3203"/>
      <c r="Z34" s="1810" t="str">
        <f t="shared" si="15"/>
        <v>建筑结构</v>
      </c>
      <c r="AA34" s="1807">
        <f t="shared" si="3"/>
        <v>1</v>
      </c>
      <c r="AB34" s="1807">
        <f t="shared" si="4"/>
        <v>1</v>
      </c>
      <c r="AC34" s="1807">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201"/>
      <c r="Q35" s="1806" t="str">
        <f t="shared" si="11"/>
        <v>公共部分装修</v>
      </c>
      <c r="R35" s="771" t="s">
        <v>17</v>
      </c>
      <c r="S35" s="772">
        <f t="shared" si="12"/>
        <v>100</v>
      </c>
      <c r="T35" s="771" t="s">
        <v>17</v>
      </c>
      <c r="U35" s="772">
        <f t="shared" si="13"/>
        <v>100</v>
      </c>
      <c r="V35" s="771" t="s">
        <v>17</v>
      </c>
      <c r="W35" s="772">
        <f t="shared" si="14"/>
        <v>100</v>
      </c>
      <c r="X35" s="1809"/>
      <c r="Y35" s="3203"/>
      <c r="Z35" s="1810" t="str">
        <f t="shared" si="15"/>
        <v>公共部分装修</v>
      </c>
      <c r="AA35" s="1807">
        <f t="shared" si="3"/>
        <v>1</v>
      </c>
      <c r="AB35" s="1807">
        <f t="shared" si="4"/>
        <v>1</v>
      </c>
      <c r="AC35" s="1807">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01"/>
      <c r="Q36" s="1806" t="str">
        <f t="shared" si="11"/>
        <v>成新度</v>
      </c>
      <c r="R36" s="771" t="s">
        <v>17</v>
      </c>
      <c r="S36" s="772" t="e">
        <f t="shared" si="12"/>
        <v>#N/A</v>
      </c>
      <c r="T36" s="771" t="s">
        <v>17</v>
      </c>
      <c r="U36" s="772" t="e">
        <f t="shared" si="13"/>
        <v>#N/A</v>
      </c>
      <c r="V36" s="771" t="s">
        <v>17</v>
      </c>
      <c r="W36" s="772" t="e">
        <f t="shared" si="14"/>
        <v>#N/A</v>
      </c>
      <c r="X36" s="1809"/>
      <c r="Y36" s="3203"/>
      <c r="Z36" s="1810" t="str">
        <f t="shared" si="15"/>
        <v>成新度</v>
      </c>
      <c r="AA36" s="1807" t="e">
        <f t="shared" si="3"/>
        <v>#N/A</v>
      </c>
      <c r="AB36" s="1807" t="e">
        <f t="shared" si="4"/>
        <v>#N/A</v>
      </c>
      <c r="AC36" s="1807"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201"/>
      <c r="Q37" s="1791" t="str">
        <f t="shared" si="11"/>
        <v>市政基础设施</v>
      </c>
      <c r="R37" s="767" t="s">
        <v>17</v>
      </c>
      <c r="S37" s="768">
        <f t="shared" si="12"/>
        <v>100</v>
      </c>
      <c r="T37" s="767" t="s">
        <v>17</v>
      </c>
      <c r="U37" s="768">
        <f t="shared" si="13"/>
        <v>100</v>
      </c>
      <c r="V37" s="767" t="s">
        <v>17</v>
      </c>
      <c r="W37" s="768">
        <f t="shared" si="14"/>
        <v>100</v>
      </c>
      <c r="X37" s="769"/>
      <c r="Y37" s="3203"/>
      <c r="Z37" s="55" t="str">
        <f t="shared" si="15"/>
        <v>市政基础设施</v>
      </c>
      <c r="AA37" s="770">
        <f t="shared" si="3"/>
        <v>1</v>
      </c>
      <c r="AB37" s="770">
        <f t="shared" si="4"/>
        <v>1</v>
      </c>
      <c r="AC37" s="770">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201" t="s">
        <v>2564</v>
      </c>
      <c r="Q38" s="1806" t="str">
        <f t="shared" si="11"/>
        <v>业态</v>
      </c>
      <c r="R38" s="771" t="s">
        <v>17</v>
      </c>
      <c r="S38" s="772">
        <f t="shared" si="12"/>
        <v>100</v>
      </c>
      <c r="T38" s="771" t="s">
        <v>17</v>
      </c>
      <c r="U38" s="772">
        <f t="shared" si="13"/>
        <v>100</v>
      </c>
      <c r="V38" s="771" t="s">
        <v>17</v>
      </c>
      <c r="W38" s="772">
        <f t="shared" si="14"/>
        <v>100</v>
      </c>
      <c r="X38" s="1809"/>
      <c r="Y38" s="3203" t="s">
        <v>2564</v>
      </c>
      <c r="Z38" s="1810" t="str">
        <f t="shared" si="15"/>
        <v>业态</v>
      </c>
      <c r="AA38" s="1807">
        <f t="shared" si="3"/>
        <v>1</v>
      </c>
      <c r="AB38" s="1807">
        <f t="shared" si="4"/>
        <v>1</v>
      </c>
      <c r="AC38" s="1807">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201"/>
      <c r="Q39" s="1806" t="str">
        <f t="shared" si="11"/>
        <v>层高</v>
      </c>
      <c r="R39" s="771" t="s">
        <v>17</v>
      </c>
      <c r="S39" s="772">
        <f t="shared" si="12"/>
        <v>100</v>
      </c>
      <c r="T39" s="771" t="s">
        <v>17</v>
      </c>
      <c r="U39" s="772">
        <f t="shared" si="13"/>
        <v>100</v>
      </c>
      <c r="V39" s="771" t="s">
        <v>17</v>
      </c>
      <c r="W39" s="772">
        <f t="shared" si="14"/>
        <v>100</v>
      </c>
      <c r="X39" s="1809"/>
      <c r="Y39" s="3203"/>
      <c r="Z39" s="1810" t="str">
        <f t="shared" si="15"/>
        <v>层高</v>
      </c>
      <c r="AA39" s="1807">
        <f t="shared" si="3"/>
        <v>1</v>
      </c>
      <c r="AB39" s="1807">
        <f t="shared" si="4"/>
        <v>1</v>
      </c>
      <c r="AC39" s="1807">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01"/>
      <c r="Q40" s="1806" t="str">
        <f t="shared" si="11"/>
        <v>单套建筑面积</v>
      </c>
      <c r="R40" s="771" t="s">
        <v>17</v>
      </c>
      <c r="S40" s="772">
        <f t="shared" si="12"/>
        <v>100</v>
      </c>
      <c r="T40" s="771" t="s">
        <v>17</v>
      </c>
      <c r="U40" s="772">
        <f t="shared" si="13"/>
        <v>100</v>
      </c>
      <c r="V40" s="771" t="s">
        <v>17</v>
      </c>
      <c r="W40" s="772">
        <f t="shared" si="14"/>
        <v>100</v>
      </c>
      <c r="X40" s="1809"/>
      <c r="Y40" s="3203"/>
      <c r="Z40" s="1810" t="str">
        <f t="shared" si="15"/>
        <v>单套建筑面积</v>
      </c>
      <c r="AA40" s="1807">
        <f t="shared" si="3"/>
        <v>1</v>
      </c>
      <c r="AB40" s="1807">
        <f t="shared" si="4"/>
        <v>1</v>
      </c>
      <c r="AC40" s="1807">
        <f t="shared" si="5"/>
        <v>1</v>
      </c>
    </row>
    <row r="41" spans="1:29" s="471" customFormat="1" ht="15">
      <c r="A41" s="468"/>
      <c r="B41" s="1808"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01"/>
      <c r="Q41" s="773" t="str">
        <f t="shared" si="11"/>
        <v>进深比</v>
      </c>
      <c r="R41" s="774" t="s">
        <v>17</v>
      </c>
      <c r="S41" s="775">
        <f t="shared" si="12"/>
        <v>100</v>
      </c>
      <c r="T41" s="774" t="s">
        <v>17</v>
      </c>
      <c r="U41" s="775">
        <f t="shared" si="13"/>
        <v>100</v>
      </c>
      <c r="V41" s="774" t="s">
        <v>17</v>
      </c>
      <c r="W41" s="775">
        <f t="shared" si="14"/>
        <v>100</v>
      </c>
      <c r="X41" s="776"/>
      <c r="Y41" s="3203"/>
      <c r="Z41" s="777" t="str">
        <f t="shared" si="15"/>
        <v>进深比</v>
      </c>
      <c r="AA41" s="1807">
        <f t="shared" si="3"/>
        <v>1</v>
      </c>
      <c r="AB41" s="1807">
        <f t="shared" si="4"/>
        <v>1</v>
      </c>
      <c r="AC41" s="1807">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201"/>
      <c r="Q42" s="1806" t="str">
        <f t="shared" si="11"/>
        <v>内部装修</v>
      </c>
      <c r="R42" s="771" t="s">
        <v>17</v>
      </c>
      <c r="S42" s="772">
        <f t="shared" si="12"/>
        <v>100</v>
      </c>
      <c r="T42" s="771" t="s">
        <v>17</v>
      </c>
      <c r="U42" s="772">
        <f t="shared" si="13"/>
        <v>100</v>
      </c>
      <c r="V42" s="771" t="s">
        <v>17</v>
      </c>
      <c r="W42" s="772">
        <f t="shared" si="14"/>
        <v>100</v>
      </c>
      <c r="X42" s="1809"/>
      <c r="Y42" s="3203"/>
      <c r="Z42" s="1810" t="str">
        <f t="shared" si="15"/>
        <v>内部装修</v>
      </c>
      <c r="AA42" s="1807">
        <f t="shared" si="3"/>
        <v>1</v>
      </c>
      <c r="AB42" s="1807">
        <f t="shared" si="4"/>
        <v>1</v>
      </c>
      <c r="AC42" s="1807">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201"/>
      <c r="Q43" s="1806" t="str">
        <f t="shared" si="11"/>
        <v>内部装修维护情况</v>
      </c>
      <c r="R43" s="771" t="s">
        <v>17</v>
      </c>
      <c r="S43" s="772">
        <f t="shared" si="12"/>
        <v>100</v>
      </c>
      <c r="T43" s="771" t="s">
        <v>17</v>
      </c>
      <c r="U43" s="772">
        <f t="shared" si="13"/>
        <v>100</v>
      </c>
      <c r="V43" s="771" t="s">
        <v>17</v>
      </c>
      <c r="W43" s="772">
        <f t="shared" si="14"/>
        <v>100</v>
      </c>
      <c r="X43" s="1809"/>
      <c r="Y43" s="3203"/>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01"/>
      <c r="Q44" s="1791">
        <f t="shared" si="11"/>
        <v>111</v>
      </c>
      <c r="R44" s="767" t="s">
        <v>17</v>
      </c>
      <c r="S44" s="768">
        <f t="shared" si="12"/>
        <v>100</v>
      </c>
      <c r="T44" s="767" t="s">
        <v>17</v>
      </c>
      <c r="U44" s="768">
        <f t="shared" si="13"/>
        <v>100</v>
      </c>
      <c r="V44" s="767" t="s">
        <v>17</v>
      </c>
      <c r="W44" s="768">
        <f t="shared" si="14"/>
        <v>100</v>
      </c>
      <c r="X44" s="769"/>
      <c r="Y44" s="3203"/>
      <c r="Z44" s="55">
        <f t="shared" si="15"/>
        <v>111</v>
      </c>
      <c r="AA44" s="770">
        <f t="shared" si="3"/>
        <v>1</v>
      </c>
      <c r="AB44" s="770">
        <f t="shared" si="4"/>
        <v>1</v>
      </c>
      <c r="AC44" s="770">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01"/>
      <c r="Q45" s="1806">
        <f t="shared" si="11"/>
        <v>111</v>
      </c>
      <c r="R45" s="771" t="s">
        <v>17</v>
      </c>
      <c r="S45" s="772">
        <f t="shared" si="12"/>
        <v>100</v>
      </c>
      <c r="T45" s="771" t="s">
        <v>17</v>
      </c>
      <c r="U45" s="772">
        <f t="shared" si="13"/>
        <v>100</v>
      </c>
      <c r="V45" s="771" t="s">
        <v>17</v>
      </c>
      <c r="W45" s="772">
        <f t="shared" si="14"/>
        <v>100</v>
      </c>
      <c r="X45" s="1809"/>
      <c r="Y45" s="3203"/>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02"/>
      <c r="Q46" s="1806">
        <f t="shared" si="11"/>
        <v>111</v>
      </c>
      <c r="R46" s="771" t="s">
        <v>17</v>
      </c>
      <c r="S46" s="772">
        <f t="shared" si="12"/>
        <v>100</v>
      </c>
      <c r="T46" s="771" t="s">
        <v>17</v>
      </c>
      <c r="U46" s="772">
        <f t="shared" si="13"/>
        <v>100</v>
      </c>
      <c r="V46" s="771" t="s">
        <v>17</v>
      </c>
      <c r="W46" s="772">
        <f t="shared" si="14"/>
        <v>100</v>
      </c>
      <c r="X46" s="1809"/>
      <c r="Y46" s="3204"/>
      <c r="Z46" s="1810">
        <f t="shared" si="15"/>
        <v>111</v>
      </c>
      <c r="AA46" s="1807">
        <f t="shared" si="3"/>
        <v>1</v>
      </c>
      <c r="AB46" s="1807">
        <f t="shared" si="4"/>
        <v>1</v>
      </c>
      <c r="AC46" s="1807">
        <f t="shared" si="5"/>
        <v>1</v>
      </c>
    </row>
    <row r="47" spans="1:29" ht="15">
      <c r="A47" s="479" t="s">
        <v>2576</v>
      </c>
      <c r="B47" s="480"/>
      <c r="C47" s="1403" t="s">
        <v>1</v>
      </c>
      <c r="D47" s="1404"/>
      <c r="E47" s="1405"/>
      <c r="F47" s="1406"/>
      <c r="G47" s="1407"/>
      <c r="H47" s="1408"/>
      <c r="I47" s="1405"/>
      <c r="J47" s="1408"/>
      <c r="K47" s="780"/>
      <c r="L47" s="1140"/>
      <c r="M47" s="1141"/>
      <c r="N47" s="1128"/>
      <c r="O47" s="1141"/>
      <c r="P47" s="3196" t="str">
        <f>A47</f>
        <v>成交单价（元/平方米）</v>
      </c>
      <c r="Q47" s="3196"/>
      <c r="R47" s="3227">
        <f>E47</f>
        <v>0</v>
      </c>
      <c r="S47" s="3227"/>
      <c r="T47" s="3227">
        <f>G47</f>
        <v>0</v>
      </c>
      <c r="U47" s="3227"/>
      <c r="V47" s="3227">
        <f>I47</f>
        <v>0</v>
      </c>
      <c r="W47" s="3227"/>
      <c r="X47" s="756"/>
      <c r="Y47" s="778"/>
      <c r="Z47" s="756"/>
      <c r="AA47" s="756"/>
      <c r="AB47" s="756"/>
      <c r="AC47" s="756"/>
    </row>
    <row r="48" spans="1:29" ht="15.75" thickBot="1">
      <c r="A48" s="486" t="s">
        <v>2668</v>
      </c>
      <c r="B48" s="487"/>
      <c r="C48" s="1409" t="e">
        <f>R49</f>
        <v>#DIV/0!</v>
      </c>
      <c r="D48" s="1410"/>
      <c r="E48" s="1411" t="e">
        <f>R48</f>
        <v>#DIV/0!</v>
      </c>
      <c r="F48" s="1411"/>
      <c r="G48" s="1409" t="e">
        <f>T48</f>
        <v>#DIV/0!</v>
      </c>
      <c r="H48" s="1410"/>
      <c r="I48" s="1411" t="e">
        <f>V48</f>
        <v>#DIV/0!</v>
      </c>
      <c r="J48" s="1410"/>
      <c r="K48" s="781"/>
      <c r="L48" s="1140"/>
      <c r="M48" s="1141"/>
      <c r="N48" s="1128"/>
      <c r="O48" s="1141"/>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6"/>
      <c r="Y48" s="756"/>
      <c r="Z48" s="756"/>
      <c r="AA48" s="756"/>
      <c r="AB48" s="756"/>
      <c r="AC48" s="756"/>
    </row>
    <row r="49" spans="1:29" ht="15.75" thickBot="1">
      <c r="A49" s="492" t="s">
        <v>2669</v>
      </c>
      <c r="B49" s="493"/>
      <c r="C49" s="1413" t="e">
        <f>R49</f>
        <v>#DIV/0!</v>
      </c>
      <c r="D49" s="1413"/>
      <c r="E49" s="1413"/>
      <c r="F49" s="1413"/>
      <c r="G49" s="1413"/>
      <c r="H49" s="1413"/>
      <c r="I49" s="1413"/>
      <c r="J49" s="1413"/>
      <c r="K49" s="782"/>
      <c r="L49" s="1140"/>
      <c r="M49" s="1141"/>
      <c r="N49" s="1128"/>
      <c r="O49" s="1141"/>
      <c r="P49" s="3193" t="str">
        <f>A49</f>
        <v>估价对象XX用房的比较价值（楼面单价，元/平方米）</v>
      </c>
      <c r="Q49" s="3194"/>
      <c r="R49" s="3195" t="e">
        <f>IF(F1="售价",ROUND(AVERAGE(R48:V48),0),ROUND(AVERAGE(R48:V48),1))</f>
        <v>#DIV/0!</v>
      </c>
      <c r="S49" s="3195"/>
      <c r="T49" s="3195"/>
      <c r="U49" s="3195"/>
      <c r="V49" s="3195"/>
      <c r="W49" s="319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5"/>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5"/>
      <c r="Q51" s="756"/>
      <c r="R51" s="756"/>
      <c r="S51" s="756"/>
      <c r="T51" s="756"/>
      <c r="U51" s="756"/>
      <c r="V51" s="756"/>
      <c r="W51" s="756"/>
      <c r="X51" s="756"/>
      <c r="Y51" s="756"/>
      <c r="Z51" s="756"/>
      <c r="AA51" s="756"/>
      <c r="AB51" s="756"/>
      <c r="AC51" s="756"/>
    </row>
    <row r="52" spans="1:29" ht="13.5" customHeight="1">
      <c r="A52" s="1141"/>
      <c r="B52" s="1141"/>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6"/>
      <c r="R52" s="756"/>
      <c r="S52" s="756"/>
      <c r="T52" s="756"/>
      <c r="U52" s="756"/>
      <c r="V52" s="756"/>
      <c r="W52" s="756"/>
      <c r="X52" s="756"/>
      <c r="Y52" s="756"/>
      <c r="Z52" s="756"/>
      <c r="AA52" s="756"/>
      <c r="AB52" s="756"/>
      <c r="AC52" s="756"/>
    </row>
    <row r="53" spans="1:29" ht="13.5" customHeight="1">
      <c r="A53" s="1141"/>
      <c r="B53" s="1141"/>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6"/>
      <c r="R53" s="756"/>
      <c r="S53" s="756"/>
      <c r="T53" s="756"/>
      <c r="U53" s="756"/>
      <c r="V53" s="756"/>
      <c r="W53" s="756"/>
      <c r="X53" s="756"/>
      <c r="Y53" s="756"/>
      <c r="Z53" s="756"/>
      <c r="AA53" s="756"/>
      <c r="AB53" s="756"/>
      <c r="AC53" s="756"/>
    </row>
    <row r="54" spans="1:29" s="502" customFormat="1" ht="13.5" customHeight="1">
      <c r="A54" s="1142"/>
      <c r="B54" s="1142"/>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63"/>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5"/>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58"/>
      <c r="M57" s="1156"/>
      <c r="N57" s="1156"/>
      <c r="O57" s="1156"/>
      <c r="P57" s="2664"/>
      <c r="Q57" s="2665"/>
      <c r="R57" s="756"/>
      <c r="S57" s="756"/>
      <c r="T57" s="756"/>
      <c r="U57" s="756"/>
      <c r="V57" s="756"/>
      <c r="W57" s="756"/>
      <c r="X57" s="756"/>
      <c r="Y57" s="756"/>
      <c r="Z57" s="756"/>
      <c r="AA57" s="756"/>
      <c r="AB57" s="756"/>
      <c r="AC57" s="756"/>
    </row>
    <row r="58" spans="1:29" s="508" customFormat="1" ht="15">
      <c r="A58" s="505" t="s">
        <v>2547</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2587</v>
      </c>
      <c r="B63" s="528" t="s">
        <v>2553</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78"/>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2679</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2562</v>
      </c>
      <c r="B100" s="528" t="s">
        <v>2680</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2613</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2615</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2617</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2681</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2682</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2683</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2684</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2619</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F16"/>
  <sheetViews>
    <sheetView workbookViewId="0">
      <selection activeCell="D16" sqref="D16"/>
    </sheetView>
  </sheetViews>
  <sheetFormatPr defaultRowHeight="13.5"/>
  <cols>
    <col min="6" max="6" width="9.25" customWidth="1"/>
  </cols>
  <sheetData>
    <row r="9" spans="4:6">
      <c r="D9" s="2979" t="s">
        <v>3146</v>
      </c>
      <c r="E9" s="2979" t="s">
        <v>3148</v>
      </c>
      <c r="F9" s="2979" t="s">
        <v>3150</v>
      </c>
    </row>
    <row r="10" spans="4:6">
      <c r="D10">
        <v>6</v>
      </c>
      <c r="E10">
        <f>'数据-汇总表'!F19</f>
        <v>25527.419999999991</v>
      </c>
      <c r="F10">
        <f>E10*D10</f>
        <v>153164.51999999996</v>
      </c>
    </row>
    <row r="11" spans="4:6">
      <c r="D11" s="2979" t="s">
        <v>3147</v>
      </c>
      <c r="E11" s="2979" t="s">
        <v>3149</v>
      </c>
    </row>
    <row r="12" spans="4:6">
      <c r="D12">
        <f>D10*0.8</f>
        <v>4.8000000000000007</v>
      </c>
      <c r="E12">
        <f>'数据-汇总表'!G19</f>
        <v>4743.7299999999996</v>
      </c>
      <c r="F12">
        <f>E12*D12</f>
        <v>22769.904000000002</v>
      </c>
    </row>
    <row r="15" spans="4:6">
      <c r="D15" s="2979" t="s">
        <v>3151</v>
      </c>
    </row>
    <row r="16" spans="4:6">
      <c r="D16">
        <f>(F12+F10)/(E10+E12)</f>
        <v>5.8119504544756317</v>
      </c>
    </row>
  </sheetData>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I47" sqref="I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666" t="s">
        <v>2685</v>
      </c>
      <c r="C1" s="1616" t="s">
        <v>2529</v>
      </c>
      <c r="D1" s="1617" t="s">
        <v>27</v>
      </c>
      <c r="E1" s="1626"/>
      <c r="F1" s="2581" t="s">
        <v>3086</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f>IF(C2="——",ROUND(C50*D3/10000,0),ROUND(C50*D3/10000,0)-D2)</f>
        <v>105949</v>
      </c>
      <c r="C2" s="2583" t="s">
        <v>70</v>
      </c>
      <c r="D2" s="1361" t="e">
        <f ca="1">SUMIF(INDIRECT("'"&amp;F2&amp;"'"&amp;"!A:A"),"承租人权益价值",INDIRECT("'"&amp;F2&amp;"'"&amp;"!c:c"))</f>
        <v>#REF!</v>
      </c>
      <c r="E2" s="2584" t="s">
        <v>2327</v>
      </c>
      <c r="F2" s="2585"/>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2328</v>
      </c>
      <c r="B3" s="609">
        <f>IF(C2="——",C50,ROUND(B2*10000/D3,0))</f>
        <v>35000</v>
      </c>
      <c r="C3" s="400" t="s">
        <v>2643</v>
      </c>
      <c r="D3" s="399">
        <f>IF(D1="",'数据-汇总表'!E3,SUMIF('数据-汇总表'!$C19:$C33,D1,'数据-汇总表'!$E19:$E33))</f>
        <v>30271.149999999991</v>
      </c>
      <c r="E3" s="2660"/>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2644</v>
      </c>
      <c r="B4" s="402"/>
      <c r="C4" s="3211" t="s">
        <v>2645</v>
      </c>
      <c r="D4" s="3212"/>
      <c r="E4" s="3213" t="s">
        <v>2646</v>
      </c>
      <c r="F4" s="3214"/>
      <c r="G4" s="3211" t="s">
        <v>2647</v>
      </c>
      <c r="H4" s="3212"/>
      <c r="I4" s="3211" t="s">
        <v>2648</v>
      </c>
      <c r="J4" s="3212"/>
      <c r="K4" s="610" t="s">
        <v>2649</v>
      </c>
      <c r="L4" s="1127"/>
      <c r="M4" s="1128"/>
      <c r="N4" s="1128"/>
      <c r="O4" s="1128"/>
      <c r="P4" s="3245" t="s">
        <v>2650</v>
      </c>
      <c r="Q4" s="3246"/>
      <c r="R4" s="3249" t="s">
        <v>2646</v>
      </c>
      <c r="S4" s="3250"/>
      <c r="T4" s="3249" t="s">
        <v>2647</v>
      </c>
      <c r="U4" s="3250"/>
      <c r="V4" s="3251" t="s">
        <v>2648</v>
      </c>
      <c r="W4" s="3251"/>
      <c r="X4" s="2667"/>
      <c r="Y4" s="3249" t="s">
        <v>2650</v>
      </c>
      <c r="Z4" s="3250"/>
      <c r="AA4" s="3254" t="s">
        <v>2646</v>
      </c>
      <c r="AB4" s="3254" t="s">
        <v>2647</v>
      </c>
      <c r="AC4" s="3242" t="s">
        <v>2648</v>
      </c>
    </row>
    <row r="5" spans="1:29" ht="15">
      <c r="A5" s="404"/>
      <c r="B5" s="405"/>
      <c r="C5" s="3230" t="s">
        <v>2541</v>
      </c>
      <c r="D5" s="3231"/>
      <c r="E5" s="3255" t="s">
        <v>3136</v>
      </c>
      <c r="F5" s="3238"/>
      <c r="G5" s="3252" t="s">
        <v>3137</v>
      </c>
      <c r="H5" s="3231"/>
      <c r="I5" s="3252" t="s">
        <v>3138</v>
      </c>
      <c r="J5" s="3231"/>
      <c r="K5" s="610"/>
      <c r="L5" s="1127"/>
      <c r="M5" s="1128"/>
      <c r="N5" s="1128"/>
      <c r="O5" s="1128"/>
      <c r="P5" s="3247"/>
      <c r="Q5" s="3218"/>
      <c r="R5" s="3223"/>
      <c r="S5" s="3224"/>
      <c r="T5" s="3223"/>
      <c r="U5" s="3224"/>
      <c r="V5" s="3227"/>
      <c r="W5" s="3227"/>
      <c r="X5" s="1809"/>
      <c r="Y5" s="3223"/>
      <c r="Z5" s="3224"/>
      <c r="AA5" s="3209"/>
      <c r="AB5" s="3209"/>
      <c r="AC5" s="3243"/>
    </row>
    <row r="6" spans="1:29" ht="15.75" thickBot="1">
      <c r="A6" s="406"/>
      <c r="B6" s="407"/>
      <c r="C6" s="3228" t="s">
        <v>2545</v>
      </c>
      <c r="D6" s="3229"/>
      <c r="E6" s="3235" t="s">
        <v>2545</v>
      </c>
      <c r="F6" s="3236"/>
      <c r="G6" s="3228" t="s">
        <v>2545</v>
      </c>
      <c r="H6" s="3229"/>
      <c r="I6" s="3228" t="s">
        <v>2545</v>
      </c>
      <c r="J6" s="3229"/>
      <c r="K6" s="610" t="s">
        <v>2546</v>
      </c>
      <c r="L6" s="1127"/>
      <c r="M6" s="1128"/>
      <c r="N6" s="1128"/>
      <c r="O6" s="1128"/>
      <c r="P6" s="3248"/>
      <c r="Q6" s="3220"/>
      <c r="R6" s="3223"/>
      <c r="S6" s="3224"/>
      <c r="T6" s="3225"/>
      <c r="U6" s="3226"/>
      <c r="V6" s="3227"/>
      <c r="W6" s="3227"/>
      <c r="X6" s="1809"/>
      <c r="Y6" s="3225"/>
      <c r="Z6" s="3226"/>
      <c r="AA6" s="3210"/>
      <c r="AB6" s="3210"/>
      <c r="AC6" s="3244"/>
    </row>
    <row r="7" spans="1:29" s="117" customFormat="1" ht="15.75" thickBot="1">
      <c r="A7" s="408" t="s">
        <v>2547</v>
      </c>
      <c r="B7" s="409"/>
      <c r="C7" s="410">
        <f>'数据-取费表'!B2</f>
        <v>43790</v>
      </c>
      <c r="D7" s="411">
        <v>100</v>
      </c>
      <c r="E7" s="412">
        <f>C7</f>
        <v>43790</v>
      </c>
      <c r="F7" s="413">
        <f>SUMIF(59:59,YEAR(E7)&amp;"-"&amp;MONTH(E7),60:60)</f>
        <v>100</v>
      </c>
      <c r="G7" s="412">
        <f>C7</f>
        <v>43790</v>
      </c>
      <c r="H7" s="411">
        <f>SUMIF(59:59,YEAR(G7)&amp;"-"&amp;MONTH(G7),60:60)</f>
        <v>100</v>
      </c>
      <c r="I7" s="412">
        <f>C7</f>
        <v>43790</v>
      </c>
      <c r="J7" s="411">
        <f>SUMIF(59:59,YEAR(I7)&amp;"-"&amp;MONTH(I7),60:60)</f>
        <v>100</v>
      </c>
      <c r="K7" s="611"/>
      <c r="L7" s="1129"/>
      <c r="M7" s="1130"/>
      <c r="N7" s="1130"/>
      <c r="O7" s="1130"/>
      <c r="P7" s="3253" t="s">
        <v>2548</v>
      </c>
      <c r="Q7" s="3234"/>
      <c r="R7" s="767" t="s">
        <v>17</v>
      </c>
      <c r="S7" s="768">
        <f t="shared" ref="S7:S15" si="0">F7</f>
        <v>100</v>
      </c>
      <c r="T7" s="767" t="s">
        <v>17</v>
      </c>
      <c r="U7" s="768">
        <f t="shared" ref="U7:U15" si="1">H7</f>
        <v>100</v>
      </c>
      <c r="V7" s="767" t="s">
        <v>17</v>
      </c>
      <c r="W7" s="768">
        <f t="shared" ref="W7:W15" si="2">J7</f>
        <v>100</v>
      </c>
      <c r="X7" s="769"/>
      <c r="Y7" s="3232" t="s">
        <v>2548</v>
      </c>
      <c r="Z7" s="3233"/>
      <c r="AA7" s="770">
        <f>D7/F7</f>
        <v>1</v>
      </c>
      <c r="AB7" s="770">
        <f>D7/H7</f>
        <v>1</v>
      </c>
      <c r="AC7" s="2668">
        <f>D7/J7</f>
        <v>1</v>
      </c>
    </row>
    <row r="8" spans="1:29" s="117" customFormat="1" ht="15.75" thickBot="1">
      <c r="A8" s="408" t="s">
        <v>2549</v>
      </c>
      <c r="B8" s="409"/>
      <c r="C8" s="414" t="s">
        <v>2651</v>
      </c>
      <c r="D8" s="411">
        <v>100</v>
      </c>
      <c r="E8" s="414" t="s">
        <v>3087</v>
      </c>
      <c r="F8" s="413">
        <f>SUMIF(62:62,E8,63:63)-SUMIF(62:62,C8,63:63)+100</f>
        <v>100</v>
      </c>
      <c r="G8" s="414" t="s">
        <v>3087</v>
      </c>
      <c r="H8" s="411">
        <f>SUMIF(62:62,G8,63:63)-SUMIF(62:62,C8,63:63)+100</f>
        <v>100</v>
      </c>
      <c r="I8" s="414" t="s">
        <v>3087</v>
      </c>
      <c r="J8" s="411">
        <f>SUMIF(62:62,I8,63:63)-SUMIF(62:62,C8,63:63)+100</f>
        <v>100</v>
      </c>
      <c r="K8" s="611"/>
      <c r="L8" s="1129"/>
      <c r="M8" s="1130"/>
      <c r="N8" s="1130"/>
      <c r="O8" s="1130"/>
      <c r="P8" s="3253" t="s">
        <v>2551</v>
      </c>
      <c r="Q8" s="3233"/>
      <c r="R8" s="767" t="s">
        <v>17</v>
      </c>
      <c r="S8" s="768">
        <f t="shared" si="0"/>
        <v>100</v>
      </c>
      <c r="T8" s="767" t="s">
        <v>17</v>
      </c>
      <c r="U8" s="768">
        <f t="shared" si="1"/>
        <v>100</v>
      </c>
      <c r="V8" s="767" t="s">
        <v>17</v>
      </c>
      <c r="W8" s="768">
        <f t="shared" si="2"/>
        <v>100</v>
      </c>
      <c r="X8" s="769"/>
      <c r="Y8" s="3232" t="s">
        <v>2551</v>
      </c>
      <c r="Z8" s="3233"/>
      <c r="AA8" s="770">
        <f t="shared" ref="AA8:AA47" si="3">D8/F8</f>
        <v>1</v>
      </c>
      <c r="AB8" s="770">
        <f t="shared" ref="AB8:AB47" si="4">D8/H8</f>
        <v>1</v>
      </c>
      <c r="AC8" s="2668">
        <f t="shared" ref="AC8:AC47" si="5">D8/J8</f>
        <v>1</v>
      </c>
    </row>
    <row r="9" spans="1:29" s="117" customFormat="1">
      <c r="A9" s="415" t="s">
        <v>2552</v>
      </c>
      <c r="B9" s="71" t="s">
        <v>2553</v>
      </c>
      <c r="C9" s="2971" t="s">
        <v>3088</v>
      </c>
      <c r="D9" s="135">
        <v>100</v>
      </c>
      <c r="E9" s="419" t="s">
        <v>6</v>
      </c>
      <c r="F9" s="135">
        <f>SUMIF(64:64,E9,65:65)-SUMIF(64:64,C9,65:65)+100</f>
        <v>100</v>
      </c>
      <c r="G9" s="417" t="s">
        <v>6</v>
      </c>
      <c r="H9" s="135">
        <f>SUMIF(64:64,G9,65:65)-SUMIF(64:64,C9,65:65)+100</f>
        <v>100</v>
      </c>
      <c r="I9" s="417" t="s">
        <v>6</v>
      </c>
      <c r="J9" s="135">
        <f>SUMIF(64:64,I9,65:65)-SUMIF(64:64,C9,65:65)+100</f>
        <v>100</v>
      </c>
      <c r="K9" s="611"/>
      <c r="L9" s="1129"/>
      <c r="M9" s="1130"/>
      <c r="N9" s="1130"/>
      <c r="O9" s="1130"/>
      <c r="P9" s="3207" t="s">
        <v>2554</v>
      </c>
      <c r="Q9" s="1791" t="str">
        <f t="shared" ref="Q9:Q15" si="6">B9</f>
        <v>用途</v>
      </c>
      <c r="R9" s="767" t="s">
        <v>17</v>
      </c>
      <c r="S9" s="768">
        <f t="shared" si="0"/>
        <v>100</v>
      </c>
      <c r="T9" s="767" t="s">
        <v>17</v>
      </c>
      <c r="U9" s="768">
        <f t="shared" si="1"/>
        <v>100</v>
      </c>
      <c r="V9" s="767" t="s">
        <v>17</v>
      </c>
      <c r="W9" s="768">
        <f t="shared" si="2"/>
        <v>100</v>
      </c>
      <c r="X9" s="769"/>
      <c r="Y9" s="3024" t="s">
        <v>2555</v>
      </c>
      <c r="Z9" s="55" t="str">
        <f t="shared" ref="Z9:Z15" si="7">Q9</f>
        <v>用途</v>
      </c>
      <c r="AA9" s="770">
        <f t="shared" si="3"/>
        <v>1</v>
      </c>
      <c r="AB9" s="770">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07"/>
      <c r="Q10" s="1791"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2668">
        <f t="shared" si="5"/>
        <v>1</v>
      </c>
    </row>
    <row r="11" spans="1:29" ht="15">
      <c r="A11" s="428"/>
      <c r="B11" s="422" t="s">
        <v>2557</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5"/>
      <c r="M11" s="1128"/>
      <c r="N11" s="1128"/>
      <c r="O11" s="1128"/>
      <c r="P11" s="3207"/>
      <c r="Q11" s="1791" t="str">
        <f t="shared" si="6"/>
        <v>容积率</v>
      </c>
      <c r="R11" s="767" t="s">
        <v>17</v>
      </c>
      <c r="S11" s="768">
        <f t="shared" si="0"/>
        <v>100</v>
      </c>
      <c r="T11" s="767" t="s">
        <v>17</v>
      </c>
      <c r="U11" s="768">
        <f t="shared" si="1"/>
        <v>100</v>
      </c>
      <c r="V11" s="767" t="s">
        <v>17</v>
      </c>
      <c r="W11" s="768">
        <f t="shared" si="2"/>
        <v>100</v>
      </c>
      <c r="X11" s="769"/>
      <c r="Y11" s="3024"/>
      <c r="Z11" s="55" t="str">
        <f t="shared" si="7"/>
        <v>容积率</v>
      </c>
      <c r="AA11" s="770">
        <f t="shared" si="3"/>
        <v>1</v>
      </c>
      <c r="AB11" s="770">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207"/>
      <c r="Q12" s="1791">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207"/>
      <c r="Q13" s="1791">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207"/>
      <c r="Q14" s="1791">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2668">
        <f t="shared" si="5"/>
        <v>1</v>
      </c>
    </row>
    <row r="15" spans="1:29" ht="71.25">
      <c r="A15" s="440" t="s">
        <v>2558</v>
      </c>
      <c r="B15" s="629" t="s">
        <v>2686</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05" t="s">
        <v>2559</v>
      </c>
      <c r="Q15" s="1806" t="str">
        <f t="shared" si="6"/>
        <v>办公集聚程度</v>
      </c>
      <c r="R15" s="771" t="s">
        <v>17</v>
      </c>
      <c r="S15" s="772">
        <f t="shared" si="0"/>
        <v>100</v>
      </c>
      <c r="T15" s="771" t="s">
        <v>17</v>
      </c>
      <c r="U15" s="772">
        <f t="shared" si="1"/>
        <v>100</v>
      </c>
      <c r="V15" s="771" t="s">
        <v>17</v>
      </c>
      <c r="W15" s="772">
        <f t="shared" si="2"/>
        <v>100</v>
      </c>
      <c r="X15" s="1809"/>
      <c r="Y15" s="3198" t="s">
        <v>2559</v>
      </c>
      <c r="Z15" s="1810" t="str">
        <f t="shared" si="7"/>
        <v>办公集聚程度</v>
      </c>
      <c r="AA15" s="1807">
        <f t="shared" si="3"/>
        <v>1</v>
      </c>
      <c r="AB15" s="1807">
        <f t="shared" si="4"/>
        <v>1</v>
      </c>
      <c r="AC15" s="2671">
        <f t="shared" si="5"/>
        <v>1</v>
      </c>
    </row>
    <row r="16" spans="1:29" ht="15">
      <c r="A16" s="428"/>
      <c r="B16" s="630"/>
      <c r="C16" s="2608"/>
      <c r="D16" s="448"/>
      <c r="E16" s="447"/>
      <c r="F16" s="448"/>
      <c r="G16" s="2608"/>
      <c r="H16" s="450"/>
      <c r="I16" s="447"/>
      <c r="J16" s="448"/>
      <c r="K16" s="615"/>
      <c r="L16" s="1137"/>
      <c r="M16" s="1128"/>
      <c r="N16" s="1128"/>
      <c r="O16" s="1128"/>
      <c r="P16" s="3206"/>
      <c r="Q16" s="1806"/>
      <c r="R16" s="771"/>
      <c r="S16" s="772"/>
      <c r="T16" s="771"/>
      <c r="U16" s="772"/>
      <c r="V16" s="771"/>
      <c r="W16" s="772"/>
      <c r="X16" s="1809"/>
      <c r="Y16" s="3199"/>
      <c r="Z16" s="1810"/>
      <c r="AA16" s="1807">
        <v>1</v>
      </c>
      <c r="AB16" s="1807">
        <v>1</v>
      </c>
      <c r="AC16" s="2671">
        <v>1</v>
      </c>
    </row>
    <row r="17" spans="1:29" ht="71.25">
      <c r="A17" s="428"/>
      <c r="B17" s="631" t="s">
        <v>2096</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06"/>
      <c r="Q17" s="1806" t="str">
        <f>B17</f>
        <v>交通便捷度</v>
      </c>
      <c r="R17" s="771" t="s">
        <v>17</v>
      </c>
      <c r="S17" s="772">
        <f>F17</f>
        <v>100</v>
      </c>
      <c r="T17" s="771" t="s">
        <v>17</v>
      </c>
      <c r="U17" s="772">
        <f>H17</f>
        <v>100</v>
      </c>
      <c r="V17" s="771" t="s">
        <v>17</v>
      </c>
      <c r="W17" s="772">
        <f>J17</f>
        <v>100</v>
      </c>
      <c r="X17" s="1809"/>
      <c r="Y17" s="3199"/>
      <c r="Z17" s="1810" t="str">
        <f>Q17</f>
        <v>交通便捷度</v>
      </c>
      <c r="AA17" s="1807">
        <f t="shared" si="3"/>
        <v>1</v>
      </c>
      <c r="AB17" s="1807">
        <f t="shared" si="4"/>
        <v>1</v>
      </c>
      <c r="AC17" s="2671">
        <f t="shared" si="5"/>
        <v>1</v>
      </c>
    </row>
    <row r="18" spans="1:29" ht="15">
      <c r="A18" s="428"/>
      <c r="B18" s="632"/>
      <c r="C18" s="2673"/>
      <c r="D18" s="450"/>
      <c r="E18" s="2606"/>
      <c r="F18" s="450"/>
      <c r="G18" s="2607"/>
      <c r="H18" s="448"/>
      <c r="I18" s="2607"/>
      <c r="J18" s="448"/>
      <c r="K18" s="615"/>
      <c r="L18" s="1137"/>
      <c r="M18" s="1128"/>
      <c r="N18" s="1128"/>
      <c r="O18" s="1128"/>
      <c r="P18" s="3206"/>
      <c r="Q18" s="1806"/>
      <c r="R18" s="771"/>
      <c r="S18" s="772"/>
      <c r="T18" s="771"/>
      <c r="U18" s="772"/>
      <c r="V18" s="771"/>
      <c r="W18" s="772"/>
      <c r="X18" s="1809"/>
      <c r="Y18" s="3199"/>
      <c r="Z18" s="1810"/>
      <c r="AA18" s="1807">
        <v>1</v>
      </c>
      <c r="AB18" s="1807">
        <v>1</v>
      </c>
      <c r="AC18" s="2671">
        <v>1</v>
      </c>
    </row>
    <row r="19" spans="1:29" ht="42.75">
      <c r="A19" s="428"/>
      <c r="B19" s="631" t="s">
        <v>2687</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06"/>
      <c r="Q19" s="1806" t="str">
        <f>B19</f>
        <v>公共配套设施</v>
      </c>
      <c r="R19" s="771" t="s">
        <v>17</v>
      </c>
      <c r="S19" s="772">
        <f>F19</f>
        <v>100</v>
      </c>
      <c r="T19" s="771" t="s">
        <v>17</v>
      </c>
      <c r="U19" s="772">
        <f>H19</f>
        <v>100</v>
      </c>
      <c r="V19" s="771" t="s">
        <v>17</v>
      </c>
      <c r="W19" s="772">
        <f>J19</f>
        <v>100</v>
      </c>
      <c r="X19" s="1809"/>
      <c r="Y19" s="3199"/>
      <c r="Z19" s="1810" t="str">
        <f>Q19</f>
        <v>公共配套设施</v>
      </c>
      <c r="AA19" s="1807">
        <f t="shared" si="3"/>
        <v>1</v>
      </c>
      <c r="AB19" s="1807">
        <f t="shared" si="4"/>
        <v>1</v>
      </c>
      <c r="AC19" s="2671">
        <f t="shared" si="5"/>
        <v>1</v>
      </c>
    </row>
    <row r="20" spans="1:29" ht="15">
      <c r="A20" s="428"/>
      <c r="B20" s="632"/>
      <c r="C20" s="2608"/>
      <c r="D20" s="448"/>
      <c r="E20" s="2601"/>
      <c r="F20" s="448"/>
      <c r="G20" s="2602"/>
      <c r="H20" s="448"/>
      <c r="I20" s="2602"/>
      <c r="J20" s="448"/>
      <c r="K20" s="615"/>
      <c r="L20" s="1137"/>
      <c r="M20" s="1128"/>
      <c r="N20" s="1128"/>
      <c r="O20" s="1128"/>
      <c r="P20" s="3206"/>
      <c r="Q20" s="1806"/>
      <c r="R20" s="771"/>
      <c r="S20" s="772"/>
      <c r="T20" s="771"/>
      <c r="U20" s="772"/>
      <c r="V20" s="771"/>
      <c r="W20" s="772"/>
      <c r="X20" s="1809"/>
      <c r="Y20" s="3199"/>
      <c r="Z20" s="1810"/>
      <c r="AA20" s="1807">
        <v>1</v>
      </c>
      <c r="AB20" s="1807">
        <v>1</v>
      </c>
      <c r="AC20" s="2671">
        <v>1</v>
      </c>
    </row>
    <row r="21" spans="1:29" ht="28.5">
      <c r="A21" s="428"/>
      <c r="B21" s="633" t="s">
        <v>2688</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06"/>
      <c r="Q21" s="1806" t="str">
        <f>B21</f>
        <v>基础设施水平</v>
      </c>
      <c r="R21" s="771" t="s">
        <v>17</v>
      </c>
      <c r="S21" s="772">
        <f>F21</f>
        <v>100</v>
      </c>
      <c r="T21" s="771" t="s">
        <v>17</v>
      </c>
      <c r="U21" s="772">
        <f>H21</f>
        <v>100</v>
      </c>
      <c r="V21" s="771" t="s">
        <v>17</v>
      </c>
      <c r="W21" s="772">
        <f>J21</f>
        <v>100</v>
      </c>
      <c r="X21" s="1809"/>
      <c r="Y21" s="3199"/>
      <c r="Z21" s="1810" t="str">
        <f>Q21</f>
        <v>基础设施水平</v>
      </c>
      <c r="AA21" s="1807">
        <f t="shared" ref="AA21" si="8">D21/F21</f>
        <v>1</v>
      </c>
      <c r="AB21" s="1807">
        <f t="shared" ref="AB21" si="9">D21/H21</f>
        <v>1</v>
      </c>
      <c r="AC21" s="2671">
        <f t="shared" ref="AC21" si="10">D21/J21</f>
        <v>1</v>
      </c>
    </row>
    <row r="22" spans="1:29" ht="15">
      <c r="A22" s="428"/>
      <c r="B22" s="633"/>
      <c r="C22" s="2673"/>
      <c r="D22" s="448"/>
      <c r="E22" s="447"/>
      <c r="F22" s="448"/>
      <c r="G22" s="2608"/>
      <c r="H22" s="448"/>
      <c r="I22" s="2608"/>
      <c r="J22" s="448"/>
      <c r="K22" s="1379"/>
      <c r="L22" s="1137"/>
      <c r="M22" s="1128"/>
      <c r="N22" s="1128"/>
      <c r="O22" s="1128"/>
      <c r="P22" s="3206"/>
      <c r="Q22" s="1806"/>
      <c r="R22" s="771"/>
      <c r="S22" s="772"/>
      <c r="T22" s="771"/>
      <c r="U22" s="772"/>
      <c r="V22" s="771"/>
      <c r="W22" s="772"/>
      <c r="X22" s="1809"/>
      <c r="Y22" s="3199"/>
      <c r="Z22" s="1810"/>
      <c r="AA22" s="1807">
        <v>1</v>
      </c>
      <c r="AB22" s="1807">
        <v>1</v>
      </c>
      <c r="AC22" s="2671">
        <v>1</v>
      </c>
    </row>
    <row r="23" spans="1:29" ht="42.75">
      <c r="A23" s="428"/>
      <c r="B23" s="631" t="s">
        <v>2689</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06"/>
      <c r="Q23" s="1806" t="str">
        <f>B23</f>
        <v>环境质量</v>
      </c>
      <c r="R23" s="771" t="s">
        <v>17</v>
      </c>
      <c r="S23" s="772">
        <f>F23</f>
        <v>100</v>
      </c>
      <c r="T23" s="771" t="s">
        <v>17</v>
      </c>
      <c r="U23" s="772">
        <f>H23</f>
        <v>100</v>
      </c>
      <c r="V23" s="771" t="s">
        <v>17</v>
      </c>
      <c r="W23" s="772">
        <f>J23</f>
        <v>100</v>
      </c>
      <c r="X23" s="1809"/>
      <c r="Y23" s="3199"/>
      <c r="Z23" s="1810" t="str">
        <f>Q23</f>
        <v>环境质量</v>
      </c>
      <c r="AA23" s="1807">
        <f t="shared" si="3"/>
        <v>1</v>
      </c>
      <c r="AB23" s="1807">
        <f t="shared" si="4"/>
        <v>1</v>
      </c>
      <c r="AC23" s="2671">
        <f t="shared" si="5"/>
        <v>1</v>
      </c>
    </row>
    <row r="24" spans="1:29" ht="15">
      <c r="A24" s="428"/>
      <c r="B24" s="633"/>
      <c r="C24" s="2608"/>
      <c r="D24" s="448"/>
      <c r="E24" s="2601"/>
      <c r="F24" s="448"/>
      <c r="G24" s="2602"/>
      <c r="H24" s="448"/>
      <c r="I24" s="2602"/>
      <c r="J24" s="448"/>
      <c r="K24" s="615"/>
      <c r="L24" s="1137"/>
      <c r="M24" s="1128"/>
      <c r="N24" s="1128"/>
      <c r="O24" s="1128"/>
      <c r="P24" s="3206"/>
      <c r="Q24" s="1806"/>
      <c r="R24" s="771"/>
      <c r="S24" s="772"/>
      <c r="T24" s="771"/>
      <c r="U24" s="772"/>
      <c r="V24" s="771"/>
      <c r="W24" s="772"/>
      <c r="X24" s="1809"/>
      <c r="Y24" s="3199"/>
      <c r="Z24" s="1810"/>
      <c r="AA24" s="1807">
        <v>1</v>
      </c>
      <c r="AB24" s="1807">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206"/>
      <c r="Q25" s="1806" t="str">
        <f>B25</f>
        <v>毗邻道路的类型与等级</v>
      </c>
      <c r="R25" s="771" t="s">
        <v>17</v>
      </c>
      <c r="S25" s="772">
        <f>F25</f>
        <v>100</v>
      </c>
      <c r="T25" s="771" t="s">
        <v>17</v>
      </c>
      <c r="U25" s="772">
        <f>H25</f>
        <v>100</v>
      </c>
      <c r="V25" s="771" t="s">
        <v>17</v>
      </c>
      <c r="W25" s="772">
        <f>J25</f>
        <v>100</v>
      </c>
      <c r="X25" s="1809"/>
      <c r="Y25" s="3199"/>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37"/>
      <c r="M26" s="1128"/>
      <c r="N26" s="1128"/>
      <c r="O26" s="1128"/>
      <c r="P26" s="3206"/>
      <c r="Q26" s="1806"/>
      <c r="R26" s="771"/>
      <c r="S26" s="772"/>
      <c r="T26" s="771"/>
      <c r="U26" s="772"/>
      <c r="V26" s="771"/>
      <c r="W26" s="772"/>
      <c r="X26" s="1809"/>
      <c r="Y26" s="3199"/>
      <c r="Z26" s="1810"/>
      <c r="AA26" s="1807">
        <v>1</v>
      </c>
      <c r="AB26" s="1807">
        <v>1</v>
      </c>
      <c r="AC26" s="2671">
        <v>1</v>
      </c>
    </row>
    <row r="27" spans="1:29" ht="15">
      <c r="A27" s="428"/>
      <c r="B27" s="632" t="s">
        <v>2658</v>
      </c>
      <c r="C27" s="634" t="s">
        <v>3090</v>
      </c>
      <c r="D27" s="435">
        <v>100</v>
      </c>
      <c r="E27" s="616" t="s">
        <v>3090</v>
      </c>
      <c r="F27" s="435">
        <f>SUMIF(89:89,E27,90:90)-SUMIF(89:89,C27,90:90)+100</f>
        <v>100</v>
      </c>
      <c r="G27" s="634" t="s">
        <v>3090</v>
      </c>
      <c r="H27" s="435">
        <f>SUMIF(89:89,G27,90:90)-SUMIF(89:89,C27,90:90)+100</f>
        <v>100</v>
      </c>
      <c r="I27" s="616" t="s">
        <v>3090</v>
      </c>
      <c r="J27" s="435">
        <f>SUMIF(89:89,I27,90:90)-SUMIF(89:89,C27,90:90)+100</f>
        <v>100</v>
      </c>
      <c r="K27" s="612">
        <v>2</v>
      </c>
      <c r="L27" s="1137"/>
      <c r="M27" s="1128"/>
      <c r="N27" s="1128"/>
      <c r="O27" s="1128"/>
      <c r="P27" s="3206"/>
      <c r="Q27" s="1806" t="str">
        <f t="shared" ref="Q27:Q47" si="11">B27</f>
        <v>楼层</v>
      </c>
      <c r="R27" s="771" t="s">
        <v>17</v>
      </c>
      <c r="S27" s="772">
        <f>F27</f>
        <v>100</v>
      </c>
      <c r="T27" s="771" t="s">
        <v>17</v>
      </c>
      <c r="U27" s="772">
        <f>H27</f>
        <v>100</v>
      </c>
      <c r="V27" s="771" t="s">
        <v>17</v>
      </c>
      <c r="W27" s="772">
        <f>J27</f>
        <v>100</v>
      </c>
      <c r="X27" s="1809"/>
      <c r="Y27" s="3199"/>
      <c r="Z27" s="1810" t="str">
        <f>Q27</f>
        <v>楼层</v>
      </c>
      <c r="AA27" s="1807">
        <f t="shared" si="3"/>
        <v>1</v>
      </c>
      <c r="AB27" s="1807">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206"/>
      <c r="Q28" s="1791" t="str">
        <f t="shared" si="11"/>
        <v>朝向</v>
      </c>
      <c r="R28" s="767" t="s">
        <v>17</v>
      </c>
      <c r="S28" s="768">
        <f>F28</f>
        <v>100</v>
      </c>
      <c r="T28" s="767" t="s">
        <v>17</v>
      </c>
      <c r="U28" s="768">
        <f>H28</f>
        <v>100</v>
      </c>
      <c r="V28" s="767" t="s">
        <v>17</v>
      </c>
      <c r="W28" s="768">
        <f>J28</f>
        <v>100</v>
      </c>
      <c r="X28" s="769"/>
      <c r="Y28" s="3199"/>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206"/>
      <c r="Q29" s="1806">
        <f t="shared" si="11"/>
        <v>111</v>
      </c>
      <c r="R29" s="771" t="s">
        <v>17</v>
      </c>
      <c r="S29" s="772">
        <f t="shared" ref="S29:S47" si="12">F29</f>
        <v>100</v>
      </c>
      <c r="T29" s="771" t="s">
        <v>17</v>
      </c>
      <c r="U29" s="772">
        <f t="shared" ref="U29:U47" si="13">H29</f>
        <v>100</v>
      </c>
      <c r="V29" s="771" t="s">
        <v>17</v>
      </c>
      <c r="W29" s="772">
        <f t="shared" ref="W29:W47" si="14">J29</f>
        <v>100</v>
      </c>
      <c r="X29" s="1809"/>
      <c r="Y29" s="3199"/>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206"/>
      <c r="Q30" s="1806">
        <f t="shared" si="11"/>
        <v>111</v>
      </c>
      <c r="R30" s="771" t="s">
        <v>17</v>
      </c>
      <c r="S30" s="772">
        <f t="shared" si="12"/>
        <v>100</v>
      </c>
      <c r="T30" s="771" t="s">
        <v>17</v>
      </c>
      <c r="U30" s="772">
        <f t="shared" si="13"/>
        <v>100</v>
      </c>
      <c r="V30" s="771" t="s">
        <v>17</v>
      </c>
      <c r="W30" s="772">
        <f t="shared" si="14"/>
        <v>100</v>
      </c>
      <c r="X30" s="1809"/>
      <c r="Y30" s="3199"/>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206"/>
      <c r="Q31" s="1806">
        <f t="shared" si="11"/>
        <v>111</v>
      </c>
      <c r="R31" s="771" t="s">
        <v>17</v>
      </c>
      <c r="S31" s="772">
        <f t="shared" si="12"/>
        <v>100</v>
      </c>
      <c r="T31" s="771" t="s">
        <v>17</v>
      </c>
      <c r="U31" s="772">
        <f t="shared" si="13"/>
        <v>100</v>
      </c>
      <c r="V31" s="771" t="s">
        <v>17</v>
      </c>
      <c r="W31" s="772">
        <f t="shared" si="14"/>
        <v>100</v>
      </c>
      <c r="X31" s="1809"/>
      <c r="Y31" s="3199"/>
      <c r="Z31" s="1810">
        <f t="shared" si="15"/>
        <v>111</v>
      </c>
      <c r="AA31" s="1807">
        <f t="shared" si="3"/>
        <v>1</v>
      </c>
      <c r="AB31" s="1807">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206"/>
      <c r="Q32" s="1806">
        <f t="shared" si="11"/>
        <v>111</v>
      </c>
      <c r="R32" s="771" t="s">
        <v>17</v>
      </c>
      <c r="S32" s="772">
        <f t="shared" si="12"/>
        <v>100</v>
      </c>
      <c r="T32" s="771" t="s">
        <v>17</v>
      </c>
      <c r="U32" s="772">
        <f t="shared" si="13"/>
        <v>100</v>
      </c>
      <c r="V32" s="771" t="s">
        <v>17</v>
      </c>
      <c r="W32" s="772">
        <f t="shared" si="14"/>
        <v>100</v>
      </c>
      <c r="X32" s="1809"/>
      <c r="Y32" s="3199"/>
      <c r="Z32" s="1810">
        <f t="shared" si="15"/>
        <v>111</v>
      </c>
      <c r="AA32" s="1807">
        <f t="shared" si="3"/>
        <v>1</v>
      </c>
      <c r="AB32" s="1807">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200" t="s">
        <v>2564</v>
      </c>
      <c r="Q33" s="1806" t="str">
        <f t="shared" si="11"/>
        <v>建筑类型</v>
      </c>
      <c r="R33" s="771" t="s">
        <v>17</v>
      </c>
      <c r="S33" s="772">
        <f t="shared" si="12"/>
        <v>100</v>
      </c>
      <c r="T33" s="771" t="s">
        <v>17</v>
      </c>
      <c r="U33" s="772">
        <f t="shared" si="13"/>
        <v>100</v>
      </c>
      <c r="V33" s="771" t="s">
        <v>17</v>
      </c>
      <c r="W33" s="772">
        <f t="shared" si="14"/>
        <v>100</v>
      </c>
      <c r="X33" s="1809"/>
      <c r="Y33" s="3203" t="s">
        <v>2564</v>
      </c>
      <c r="Z33" s="1810" t="str">
        <f t="shared" si="15"/>
        <v>建筑类型</v>
      </c>
      <c r="AA33" s="1807">
        <f t="shared" si="3"/>
        <v>1</v>
      </c>
      <c r="AB33" s="1807">
        <f t="shared" si="4"/>
        <v>1</v>
      </c>
      <c r="AC33" s="2671">
        <f t="shared" si="5"/>
        <v>1</v>
      </c>
    </row>
    <row r="34" spans="1:29" s="471" customFormat="1" ht="15">
      <c r="A34" s="468"/>
      <c r="B34" s="422" t="s">
        <v>2565</v>
      </c>
      <c r="C34" s="469">
        <v>1</v>
      </c>
      <c r="D34" s="136">
        <v>100</v>
      </c>
      <c r="E34" s="430">
        <v>1</v>
      </c>
      <c r="F34" s="425">
        <f>LOOKUP(E34,104:104,105:105)-LOOKUP(C34,104:104,105:105)+100</f>
        <v>100</v>
      </c>
      <c r="G34" s="429">
        <v>1</v>
      </c>
      <c r="H34" s="136">
        <f>LOOKUP(G34,104:104,105:105)-LOOKUP(C34,104:104,105:105)+100</f>
        <v>100</v>
      </c>
      <c r="I34" s="429">
        <v>1</v>
      </c>
      <c r="J34" s="136">
        <f>LOOKUP(I34,104:104,105:105)-LOOKUP(C34,104:104,105:105)+100</f>
        <v>100</v>
      </c>
      <c r="K34" s="613"/>
      <c r="L34" s="1135"/>
      <c r="M34" s="1138"/>
      <c r="N34" s="1138"/>
      <c r="O34" s="1138"/>
      <c r="P34" s="3201"/>
      <c r="Q34" s="773" t="str">
        <f t="shared" si="11"/>
        <v>项目建筑规模</v>
      </c>
      <c r="R34" s="774" t="s">
        <v>17</v>
      </c>
      <c r="S34" s="775">
        <f t="shared" si="12"/>
        <v>100</v>
      </c>
      <c r="T34" s="774" t="s">
        <v>17</v>
      </c>
      <c r="U34" s="775">
        <f t="shared" si="13"/>
        <v>100</v>
      </c>
      <c r="V34" s="774" t="s">
        <v>17</v>
      </c>
      <c r="W34" s="775">
        <f t="shared" si="14"/>
        <v>100</v>
      </c>
      <c r="X34" s="776"/>
      <c r="Y34" s="3203"/>
      <c r="Z34" s="777" t="str">
        <f t="shared" si="15"/>
        <v>项目建筑规模</v>
      </c>
      <c r="AA34" s="1807">
        <f t="shared" si="3"/>
        <v>1</v>
      </c>
      <c r="AB34" s="1807">
        <f t="shared" si="4"/>
        <v>1</v>
      </c>
      <c r="AC34" s="2671">
        <f t="shared" si="5"/>
        <v>1</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01"/>
      <c r="Q35" s="1806" t="str">
        <f t="shared" si="11"/>
        <v>建筑结构</v>
      </c>
      <c r="R35" s="771" t="s">
        <v>17</v>
      </c>
      <c r="S35" s="772">
        <f t="shared" si="12"/>
        <v>100</v>
      </c>
      <c r="T35" s="771" t="s">
        <v>17</v>
      </c>
      <c r="U35" s="772">
        <f t="shared" si="13"/>
        <v>100</v>
      </c>
      <c r="V35" s="771" t="s">
        <v>17</v>
      </c>
      <c r="W35" s="772">
        <f t="shared" si="14"/>
        <v>100</v>
      </c>
      <c r="X35" s="1809"/>
      <c r="Y35" s="3203"/>
      <c r="Z35" s="1810" t="str">
        <f t="shared" si="15"/>
        <v>建筑结构</v>
      </c>
      <c r="AA35" s="1807">
        <f t="shared" si="3"/>
        <v>1</v>
      </c>
      <c r="AB35" s="1807">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01"/>
      <c r="Q36" s="1806" t="str">
        <f t="shared" si="11"/>
        <v>公共部分装修</v>
      </c>
      <c r="R36" s="771" t="s">
        <v>17</v>
      </c>
      <c r="S36" s="772">
        <f t="shared" si="12"/>
        <v>100</v>
      </c>
      <c r="T36" s="771" t="s">
        <v>17</v>
      </c>
      <c r="U36" s="772">
        <f t="shared" si="13"/>
        <v>100</v>
      </c>
      <c r="V36" s="771" t="s">
        <v>17</v>
      </c>
      <c r="W36" s="772">
        <f t="shared" si="14"/>
        <v>100</v>
      </c>
      <c r="X36" s="1809"/>
      <c r="Y36" s="3203"/>
      <c r="Z36" s="1810" t="str">
        <f t="shared" si="15"/>
        <v>公共部分装修</v>
      </c>
      <c r="AA36" s="1807">
        <f t="shared" si="3"/>
        <v>1</v>
      </c>
      <c r="AB36" s="1807">
        <f t="shared" si="4"/>
        <v>1</v>
      </c>
      <c r="AC36" s="2671">
        <f t="shared" si="5"/>
        <v>1</v>
      </c>
    </row>
    <row r="37" spans="1:29" ht="15">
      <c r="A37" s="472"/>
      <c r="B37" s="422" t="s">
        <v>2661</v>
      </c>
      <c r="C37" s="474">
        <f>'数据-取费表'!N6</f>
        <v>0.72</v>
      </c>
      <c r="D37" s="435">
        <v>100</v>
      </c>
      <c r="E37" s="474">
        <v>0.72</v>
      </c>
      <c r="F37" s="461">
        <f>LOOKUP(E37,111:111,112:112)-LOOKUP(C37,111:111,112:112)+100</f>
        <v>100</v>
      </c>
      <c r="G37" s="474">
        <v>0.72</v>
      </c>
      <c r="H37" s="461">
        <f>LOOKUP(G37,111:111,112:112)-LOOKUP(C37,111:111,112:112)+100</f>
        <v>100</v>
      </c>
      <c r="I37" s="474">
        <v>0.72</v>
      </c>
      <c r="J37" s="435">
        <f>LOOKUP(I37,111:111,112:112)-LOOKUP(C37,111:111,112:112)+100</f>
        <v>100</v>
      </c>
      <c r="K37" s="612"/>
      <c r="L37" s="1137"/>
      <c r="M37" s="1128"/>
      <c r="N37" s="1128"/>
      <c r="O37" s="1128"/>
      <c r="P37" s="3201"/>
      <c r="Q37" s="1806" t="str">
        <f t="shared" si="11"/>
        <v>成新度</v>
      </c>
      <c r="R37" s="771" t="s">
        <v>17</v>
      </c>
      <c r="S37" s="772">
        <f t="shared" si="12"/>
        <v>100</v>
      </c>
      <c r="T37" s="771" t="s">
        <v>17</v>
      </c>
      <c r="U37" s="772">
        <f t="shared" si="13"/>
        <v>100</v>
      </c>
      <c r="V37" s="771" t="s">
        <v>17</v>
      </c>
      <c r="W37" s="772">
        <f t="shared" si="14"/>
        <v>100</v>
      </c>
      <c r="X37" s="1809"/>
      <c r="Y37" s="3203"/>
      <c r="Z37" s="1810" t="str">
        <f t="shared" si="15"/>
        <v>成新度</v>
      </c>
      <c r="AA37" s="1807">
        <f t="shared" si="3"/>
        <v>1</v>
      </c>
      <c r="AB37" s="1807">
        <f t="shared" si="4"/>
        <v>1</v>
      </c>
      <c r="AC37" s="2671">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01"/>
      <c r="Q38" s="1791" t="str">
        <f t="shared" si="11"/>
        <v>写字楼等级</v>
      </c>
      <c r="R38" s="767" t="s">
        <v>17</v>
      </c>
      <c r="S38" s="768">
        <f t="shared" si="12"/>
        <v>100</v>
      </c>
      <c r="T38" s="767" t="s">
        <v>17</v>
      </c>
      <c r="U38" s="768">
        <f t="shared" si="13"/>
        <v>100</v>
      </c>
      <c r="V38" s="767" t="s">
        <v>17</v>
      </c>
      <c r="W38" s="768">
        <f t="shared" si="14"/>
        <v>100</v>
      </c>
      <c r="X38" s="769"/>
      <c r="Y38" s="3203"/>
      <c r="Z38" s="55" t="str">
        <f t="shared" si="15"/>
        <v>写字楼等级</v>
      </c>
      <c r="AA38" s="770">
        <f t="shared" si="3"/>
        <v>1</v>
      </c>
      <c r="AB38" s="770">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01" t="s">
        <v>2564</v>
      </c>
      <c r="Q39" s="1806" t="str">
        <f t="shared" si="11"/>
        <v>物业管理</v>
      </c>
      <c r="R39" s="771" t="s">
        <v>17</v>
      </c>
      <c r="S39" s="772">
        <f t="shared" si="12"/>
        <v>100</v>
      </c>
      <c r="T39" s="771" t="s">
        <v>17</v>
      </c>
      <c r="U39" s="772">
        <f t="shared" si="13"/>
        <v>100</v>
      </c>
      <c r="V39" s="771" t="s">
        <v>17</v>
      </c>
      <c r="W39" s="772">
        <f t="shared" si="14"/>
        <v>100</v>
      </c>
      <c r="X39" s="1809"/>
      <c r="Y39" s="3203" t="s">
        <v>2564</v>
      </c>
      <c r="Z39" s="1810" t="str">
        <f t="shared" si="15"/>
        <v>物业管理</v>
      </c>
      <c r="AA39" s="1807">
        <f t="shared" si="3"/>
        <v>1</v>
      </c>
      <c r="AB39" s="1807">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01"/>
      <c r="Q40" s="1806" t="str">
        <f t="shared" si="11"/>
        <v>市政基础设施</v>
      </c>
      <c r="R40" s="771" t="s">
        <v>17</v>
      </c>
      <c r="S40" s="772">
        <f t="shared" si="12"/>
        <v>100</v>
      </c>
      <c r="T40" s="771" t="s">
        <v>17</v>
      </c>
      <c r="U40" s="772">
        <f t="shared" si="13"/>
        <v>100</v>
      </c>
      <c r="V40" s="771" t="s">
        <v>17</v>
      </c>
      <c r="W40" s="772">
        <f t="shared" si="14"/>
        <v>100</v>
      </c>
      <c r="X40" s="1809"/>
      <c r="Y40" s="3203"/>
      <c r="Z40" s="1810" t="str">
        <f t="shared" si="15"/>
        <v>市政基础设施</v>
      </c>
      <c r="AA40" s="1807">
        <f t="shared" si="3"/>
        <v>1</v>
      </c>
      <c r="AB40" s="1807">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01"/>
      <c r="Q41" s="1806" t="str">
        <f t="shared" si="11"/>
        <v>层高</v>
      </c>
      <c r="R41" s="771" t="s">
        <v>17</v>
      </c>
      <c r="S41" s="772">
        <f t="shared" si="12"/>
        <v>100</v>
      </c>
      <c r="T41" s="771" t="s">
        <v>17</v>
      </c>
      <c r="U41" s="772">
        <f t="shared" si="13"/>
        <v>100</v>
      </c>
      <c r="V41" s="771" t="s">
        <v>17</v>
      </c>
      <c r="W41" s="772">
        <f t="shared" si="14"/>
        <v>100</v>
      </c>
      <c r="X41" s="1809"/>
      <c r="Y41" s="3203"/>
      <c r="Z41" s="1810" t="str">
        <f t="shared" si="15"/>
        <v>层高</v>
      </c>
      <c r="AA41" s="1807">
        <f t="shared" si="3"/>
        <v>1</v>
      </c>
      <c r="AB41" s="1807">
        <f t="shared" si="4"/>
        <v>1</v>
      </c>
      <c r="AC41" s="2671">
        <f t="shared" si="5"/>
        <v>1</v>
      </c>
    </row>
    <row r="42" spans="1:29" s="471" customFormat="1" ht="15">
      <c r="A42" s="468"/>
      <c r="B42" s="1808"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01"/>
      <c r="Q42" s="773" t="str">
        <f t="shared" si="11"/>
        <v>单套建筑面积</v>
      </c>
      <c r="R42" s="774" t="s">
        <v>17</v>
      </c>
      <c r="S42" s="775">
        <f t="shared" si="12"/>
        <v>100</v>
      </c>
      <c r="T42" s="774" t="s">
        <v>17</v>
      </c>
      <c r="U42" s="775">
        <f t="shared" si="13"/>
        <v>100</v>
      </c>
      <c r="V42" s="774" t="s">
        <v>17</v>
      </c>
      <c r="W42" s="775">
        <f t="shared" si="14"/>
        <v>100</v>
      </c>
      <c r="X42" s="776"/>
      <c r="Y42" s="3203"/>
      <c r="Z42" s="777" t="str">
        <f t="shared" si="15"/>
        <v>单套建筑面积</v>
      </c>
      <c r="AA42" s="1807">
        <f t="shared" si="3"/>
        <v>1</v>
      </c>
      <c r="AB42" s="1807">
        <f t="shared" si="4"/>
        <v>1</v>
      </c>
      <c r="AC42" s="2671">
        <f t="shared" si="5"/>
        <v>1</v>
      </c>
    </row>
    <row r="43" spans="1:29" ht="15">
      <c r="A43" s="472"/>
      <c r="B43" s="422" t="s">
        <v>2667</v>
      </c>
      <c r="C43" s="460" t="s">
        <v>3095</v>
      </c>
      <c r="D43" s="435">
        <v>100</v>
      </c>
      <c r="E43" s="460" t="s">
        <v>3095</v>
      </c>
      <c r="F43" s="461">
        <f>SUMIF(123:123,E43,124:124)-SUMIF(123:123,C43,124:124)+100</f>
        <v>100</v>
      </c>
      <c r="G43" s="460" t="s">
        <v>3095</v>
      </c>
      <c r="H43" s="435">
        <f>SUMIF(123:123,G43,124:124)-SUMIF(123:123,C43,124:124)+100</f>
        <v>100</v>
      </c>
      <c r="I43" s="460" t="s">
        <v>3095</v>
      </c>
      <c r="J43" s="435">
        <f>SUMIF(123:123,I43,124:124)-SUMIF(123:123,C43,124:124)+100</f>
        <v>100</v>
      </c>
      <c r="K43" s="612"/>
      <c r="L43" s="1137"/>
      <c r="M43" s="1128"/>
      <c r="N43" s="1128"/>
      <c r="O43" s="1128"/>
      <c r="P43" s="3201"/>
      <c r="Q43" s="1806" t="str">
        <f t="shared" si="11"/>
        <v>内部装修</v>
      </c>
      <c r="R43" s="771" t="s">
        <v>17</v>
      </c>
      <c r="S43" s="772">
        <f t="shared" si="12"/>
        <v>100</v>
      </c>
      <c r="T43" s="771" t="s">
        <v>17</v>
      </c>
      <c r="U43" s="772">
        <f t="shared" si="13"/>
        <v>100</v>
      </c>
      <c r="V43" s="771" t="s">
        <v>17</v>
      </c>
      <c r="W43" s="772">
        <f t="shared" si="14"/>
        <v>100</v>
      </c>
      <c r="X43" s="1809"/>
      <c r="Y43" s="3203"/>
      <c r="Z43" s="1810" t="str">
        <f t="shared" si="15"/>
        <v>内部装修</v>
      </c>
      <c r="AA43" s="1807">
        <f t="shared" si="3"/>
        <v>1</v>
      </c>
      <c r="AB43" s="1807">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201"/>
      <c r="Q44" s="1806" t="str">
        <f t="shared" si="11"/>
        <v>内部装修维护情况</v>
      </c>
      <c r="R44" s="771" t="s">
        <v>17</v>
      </c>
      <c r="S44" s="772">
        <f t="shared" si="12"/>
        <v>100</v>
      </c>
      <c r="T44" s="771" t="s">
        <v>17</v>
      </c>
      <c r="U44" s="772">
        <f t="shared" si="13"/>
        <v>100</v>
      </c>
      <c r="V44" s="771" t="s">
        <v>17</v>
      </c>
      <c r="W44" s="772">
        <f t="shared" si="14"/>
        <v>100</v>
      </c>
      <c r="X44" s="1809"/>
      <c r="Y44" s="3203"/>
      <c r="Z44" s="1810" t="str">
        <f t="shared" si="15"/>
        <v>内部装修维护情况</v>
      </c>
      <c r="AA44" s="1807">
        <f t="shared" si="3"/>
        <v>1</v>
      </c>
      <c r="AB44" s="1807">
        <f t="shared" si="4"/>
        <v>1</v>
      </c>
      <c r="AC44" s="2671">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01"/>
      <c r="Q45" s="1791">
        <f t="shared" si="11"/>
        <v>111</v>
      </c>
      <c r="R45" s="767" t="s">
        <v>17</v>
      </c>
      <c r="S45" s="768">
        <f t="shared" si="12"/>
        <v>100</v>
      </c>
      <c r="T45" s="767" t="s">
        <v>17</v>
      </c>
      <c r="U45" s="768">
        <f t="shared" si="13"/>
        <v>100</v>
      </c>
      <c r="V45" s="767" t="s">
        <v>17</v>
      </c>
      <c r="W45" s="768">
        <f t="shared" si="14"/>
        <v>100</v>
      </c>
      <c r="X45" s="769"/>
      <c r="Y45" s="3203"/>
      <c r="Z45" s="55">
        <f t="shared" si="15"/>
        <v>111</v>
      </c>
      <c r="AA45" s="770">
        <f t="shared" si="3"/>
        <v>1</v>
      </c>
      <c r="AB45" s="770">
        <f t="shared" si="4"/>
        <v>1</v>
      </c>
      <c r="AC45" s="2668">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01"/>
      <c r="Q46" s="1806">
        <f t="shared" si="11"/>
        <v>111</v>
      </c>
      <c r="R46" s="771" t="s">
        <v>17</v>
      </c>
      <c r="S46" s="772">
        <f t="shared" si="12"/>
        <v>100</v>
      </c>
      <c r="T46" s="771" t="s">
        <v>17</v>
      </c>
      <c r="U46" s="772">
        <f t="shared" si="13"/>
        <v>100</v>
      </c>
      <c r="V46" s="771" t="s">
        <v>17</v>
      </c>
      <c r="W46" s="772">
        <f t="shared" si="14"/>
        <v>100</v>
      </c>
      <c r="X46" s="1809"/>
      <c r="Y46" s="3203"/>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02"/>
      <c r="Q47" s="1806">
        <f t="shared" si="11"/>
        <v>111</v>
      </c>
      <c r="R47" s="771" t="s">
        <v>17</v>
      </c>
      <c r="S47" s="772">
        <f t="shared" si="12"/>
        <v>100</v>
      </c>
      <c r="T47" s="771" t="s">
        <v>17</v>
      </c>
      <c r="U47" s="772">
        <f t="shared" si="13"/>
        <v>100</v>
      </c>
      <c r="V47" s="771" t="s">
        <v>17</v>
      </c>
      <c r="W47" s="772">
        <f t="shared" si="14"/>
        <v>100</v>
      </c>
      <c r="X47" s="1809"/>
      <c r="Y47" s="3204"/>
      <c r="Z47" s="1810">
        <f t="shared" si="15"/>
        <v>111</v>
      </c>
      <c r="AA47" s="1807">
        <f t="shared" si="3"/>
        <v>1</v>
      </c>
      <c r="AB47" s="1807">
        <f t="shared" si="4"/>
        <v>1</v>
      </c>
      <c r="AC47" s="2671">
        <f t="shared" si="5"/>
        <v>1</v>
      </c>
    </row>
    <row r="48" spans="1:29" ht="15">
      <c r="A48" s="479" t="s">
        <v>2576</v>
      </c>
      <c r="B48" s="480"/>
      <c r="C48" s="1403" t="s">
        <v>1</v>
      </c>
      <c r="D48" s="1404"/>
      <c r="E48" s="1405">
        <v>35000</v>
      </c>
      <c r="F48" s="1406"/>
      <c r="G48" s="1407">
        <v>35000</v>
      </c>
      <c r="H48" s="1408"/>
      <c r="I48" s="1405">
        <v>35000</v>
      </c>
      <c r="J48" s="485"/>
      <c r="K48" s="780"/>
      <c r="L48" s="1140"/>
      <c r="M48" s="1128"/>
      <c r="N48" s="1128"/>
      <c r="O48" s="1128"/>
      <c r="P48" s="3207" t="str">
        <f>A48</f>
        <v>成交单价（元/平方米）</v>
      </c>
      <c r="Q48" s="3196"/>
      <c r="R48" s="3197">
        <f>E48</f>
        <v>35000</v>
      </c>
      <c r="S48" s="3197"/>
      <c r="T48" s="3197">
        <f>G48</f>
        <v>35000</v>
      </c>
      <c r="U48" s="3197"/>
      <c r="V48" s="3197">
        <f>I48</f>
        <v>35000</v>
      </c>
      <c r="W48" s="3197"/>
      <c r="X48" s="446"/>
      <c r="Y48" s="778"/>
      <c r="Z48" s="446"/>
      <c r="AA48" s="446"/>
      <c r="AB48" s="446"/>
      <c r="AC48" s="630"/>
    </row>
    <row r="49" spans="1:29" ht="15.75" thickBot="1">
      <c r="A49" s="486" t="s">
        <v>2668</v>
      </c>
      <c r="B49" s="487"/>
      <c r="C49" s="1409">
        <f>R50</f>
        <v>35000</v>
      </c>
      <c r="D49" s="1410"/>
      <c r="E49" s="1411">
        <f>R49</f>
        <v>35000</v>
      </c>
      <c r="F49" s="1411"/>
      <c r="G49" s="1409">
        <f>T49</f>
        <v>35000</v>
      </c>
      <c r="H49" s="1410"/>
      <c r="I49" s="1411">
        <f>V49</f>
        <v>35000</v>
      </c>
      <c r="J49" s="489"/>
      <c r="K49" s="781"/>
      <c r="L49" s="1140"/>
      <c r="M49" s="1128"/>
      <c r="N49" s="1128"/>
      <c r="O49" s="1128"/>
      <c r="P49" s="3207" t="str">
        <f>A49</f>
        <v>比较价值（元/平方米）</v>
      </c>
      <c r="Q49" s="3196"/>
      <c r="R49" s="3197">
        <f>IF(F1="售价",ROUND(PRODUCT(R48,AA7:AA47),0),ROUND(PRODUCT(R48,AA7:AA47),1))</f>
        <v>35000</v>
      </c>
      <c r="S49" s="3197"/>
      <c r="T49" s="3197">
        <f>IF(F1="售价",ROUND(PRODUCT(T48,AB7:AB47),0),ROUND(PRODUCT(T48,AB7:AB47),1))</f>
        <v>35000</v>
      </c>
      <c r="U49" s="3197"/>
      <c r="V49" s="3197">
        <f>IF(F1="售价",ROUND(PRODUCT(V48,AC7:AC47),0),ROUND(PRODUCT(V48,AC7:AC47),1))</f>
        <v>35000</v>
      </c>
      <c r="W49" s="3197"/>
      <c r="X49" s="446"/>
      <c r="Y49" s="446"/>
      <c r="Z49" s="446"/>
      <c r="AA49" s="446"/>
      <c r="AB49" s="446"/>
      <c r="AC49" s="630"/>
    </row>
    <row r="50" spans="1:29" ht="15.75" thickBot="1">
      <c r="A50" s="492" t="s">
        <v>2669</v>
      </c>
      <c r="B50" s="493"/>
      <c r="C50" s="1413">
        <f>R50</f>
        <v>35000</v>
      </c>
      <c r="D50" s="1413"/>
      <c r="E50" s="1413"/>
      <c r="F50" s="1413"/>
      <c r="G50" s="1413"/>
      <c r="H50" s="1413"/>
      <c r="I50" s="1413"/>
      <c r="J50" s="494"/>
      <c r="K50" s="782"/>
      <c r="L50" s="1140"/>
      <c r="M50" s="1128"/>
      <c r="N50" s="1128"/>
      <c r="O50" s="1128"/>
      <c r="P50" s="3239" t="str">
        <f>A50</f>
        <v>估价对象XX用房的比较价值（楼面单价，元/平方米）</v>
      </c>
      <c r="Q50" s="3240"/>
      <c r="R50" s="3241">
        <f>IF(F1="售价",ROUND(AVERAGE(R49:V49),0),ROUND(AVERAGE(R49:V49),1))</f>
        <v>35000</v>
      </c>
      <c r="S50" s="3241"/>
      <c r="T50" s="3241"/>
      <c r="U50" s="3241"/>
      <c r="V50" s="3241"/>
      <c r="W50" s="3241"/>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2670</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2"/>
      <c r="L53" s="1103"/>
      <c r="M53" s="1141"/>
      <c r="N53" s="1141"/>
      <c r="O53" s="1141"/>
    </row>
    <row r="54" spans="1:29" ht="13.5" customHeight="1">
      <c r="A54" s="1141"/>
      <c r="B54" s="1141"/>
      <c r="C54" s="497" t="s">
        <v>2671</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2"/>
      <c r="L54" s="1103"/>
      <c r="M54" s="1141"/>
      <c r="N54" s="1141"/>
      <c r="O54" s="1141"/>
    </row>
    <row r="55" spans="1:29" s="502" customFormat="1" ht="13.5" customHeight="1">
      <c r="A55" s="1142"/>
      <c r="B55" s="1142"/>
      <c r="C55" s="497" t="s">
        <v>2672</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0" t="s">
        <v>2673</v>
      </c>
      <c r="B58" s="756"/>
      <c r="C58" s="761"/>
      <c r="D58" s="761"/>
      <c r="E58" s="761"/>
      <c r="F58" s="762"/>
      <c r="G58" s="762"/>
      <c r="H58" s="761"/>
      <c r="I58" s="761"/>
      <c r="J58" s="761"/>
      <c r="K58" s="763"/>
      <c r="L58" s="1158"/>
      <c r="M58" s="1156"/>
      <c r="N58" s="1156"/>
      <c r="O58" s="1156"/>
      <c r="P58" s="2678"/>
      <c r="Q58" s="504"/>
    </row>
    <row r="59" spans="1:29" s="508" customFormat="1" ht="15">
      <c r="A59" s="505" t="s">
        <v>2547</v>
      </c>
      <c r="B59" s="506"/>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2584</v>
      </c>
      <c r="B61" s="516"/>
      <c r="C61" s="517">
        <v>100</v>
      </c>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2587</v>
      </c>
      <c r="B64" s="528" t="s">
        <v>2553</v>
      </c>
      <c r="C64" s="529" t="str">
        <f>C9</f>
        <v>工业</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2557</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v>0</v>
      </c>
      <c r="D69" s="549">
        <v>1</v>
      </c>
      <c r="E69" s="549">
        <v>2</v>
      </c>
      <c r="F69" s="549">
        <v>3</v>
      </c>
      <c r="G69" s="549"/>
      <c r="H69" s="549"/>
      <c r="I69" s="549"/>
      <c r="J69" s="549"/>
      <c r="K69" s="550"/>
      <c r="L69" s="551"/>
      <c r="M69" s="552"/>
      <c r="N69" s="1149"/>
      <c r="O69" s="1149"/>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78"/>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2698</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2972" t="s">
        <v>3089</v>
      </c>
      <c r="D89" s="2972" t="s">
        <v>3091</v>
      </c>
      <c r="E89" s="2972" t="s">
        <v>3092</v>
      </c>
      <c r="F89" s="2632"/>
      <c r="G89" s="554"/>
      <c r="H89" s="554"/>
      <c r="I89" s="554"/>
      <c r="J89" s="554"/>
      <c r="K89" s="554"/>
      <c r="L89" s="554"/>
      <c r="M89" s="581"/>
      <c r="N89" s="1148"/>
      <c r="O89" s="1148"/>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2562</v>
      </c>
      <c r="B101" s="528" t="s">
        <v>2611</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2612</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1"/>
      <c r="O104" s="1151"/>
      <c r="P104" s="2682"/>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0"/>
      <c r="O105" s="1150"/>
      <c r="P105" s="2682"/>
      <c r="Q105" s="559"/>
    </row>
    <row r="106" spans="1:17" ht="15" thickTop="1">
      <c r="A106" s="599"/>
      <c r="B106" s="538" t="s">
        <v>2613</v>
      </c>
      <c r="C106" s="2972" t="s">
        <v>3094</v>
      </c>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2615</v>
      </c>
      <c r="C108" s="2972" t="s">
        <v>3096</v>
      </c>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2699</v>
      </c>
      <c r="C113" s="2972" t="s">
        <v>3097</v>
      </c>
      <c r="D113" s="2972" t="s">
        <v>3098</v>
      </c>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2616</v>
      </c>
      <c r="C115" s="2972" t="s">
        <v>3099</v>
      </c>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2617</v>
      </c>
      <c r="C117" s="2972" t="s">
        <v>3100</v>
      </c>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2700</v>
      </c>
      <c r="C119" s="2973" t="s">
        <v>3101</v>
      </c>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2683</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2619</v>
      </c>
      <c r="C123" s="2972" t="s">
        <v>3103</v>
      </c>
      <c r="D123" s="2972" t="s">
        <v>3104</v>
      </c>
      <c r="E123" s="2972" t="s">
        <v>3105</v>
      </c>
      <c r="F123" s="2973" t="s">
        <v>3106</v>
      </c>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2527</v>
      </c>
      <c r="B1" s="2666" t="s">
        <v>2701</v>
      </c>
      <c r="C1" s="1616" t="s">
        <v>2529</v>
      </c>
      <c r="D1" s="1617"/>
      <c r="E1" s="1626"/>
      <c r="F1" s="2581"/>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IF(C2="——",ROUND(C43*D3/10000,0),ROUND(C43*D3/10000,0)-D2)</f>
        <v>#DIV/0!</v>
      </c>
      <c r="C2" s="2583"/>
      <c r="D2" s="1121" t="e">
        <f ca="1">SUMIF(INDIRECT("'"&amp;F2&amp;"'"&amp;"!A:A"),"承租人权益价值",INDIRECT("'"&amp;F2&amp;"'"&amp;"!c:c"))</f>
        <v>#REF!</v>
      </c>
      <c r="E2" s="2584" t="s">
        <v>2327</v>
      </c>
      <c r="F2" s="2585"/>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2328</v>
      </c>
      <c r="B3" s="609" t="e">
        <f ca="1">IF(C2="——",C43,ROUND(B2*10000/D3,0))</f>
        <v>#DIV/0!</v>
      </c>
      <c r="C3" s="400" t="s">
        <v>2643</v>
      </c>
      <c r="D3" s="399">
        <f>IF(D1="",'数据-汇总表'!E3,SUMIF('数据-汇总表'!$C19:$C33,D1,'数据-汇总表'!$E19:$E33))</f>
        <v>32523.979999999992</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2644</v>
      </c>
      <c r="B4" s="402"/>
      <c r="C4" s="3211" t="s">
        <v>2645</v>
      </c>
      <c r="D4" s="3212"/>
      <c r="E4" s="3213" t="s">
        <v>2646</v>
      </c>
      <c r="F4" s="3214"/>
      <c r="G4" s="3211" t="s">
        <v>2647</v>
      </c>
      <c r="H4" s="3212"/>
      <c r="I4" s="3211" t="s">
        <v>2648</v>
      </c>
      <c r="J4" s="3212"/>
      <c r="K4" s="610" t="s">
        <v>2649</v>
      </c>
      <c r="L4" s="1127"/>
      <c r="M4" s="1128"/>
      <c r="N4" s="1128"/>
      <c r="O4" s="1128"/>
      <c r="P4" s="3215" t="s">
        <v>2650</v>
      </c>
      <c r="Q4" s="3216"/>
      <c r="R4" s="3221" t="s">
        <v>2646</v>
      </c>
      <c r="S4" s="3222"/>
      <c r="T4" s="3221" t="s">
        <v>2647</v>
      </c>
      <c r="U4" s="3222"/>
      <c r="V4" s="3227" t="s">
        <v>2648</v>
      </c>
      <c r="W4" s="3227"/>
      <c r="X4" s="1809"/>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27"/>
      <c r="M5" s="1128"/>
      <c r="N5" s="1128"/>
      <c r="O5" s="1128"/>
      <c r="P5" s="3217"/>
      <c r="Q5" s="3218"/>
      <c r="R5" s="3223"/>
      <c r="S5" s="3224"/>
      <c r="T5" s="3223"/>
      <c r="U5" s="3224"/>
      <c r="V5" s="3227"/>
      <c r="W5" s="3227"/>
      <c r="X5" s="1809"/>
      <c r="Y5" s="3223"/>
      <c r="Z5" s="3224"/>
      <c r="AA5" s="3209"/>
      <c r="AB5" s="3209"/>
      <c r="AC5" s="3209"/>
    </row>
    <row r="6" spans="1:29" ht="15.75" thickBot="1">
      <c r="A6" s="406"/>
      <c r="B6" s="407"/>
      <c r="C6" s="3228" t="s">
        <v>2545</v>
      </c>
      <c r="D6" s="3229"/>
      <c r="E6" s="3235" t="s">
        <v>2545</v>
      </c>
      <c r="F6" s="3236"/>
      <c r="G6" s="3228" t="s">
        <v>2545</v>
      </c>
      <c r="H6" s="3229"/>
      <c r="I6" s="3228" t="s">
        <v>2545</v>
      </c>
      <c r="J6" s="3229"/>
      <c r="K6" s="610" t="s">
        <v>2546</v>
      </c>
      <c r="L6" s="1127"/>
      <c r="M6" s="1128"/>
      <c r="N6" s="1128"/>
      <c r="O6" s="1128"/>
      <c r="P6" s="3219"/>
      <c r="Q6" s="3220"/>
      <c r="R6" s="3223"/>
      <c r="S6" s="3224"/>
      <c r="T6" s="3225"/>
      <c r="U6" s="3226"/>
      <c r="V6" s="3227"/>
      <c r="W6" s="3227"/>
      <c r="X6" s="1809"/>
      <c r="Y6" s="3225"/>
      <c r="Z6" s="3226"/>
      <c r="AA6" s="3210"/>
      <c r="AB6" s="3210"/>
      <c r="AC6" s="3210"/>
    </row>
    <row r="7" spans="1:29" s="117" customFormat="1" ht="15.75" thickBot="1">
      <c r="A7" s="408" t="s">
        <v>2547</v>
      </c>
      <c r="B7" s="409"/>
      <c r="C7" s="410">
        <f>'数据-取费表'!B2</f>
        <v>43790</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32" t="s">
        <v>2548</v>
      </c>
      <c r="Q7" s="3234"/>
      <c r="R7" s="767" t="s">
        <v>17</v>
      </c>
      <c r="S7" s="768">
        <f t="shared" ref="S7:S15" si="0">F7</f>
        <v>0</v>
      </c>
      <c r="T7" s="767" t="s">
        <v>17</v>
      </c>
      <c r="U7" s="768">
        <f t="shared" ref="U7:U15" si="1">H7</f>
        <v>0</v>
      </c>
      <c r="V7" s="767" t="s">
        <v>17</v>
      </c>
      <c r="W7" s="768">
        <f t="shared" ref="W7:W15" si="2">J7</f>
        <v>0</v>
      </c>
      <c r="X7" s="769"/>
      <c r="Y7" s="3232" t="s">
        <v>2548</v>
      </c>
      <c r="Z7" s="3233"/>
      <c r="AA7" s="770" t="e">
        <f>D7/F7</f>
        <v>#DIV/0!</v>
      </c>
      <c r="AB7" s="770" t="e">
        <f>D7/H7</f>
        <v>#DIV/0!</v>
      </c>
      <c r="AC7" s="770"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32" t="s">
        <v>2551</v>
      </c>
      <c r="Q8" s="3233"/>
      <c r="R8" s="767" t="s">
        <v>17</v>
      </c>
      <c r="S8" s="768">
        <f t="shared" si="0"/>
        <v>0</v>
      </c>
      <c r="T8" s="767" t="s">
        <v>17</v>
      </c>
      <c r="U8" s="768">
        <f t="shared" si="1"/>
        <v>0</v>
      </c>
      <c r="V8" s="767" t="s">
        <v>17</v>
      </c>
      <c r="W8" s="768">
        <f t="shared" si="2"/>
        <v>0</v>
      </c>
      <c r="X8" s="769"/>
      <c r="Y8" s="3232" t="s">
        <v>2551</v>
      </c>
      <c r="Z8" s="3233"/>
      <c r="AA8" s="770" t="e">
        <f t="shared" ref="AA8:AA40" si="3">D8/F8</f>
        <v>#DIV/0!</v>
      </c>
      <c r="AB8" s="770" t="e">
        <f t="shared" ref="AB8:AB40" si="4">D8/H8</f>
        <v>#DIV/0!</v>
      </c>
      <c r="AC8" s="770"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96" t="s">
        <v>2554</v>
      </c>
      <c r="Q9" s="1791" t="str">
        <f t="shared" ref="Q9:Q15" si="6">B9</f>
        <v>用途</v>
      </c>
      <c r="R9" s="767" t="s">
        <v>17</v>
      </c>
      <c r="S9" s="768">
        <f t="shared" si="0"/>
        <v>100</v>
      </c>
      <c r="T9" s="767" t="s">
        <v>17</v>
      </c>
      <c r="U9" s="768">
        <f t="shared" si="1"/>
        <v>100</v>
      </c>
      <c r="V9" s="767" t="s">
        <v>17</v>
      </c>
      <c r="W9" s="768">
        <f t="shared" si="2"/>
        <v>100</v>
      </c>
      <c r="X9" s="769"/>
      <c r="Y9" s="3024"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96"/>
      <c r="Q10" s="1791"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96"/>
      <c r="Q11" s="1791"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196"/>
      <c r="Q12" s="1791">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196"/>
      <c r="Q13" s="1791">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196"/>
      <c r="Q14" s="1791">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770">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98" t="s">
        <v>2559</v>
      </c>
      <c r="Q15" s="1806" t="str">
        <f t="shared" si="6"/>
        <v>产业集聚程度</v>
      </c>
      <c r="R15" s="771" t="s">
        <v>17</v>
      </c>
      <c r="S15" s="772">
        <f t="shared" si="0"/>
        <v>100</v>
      </c>
      <c r="T15" s="771" t="s">
        <v>17</v>
      </c>
      <c r="U15" s="772">
        <f t="shared" si="1"/>
        <v>100</v>
      </c>
      <c r="V15" s="771" t="s">
        <v>17</v>
      </c>
      <c r="W15" s="772">
        <f t="shared" si="2"/>
        <v>100</v>
      </c>
      <c r="X15" s="1809"/>
      <c r="Y15" s="3198" t="s">
        <v>2559</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199"/>
      <c r="Q16" s="1806"/>
      <c r="R16" s="771"/>
      <c r="S16" s="772"/>
      <c r="T16" s="771"/>
      <c r="U16" s="772"/>
      <c r="V16" s="771"/>
      <c r="W16" s="772"/>
      <c r="X16" s="1809"/>
      <c r="Y16" s="3199"/>
      <c r="Z16" s="1810"/>
      <c r="AA16" s="1807">
        <v>1</v>
      </c>
      <c r="AB16" s="1807">
        <v>1</v>
      </c>
      <c r="AC16" s="1807">
        <v>1</v>
      </c>
    </row>
    <row r="17" spans="1:29" ht="85.5">
      <c r="A17" s="428"/>
      <c r="B17" s="451" t="s">
        <v>2096</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99"/>
      <c r="Q17" s="1806" t="str">
        <f>B17</f>
        <v>交通便捷度</v>
      </c>
      <c r="R17" s="771" t="s">
        <v>17</v>
      </c>
      <c r="S17" s="772">
        <f>F17</f>
        <v>100</v>
      </c>
      <c r="T17" s="771" t="s">
        <v>17</v>
      </c>
      <c r="U17" s="772">
        <f>H17</f>
        <v>100</v>
      </c>
      <c r="V17" s="771" t="s">
        <v>17</v>
      </c>
      <c r="W17" s="772">
        <f>J17</f>
        <v>100</v>
      </c>
      <c r="X17" s="1809"/>
      <c r="Y17" s="3199"/>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7"/>
      <c r="M18" s="1128"/>
      <c r="N18" s="1128"/>
      <c r="O18" s="1136"/>
      <c r="P18" s="3199"/>
      <c r="Q18" s="1806"/>
      <c r="R18" s="771"/>
      <c r="S18" s="772"/>
      <c r="T18" s="771"/>
      <c r="U18" s="772"/>
      <c r="V18" s="771"/>
      <c r="W18" s="772"/>
      <c r="X18" s="1809"/>
      <c r="Y18" s="3199"/>
      <c r="Z18" s="1810"/>
      <c r="AA18" s="1807">
        <v>1</v>
      </c>
      <c r="AB18" s="1807">
        <v>1</v>
      </c>
      <c r="AC18" s="1807">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99"/>
      <c r="Q19" s="1806" t="str">
        <f>B19</f>
        <v>公共配套设施</v>
      </c>
      <c r="R19" s="771" t="s">
        <v>17</v>
      </c>
      <c r="S19" s="772">
        <f>F19</f>
        <v>100</v>
      </c>
      <c r="T19" s="771" t="s">
        <v>17</v>
      </c>
      <c r="U19" s="772">
        <f>H19</f>
        <v>100</v>
      </c>
      <c r="V19" s="771" t="s">
        <v>17</v>
      </c>
      <c r="W19" s="772">
        <f>J19</f>
        <v>100</v>
      </c>
      <c r="X19" s="1809"/>
      <c r="Y19" s="3199"/>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7"/>
      <c r="M20" s="1128"/>
      <c r="N20" s="1128"/>
      <c r="O20" s="1136"/>
      <c r="P20" s="3199"/>
      <c r="Q20" s="1806"/>
      <c r="R20" s="771"/>
      <c r="S20" s="772"/>
      <c r="T20" s="771"/>
      <c r="U20" s="772"/>
      <c r="V20" s="771"/>
      <c r="W20" s="772"/>
      <c r="X20" s="1809"/>
      <c r="Y20" s="3199"/>
      <c r="Z20" s="1810"/>
      <c r="AA20" s="1807">
        <v>1</v>
      </c>
      <c r="AB20" s="1807">
        <v>1</v>
      </c>
      <c r="AC20" s="1807">
        <v>1</v>
      </c>
    </row>
    <row r="21" spans="1:29" ht="28.5">
      <c r="A21" s="428"/>
      <c r="B21" s="1380"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99"/>
      <c r="Q21" s="1806" t="str">
        <f>B21</f>
        <v>基础设施水平</v>
      </c>
      <c r="R21" s="771" t="s">
        <v>17</v>
      </c>
      <c r="S21" s="772">
        <f>F21</f>
        <v>100</v>
      </c>
      <c r="T21" s="771" t="s">
        <v>17</v>
      </c>
      <c r="U21" s="772">
        <f>H21</f>
        <v>100</v>
      </c>
      <c r="V21" s="771" t="s">
        <v>17</v>
      </c>
      <c r="W21" s="772">
        <f>J21</f>
        <v>100</v>
      </c>
      <c r="X21" s="1809"/>
      <c r="Y21" s="3199"/>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7"/>
      <c r="M22" s="1128"/>
      <c r="N22" s="1128"/>
      <c r="O22" s="1136"/>
      <c r="P22" s="3199"/>
      <c r="Q22" s="1806"/>
      <c r="R22" s="771"/>
      <c r="S22" s="772"/>
      <c r="T22" s="771"/>
      <c r="U22" s="772"/>
      <c r="V22" s="771"/>
      <c r="W22" s="772"/>
      <c r="X22" s="1809"/>
      <c r="Y22" s="3199"/>
      <c r="Z22" s="1810"/>
      <c r="AA22" s="1807">
        <v>1</v>
      </c>
      <c r="AB22" s="1807">
        <v>1</v>
      </c>
      <c r="AC22" s="1807">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99"/>
      <c r="Q23" s="1806" t="str">
        <f>B23</f>
        <v>环境质量</v>
      </c>
      <c r="R23" s="771" t="s">
        <v>17</v>
      </c>
      <c r="S23" s="772">
        <f>F23</f>
        <v>100</v>
      </c>
      <c r="T23" s="771" t="s">
        <v>17</v>
      </c>
      <c r="U23" s="772">
        <f>H23</f>
        <v>100</v>
      </c>
      <c r="V23" s="771" t="s">
        <v>17</v>
      </c>
      <c r="W23" s="772">
        <f>J23</f>
        <v>100</v>
      </c>
      <c r="X23" s="1809"/>
      <c r="Y23" s="3199"/>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37"/>
      <c r="M24" s="1128"/>
      <c r="N24" s="1128"/>
      <c r="O24" s="1136"/>
      <c r="P24" s="3199"/>
      <c r="Q24" s="1806"/>
      <c r="R24" s="771"/>
      <c r="S24" s="772"/>
      <c r="T24" s="771"/>
      <c r="U24" s="772"/>
      <c r="V24" s="771"/>
      <c r="W24" s="772"/>
      <c r="X24" s="1809"/>
      <c r="Y24" s="3199"/>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99"/>
      <c r="Q25" s="1806">
        <f>B25</f>
        <v>111</v>
      </c>
      <c r="R25" s="771" t="s">
        <v>17</v>
      </c>
      <c r="S25" s="772">
        <f>F25</f>
        <v>100</v>
      </c>
      <c r="T25" s="771" t="s">
        <v>17</v>
      </c>
      <c r="U25" s="772">
        <f>H25</f>
        <v>100</v>
      </c>
      <c r="V25" s="771" t="s">
        <v>17</v>
      </c>
      <c r="W25" s="772">
        <f>J25</f>
        <v>100</v>
      </c>
      <c r="X25" s="1809"/>
      <c r="Y25" s="3199"/>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99"/>
      <c r="Q26" s="1806">
        <f t="shared" ref="Q26:Q40" si="11">B26</f>
        <v>111</v>
      </c>
      <c r="R26" s="771" t="s">
        <v>17</v>
      </c>
      <c r="S26" s="772">
        <f>F26</f>
        <v>100</v>
      </c>
      <c r="T26" s="771" t="s">
        <v>17</v>
      </c>
      <c r="U26" s="772">
        <f>H26</f>
        <v>100</v>
      </c>
      <c r="V26" s="771" t="s">
        <v>17</v>
      </c>
      <c r="W26" s="772">
        <f>J26</f>
        <v>100</v>
      </c>
      <c r="X26" s="1809"/>
      <c r="Y26" s="3199"/>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99"/>
      <c r="Q27" s="1791">
        <f t="shared" si="11"/>
        <v>111</v>
      </c>
      <c r="R27" s="767" t="s">
        <v>17</v>
      </c>
      <c r="S27" s="768">
        <f>F27</f>
        <v>100</v>
      </c>
      <c r="T27" s="767" t="s">
        <v>17</v>
      </c>
      <c r="U27" s="768">
        <f>H27</f>
        <v>100</v>
      </c>
      <c r="V27" s="767" t="s">
        <v>17</v>
      </c>
      <c r="W27" s="768">
        <f>J27</f>
        <v>100</v>
      </c>
      <c r="X27" s="769"/>
      <c r="Y27" s="3199"/>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99"/>
      <c r="Q28" s="1806">
        <f t="shared" si="11"/>
        <v>111</v>
      </c>
      <c r="R28" s="771" t="s">
        <v>17</v>
      </c>
      <c r="S28" s="772">
        <f t="shared" ref="S28:S40" si="12">F28</f>
        <v>100</v>
      </c>
      <c r="T28" s="771" t="s">
        <v>17</v>
      </c>
      <c r="U28" s="772">
        <f t="shared" ref="U28:U40" si="13">H28</f>
        <v>100</v>
      </c>
      <c r="V28" s="771" t="s">
        <v>17</v>
      </c>
      <c r="W28" s="772">
        <f t="shared" ref="W28:W40" si="14">J28</f>
        <v>100</v>
      </c>
      <c r="X28" s="1809"/>
      <c r="Y28" s="3199"/>
      <c r="Z28" s="1810">
        <f t="shared" ref="Z28:Z40" si="15">Q28</f>
        <v>111</v>
      </c>
      <c r="AA28" s="1807">
        <f t="shared" si="3"/>
        <v>1</v>
      </c>
      <c r="AB28" s="1807">
        <f t="shared" si="4"/>
        <v>1</v>
      </c>
      <c r="AC28" s="1807">
        <f t="shared" si="5"/>
        <v>1</v>
      </c>
    </row>
    <row r="29" spans="1:29" ht="28.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256" t="s">
        <v>2564</v>
      </c>
      <c r="Q29" s="1806" t="str">
        <f t="shared" si="11"/>
        <v>建筑类型</v>
      </c>
      <c r="R29" s="771" t="s">
        <v>17</v>
      </c>
      <c r="S29" s="772">
        <f t="shared" si="12"/>
        <v>100</v>
      </c>
      <c r="T29" s="771" t="s">
        <v>17</v>
      </c>
      <c r="U29" s="772">
        <f t="shared" si="13"/>
        <v>100</v>
      </c>
      <c r="V29" s="771" t="s">
        <v>17</v>
      </c>
      <c r="W29" s="772">
        <f t="shared" si="14"/>
        <v>100</v>
      </c>
      <c r="X29" s="1809"/>
      <c r="Y29" s="3203" t="s">
        <v>2564</v>
      </c>
      <c r="Z29" s="1810" t="str">
        <f t="shared" si="15"/>
        <v>建筑类型</v>
      </c>
      <c r="AA29" s="1807">
        <f t="shared" si="3"/>
        <v>1</v>
      </c>
      <c r="AB29" s="1807">
        <f t="shared" si="4"/>
        <v>1</v>
      </c>
      <c r="AC29" s="1807">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03"/>
      <c r="Q30" s="773" t="str">
        <f t="shared" si="11"/>
        <v>项目建筑规模</v>
      </c>
      <c r="R30" s="774" t="s">
        <v>17</v>
      </c>
      <c r="S30" s="775" t="e">
        <f t="shared" si="12"/>
        <v>#N/A</v>
      </c>
      <c r="T30" s="774" t="s">
        <v>17</v>
      </c>
      <c r="U30" s="775" t="e">
        <f t="shared" si="13"/>
        <v>#N/A</v>
      </c>
      <c r="V30" s="774" t="s">
        <v>17</v>
      </c>
      <c r="W30" s="775" t="e">
        <f t="shared" si="14"/>
        <v>#N/A</v>
      </c>
      <c r="X30" s="776"/>
      <c r="Y30" s="3203"/>
      <c r="Z30" s="777" t="str">
        <f t="shared" si="15"/>
        <v>项目建筑规模</v>
      </c>
      <c r="AA30" s="1807" t="e">
        <f t="shared" si="3"/>
        <v>#N/A</v>
      </c>
      <c r="AB30" s="1807" t="e">
        <f t="shared" si="4"/>
        <v>#N/A</v>
      </c>
      <c r="AC30" s="1807"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03"/>
      <c r="Q31" s="1806" t="str">
        <f t="shared" si="11"/>
        <v>建筑结构</v>
      </c>
      <c r="R31" s="771" t="s">
        <v>17</v>
      </c>
      <c r="S31" s="772">
        <f t="shared" si="12"/>
        <v>100</v>
      </c>
      <c r="T31" s="771" t="s">
        <v>17</v>
      </c>
      <c r="U31" s="772">
        <f t="shared" si="13"/>
        <v>100</v>
      </c>
      <c r="V31" s="771" t="s">
        <v>17</v>
      </c>
      <c r="W31" s="772">
        <f t="shared" si="14"/>
        <v>100</v>
      </c>
      <c r="X31" s="1809"/>
      <c r="Y31" s="3203"/>
      <c r="Z31" s="1810" t="str">
        <f t="shared" si="15"/>
        <v>建筑结构</v>
      </c>
      <c r="AA31" s="1807">
        <f t="shared" si="3"/>
        <v>1</v>
      </c>
      <c r="AB31" s="1807">
        <f t="shared" si="4"/>
        <v>1</v>
      </c>
      <c r="AC31" s="1807">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03"/>
      <c r="Q32" s="1806" t="str">
        <f t="shared" si="11"/>
        <v>公共部分装修</v>
      </c>
      <c r="R32" s="771" t="s">
        <v>17</v>
      </c>
      <c r="S32" s="772">
        <f t="shared" si="12"/>
        <v>100</v>
      </c>
      <c r="T32" s="771" t="s">
        <v>17</v>
      </c>
      <c r="U32" s="772">
        <f t="shared" si="13"/>
        <v>100</v>
      </c>
      <c r="V32" s="771" t="s">
        <v>17</v>
      </c>
      <c r="W32" s="772">
        <f t="shared" si="14"/>
        <v>100</v>
      </c>
      <c r="X32" s="1809"/>
      <c r="Y32" s="3203"/>
      <c r="Z32" s="1810" t="str">
        <f t="shared" si="15"/>
        <v>公共部分装修</v>
      </c>
      <c r="AA32" s="1807">
        <f t="shared" si="3"/>
        <v>1</v>
      </c>
      <c r="AB32" s="1807">
        <f t="shared" si="4"/>
        <v>1</v>
      </c>
      <c r="AC32" s="1807">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03"/>
      <c r="Q33" s="1806" t="str">
        <f t="shared" si="11"/>
        <v>成新度</v>
      </c>
      <c r="R33" s="771" t="s">
        <v>17</v>
      </c>
      <c r="S33" s="772" t="e">
        <f t="shared" si="12"/>
        <v>#N/A</v>
      </c>
      <c r="T33" s="771" t="s">
        <v>17</v>
      </c>
      <c r="U33" s="772" t="e">
        <f t="shared" si="13"/>
        <v>#N/A</v>
      </c>
      <c r="V33" s="771" t="s">
        <v>17</v>
      </c>
      <c r="W33" s="772" t="e">
        <f t="shared" si="14"/>
        <v>#N/A</v>
      </c>
      <c r="X33" s="1809"/>
      <c r="Y33" s="3203"/>
      <c r="Z33" s="1810" t="str">
        <f t="shared" si="15"/>
        <v>成新度</v>
      </c>
      <c r="AA33" s="1807" t="e">
        <f t="shared" si="3"/>
        <v>#N/A</v>
      </c>
      <c r="AB33" s="1807" t="e">
        <f t="shared" si="4"/>
        <v>#N/A</v>
      </c>
      <c r="AC33" s="1807"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03"/>
      <c r="Q34" s="1791" t="str">
        <f t="shared" si="11"/>
        <v>物业管理</v>
      </c>
      <c r="R34" s="767" t="s">
        <v>17</v>
      </c>
      <c r="S34" s="768">
        <f t="shared" si="12"/>
        <v>100</v>
      </c>
      <c r="T34" s="767" t="s">
        <v>17</v>
      </c>
      <c r="U34" s="768">
        <f t="shared" si="13"/>
        <v>100</v>
      </c>
      <c r="V34" s="767" t="s">
        <v>17</v>
      </c>
      <c r="W34" s="768">
        <f t="shared" si="14"/>
        <v>100</v>
      </c>
      <c r="X34" s="769"/>
      <c r="Y34" s="3203"/>
      <c r="Z34" s="55" t="str">
        <f t="shared" si="15"/>
        <v>物业管理</v>
      </c>
      <c r="AA34" s="770">
        <f t="shared" si="3"/>
        <v>1</v>
      </c>
      <c r="AB34" s="770">
        <f t="shared" si="4"/>
        <v>1</v>
      </c>
      <c r="AC34" s="770">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03" t="s">
        <v>2564</v>
      </c>
      <c r="Q35" s="1806" t="str">
        <f t="shared" si="11"/>
        <v>市政基础设施</v>
      </c>
      <c r="R35" s="771" t="s">
        <v>17</v>
      </c>
      <c r="S35" s="772">
        <f t="shared" si="12"/>
        <v>100</v>
      </c>
      <c r="T35" s="771" t="s">
        <v>17</v>
      </c>
      <c r="U35" s="772">
        <f t="shared" si="13"/>
        <v>100</v>
      </c>
      <c r="V35" s="771" t="s">
        <v>17</v>
      </c>
      <c r="W35" s="772">
        <f t="shared" si="14"/>
        <v>100</v>
      </c>
      <c r="X35" s="1809"/>
      <c r="Y35" s="3203" t="s">
        <v>2564</v>
      </c>
      <c r="Z35" s="1810" t="str">
        <f t="shared" si="15"/>
        <v>市政基础设施</v>
      </c>
      <c r="AA35" s="1807">
        <f t="shared" si="3"/>
        <v>1</v>
      </c>
      <c r="AB35" s="1807">
        <f t="shared" si="4"/>
        <v>1</v>
      </c>
      <c r="AC35" s="1807">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03"/>
      <c r="Q36" s="1806" t="str">
        <f t="shared" si="11"/>
        <v>内部装修</v>
      </c>
      <c r="R36" s="771" t="s">
        <v>17</v>
      </c>
      <c r="S36" s="772">
        <f t="shared" si="12"/>
        <v>100</v>
      </c>
      <c r="T36" s="771" t="s">
        <v>17</v>
      </c>
      <c r="U36" s="772">
        <f t="shared" si="13"/>
        <v>100</v>
      </c>
      <c r="V36" s="771" t="s">
        <v>17</v>
      </c>
      <c r="W36" s="772">
        <f t="shared" si="14"/>
        <v>100</v>
      </c>
      <c r="X36" s="1809"/>
      <c r="Y36" s="3203"/>
      <c r="Z36" s="1810" t="str">
        <f t="shared" si="15"/>
        <v>内部装修</v>
      </c>
      <c r="AA36" s="1807">
        <f t="shared" si="3"/>
        <v>1</v>
      </c>
      <c r="AB36" s="1807">
        <f t="shared" si="4"/>
        <v>1</v>
      </c>
      <c r="AC36" s="1807">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03"/>
      <c r="Q37" s="1806" t="str">
        <f t="shared" si="11"/>
        <v>内部装修状况</v>
      </c>
      <c r="R37" s="771" t="s">
        <v>17</v>
      </c>
      <c r="S37" s="772">
        <f t="shared" si="12"/>
        <v>100</v>
      </c>
      <c r="T37" s="771" t="s">
        <v>17</v>
      </c>
      <c r="U37" s="772">
        <f t="shared" si="13"/>
        <v>100</v>
      </c>
      <c r="V37" s="771" t="s">
        <v>17</v>
      </c>
      <c r="W37" s="772">
        <f t="shared" si="14"/>
        <v>100</v>
      </c>
      <c r="X37" s="1809"/>
      <c r="Y37" s="3203"/>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03"/>
      <c r="Q38" s="773">
        <f t="shared" si="11"/>
        <v>111</v>
      </c>
      <c r="R38" s="774" t="s">
        <v>17</v>
      </c>
      <c r="S38" s="775">
        <f t="shared" si="12"/>
        <v>100</v>
      </c>
      <c r="T38" s="774" t="s">
        <v>17</v>
      </c>
      <c r="U38" s="775">
        <f t="shared" si="13"/>
        <v>100</v>
      </c>
      <c r="V38" s="774" t="s">
        <v>17</v>
      </c>
      <c r="W38" s="775">
        <f t="shared" si="14"/>
        <v>100</v>
      </c>
      <c r="X38" s="776"/>
      <c r="Y38" s="3203"/>
      <c r="Z38" s="777">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03"/>
      <c r="Q39" s="1806">
        <f t="shared" si="11"/>
        <v>111</v>
      </c>
      <c r="R39" s="771" t="s">
        <v>17</v>
      </c>
      <c r="S39" s="772">
        <f t="shared" si="12"/>
        <v>100</v>
      </c>
      <c r="T39" s="771" t="s">
        <v>17</v>
      </c>
      <c r="U39" s="772">
        <f t="shared" si="13"/>
        <v>100</v>
      </c>
      <c r="V39" s="771" t="s">
        <v>17</v>
      </c>
      <c r="W39" s="772">
        <f t="shared" si="14"/>
        <v>100</v>
      </c>
      <c r="X39" s="1809"/>
      <c r="Y39" s="3203"/>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04"/>
      <c r="Q40" s="1806">
        <f t="shared" si="11"/>
        <v>111</v>
      </c>
      <c r="R40" s="771" t="s">
        <v>17</v>
      </c>
      <c r="S40" s="772">
        <f t="shared" si="12"/>
        <v>100</v>
      </c>
      <c r="T40" s="771" t="s">
        <v>17</v>
      </c>
      <c r="U40" s="772">
        <f t="shared" si="13"/>
        <v>100</v>
      </c>
      <c r="V40" s="771" t="s">
        <v>17</v>
      </c>
      <c r="W40" s="772">
        <f t="shared" si="14"/>
        <v>100</v>
      </c>
      <c r="X40" s="1809"/>
      <c r="Y40" s="3204"/>
      <c r="Z40" s="1810">
        <f t="shared" si="15"/>
        <v>111</v>
      </c>
      <c r="AA40" s="1807">
        <f t="shared" si="3"/>
        <v>1</v>
      </c>
      <c r="AB40" s="1807">
        <f t="shared" si="4"/>
        <v>1</v>
      </c>
      <c r="AC40" s="1807">
        <f t="shared" si="5"/>
        <v>1</v>
      </c>
    </row>
    <row r="41" spans="1:29" ht="15">
      <c r="A41" s="479" t="s">
        <v>2576</v>
      </c>
      <c r="B41" s="480"/>
      <c r="C41" s="1403" t="s">
        <v>1</v>
      </c>
      <c r="D41" s="1404"/>
      <c r="E41" s="1405"/>
      <c r="F41" s="1406"/>
      <c r="G41" s="1407"/>
      <c r="H41" s="1408"/>
      <c r="I41" s="1405"/>
      <c r="J41" s="1408"/>
      <c r="K41" s="780"/>
      <c r="L41" s="1140"/>
      <c r="M41" s="1141"/>
      <c r="N41" s="1128"/>
      <c r="O41" s="1141"/>
      <c r="P41" s="3196" t="str">
        <f>A41</f>
        <v>成交单价（元/平方米）</v>
      </c>
      <c r="Q41" s="3196"/>
      <c r="R41" s="3197">
        <f>E41</f>
        <v>0</v>
      </c>
      <c r="S41" s="3197"/>
      <c r="T41" s="3197">
        <f>G41</f>
        <v>0</v>
      </c>
      <c r="U41" s="3197"/>
      <c r="V41" s="3197">
        <f>I41</f>
        <v>0</v>
      </c>
      <c r="W41" s="3197"/>
      <c r="X41" s="756"/>
      <c r="Y41" s="778"/>
      <c r="Z41" s="756"/>
      <c r="AA41" s="756"/>
      <c r="AB41" s="756"/>
      <c r="AC41" s="756"/>
    </row>
    <row r="42" spans="1:29" ht="15.75" thickBot="1">
      <c r="A42" s="486" t="s">
        <v>2668</v>
      </c>
      <c r="B42" s="487"/>
      <c r="C42" s="1409" t="e">
        <f>R43</f>
        <v>#DIV/0!</v>
      </c>
      <c r="D42" s="1410"/>
      <c r="E42" s="1411" t="e">
        <f>R42</f>
        <v>#DIV/0!</v>
      </c>
      <c r="F42" s="1411"/>
      <c r="G42" s="1409" t="e">
        <f>T42</f>
        <v>#DIV/0!</v>
      </c>
      <c r="H42" s="1410"/>
      <c r="I42" s="1411" t="e">
        <f>V42</f>
        <v>#DIV/0!</v>
      </c>
      <c r="J42" s="1410"/>
      <c r="K42" s="781"/>
      <c r="L42" s="1140"/>
      <c r="M42" s="1141"/>
      <c r="N42" s="1128"/>
      <c r="O42" s="1141"/>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6"/>
      <c r="Y42" s="756"/>
      <c r="Z42" s="756"/>
      <c r="AA42" s="756"/>
      <c r="AB42" s="756"/>
      <c r="AC42" s="756"/>
    </row>
    <row r="43" spans="1:29" ht="15.75" thickBot="1">
      <c r="A43" s="492" t="s">
        <v>2669</v>
      </c>
      <c r="B43" s="493"/>
      <c r="C43" s="1413" t="e">
        <f>R43</f>
        <v>#DIV/0!</v>
      </c>
      <c r="D43" s="1413"/>
      <c r="E43" s="1413"/>
      <c r="F43" s="1413"/>
      <c r="G43" s="1413"/>
      <c r="H43" s="1413"/>
      <c r="I43" s="1413"/>
      <c r="J43" s="1413"/>
      <c r="K43" s="782"/>
      <c r="L43" s="1140"/>
      <c r="M43" s="1141"/>
      <c r="N43" s="1141"/>
      <c r="O43" s="1141"/>
      <c r="P43" s="3193" t="str">
        <f>A43</f>
        <v>估价对象XX用房的比较价值（楼面单价，元/平方米）</v>
      </c>
      <c r="Q43" s="3194"/>
      <c r="R43" s="3195" t="e">
        <f>IF(F1="售价",ROUND(AVERAGE(R42:V42),0),ROUND(AVERAGE(R42:V42),1))</f>
        <v>#DIV/0!</v>
      </c>
      <c r="S43" s="3195"/>
      <c r="T43" s="3195"/>
      <c r="U43" s="3195"/>
      <c r="V43" s="3195"/>
      <c r="W43" s="3195"/>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2673</v>
      </c>
      <c r="B51" s="756"/>
      <c r="C51" s="761"/>
      <c r="D51" s="761"/>
      <c r="E51" s="761"/>
      <c r="F51" s="762"/>
      <c r="G51" s="762"/>
      <c r="H51" s="761"/>
      <c r="I51" s="761"/>
      <c r="J51" s="761"/>
      <c r="K51" s="1157"/>
      <c r="L51" s="1158"/>
      <c r="M51" s="1156"/>
      <c r="N51" s="1156"/>
      <c r="O51" s="1156"/>
      <c r="P51" s="503"/>
      <c r="Q51" s="504"/>
    </row>
    <row r="52" spans="1:17" s="508" customFormat="1" ht="15">
      <c r="A52" s="505" t="s">
        <v>2547</v>
      </c>
      <c r="B52" s="506"/>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2587</v>
      </c>
      <c r="B57" s="528" t="s">
        <v>2553</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8"/>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2562</v>
      </c>
      <c r="B88" s="528" t="s">
        <v>2611</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2613</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2615</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2616</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2617</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2619</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2" sqref="L32"/>
    </sheetView>
  </sheetViews>
  <sheetFormatPr defaultRowHeight="13.5"/>
  <sheetData/>
  <phoneticPr fontId="14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v>
      </c>
    </row>
    <row r="4" spans="1:1" ht="18">
      <c r="A4" s="1943" t="str">
        <f>"受贵公司委托，我公司对"&amp;项目基本情况!S1&amp;"进行了预评估。"</f>
        <v>受贵公司委托，我公司对北京市房地产抵押价值进行了预评估。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估价对象为北京市房地产，为所有。根据《国有土地使用证》[]，估价对象（分摊）出让国有建设用地使用权面积为8811.78平方米，建筑面积为32523.98平方米。</v>
      </c>
    </row>
    <row r="8" spans="1:1" ht="57.75">
      <c r="A8" s="1946" t="s">
        <v>1609</v>
      </c>
    </row>
    <row r="9" spans="1:1" ht="18.75">
      <c r="A9" s="1945" t="s">
        <v>1610</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估价对象为北京市房地产,属开发建设的，该项目尚在开发建设中。根据《国有土地使用证》[]，估价对象（分摊）出让国有建设用地使用权面积为8811.78平方米，规划建筑面积为32523.98平方米。</v>
      </c>
    </row>
    <row r="11" spans="1:1" ht="76.5">
      <c r="A11" s="1946" t="s">
        <v>1611</v>
      </c>
    </row>
    <row r="12" spans="1:1" ht="18.75">
      <c r="A12" s="1944" t="s">
        <v>1612</v>
      </c>
    </row>
    <row r="13" spans="1:1" ht="38.25" customHeight="1">
      <c r="A13" s="19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2019年11月21日（评估专业人员实地查勘之日）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本次评估采用的主估价方法为收益法和基准地价系数修正法。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9" customWidth="1"/>
    <col min="2" max="2" width="9.25" style="27" customWidth="1"/>
    <col min="3" max="3" width="8.5" style="27" customWidth="1"/>
    <col min="4" max="4" width="9" style="27"/>
    <col min="5" max="5" width="10.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1" t="s">
        <v>3003</v>
      </c>
      <c r="C1" s="3258" t="s">
        <v>3004</v>
      </c>
      <c r="D1" s="3259"/>
      <c r="E1" s="3259"/>
      <c r="F1" s="3259"/>
      <c r="G1" s="3259"/>
      <c r="H1" s="3259"/>
      <c r="I1" s="3259"/>
      <c r="J1" s="3259"/>
      <c r="K1" s="3259"/>
      <c r="L1" s="3259"/>
      <c r="M1" s="3259"/>
      <c r="N1" s="3259"/>
      <c r="O1" s="3259"/>
      <c r="P1" s="3259"/>
      <c r="Q1" s="3259"/>
      <c r="R1" s="3259"/>
      <c r="S1" s="3260"/>
      <c r="T1" s="1201" t="s">
        <v>3005</v>
      </c>
    </row>
    <row r="2" spans="1:45" s="707" customFormat="1" ht="38.25">
      <c r="A2" s="1202"/>
      <c r="B2" s="703" t="s">
        <v>3006</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4"/>
      <c r="B3" s="708"/>
      <c r="C3" s="595">
        <v>0</v>
      </c>
      <c r="D3" s="595">
        <v>200</v>
      </c>
      <c r="E3" s="595">
        <v>400</v>
      </c>
      <c r="F3" s="595">
        <v>600</v>
      </c>
      <c r="G3" s="595">
        <v>800</v>
      </c>
      <c r="H3" s="595">
        <v>1000</v>
      </c>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5"/>
      <c r="B4" s="1206"/>
      <c r="C4" s="560">
        <v>99</v>
      </c>
      <c r="D4" s="536">
        <v>100</v>
      </c>
      <c r="E4" s="536">
        <v>99</v>
      </c>
      <c r="F4" s="536">
        <v>98</v>
      </c>
      <c r="G4" s="536">
        <v>97</v>
      </c>
      <c r="H4" s="536">
        <v>96</v>
      </c>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5" t="s">
        <v>3007</v>
      </c>
      <c r="C5" s="2977" t="s">
        <v>3144</v>
      </c>
      <c r="D5" s="2978" t="s">
        <v>3145</v>
      </c>
      <c r="E5" s="1214"/>
      <c r="F5" s="1707"/>
      <c r="G5" s="1707"/>
      <c r="H5" s="1707"/>
      <c r="I5" s="1707"/>
      <c r="J5" s="1707"/>
      <c r="K5" s="1707"/>
      <c r="L5" s="1708"/>
      <c r="M5" s="1709"/>
      <c r="N5" s="1709"/>
      <c r="O5" s="1707"/>
      <c r="P5" s="1707"/>
      <c r="Q5" s="1707"/>
      <c r="R5" s="1707"/>
      <c r="S5" s="1710"/>
      <c r="T5" s="1216">
        <v>20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80</v>
      </c>
      <c r="E6" s="1116">
        <f t="shared" ref="E6:S6" si="7">D6-$T5</f>
        <v>60</v>
      </c>
      <c r="F6" s="1711">
        <f t="shared" si="7"/>
        <v>40</v>
      </c>
      <c r="G6" s="1711">
        <f t="shared" si="7"/>
        <v>20</v>
      </c>
      <c r="H6" s="1711">
        <f t="shared" si="7"/>
        <v>0</v>
      </c>
      <c r="I6" s="1711">
        <f t="shared" si="7"/>
        <v>-20</v>
      </c>
      <c r="J6" s="1711">
        <f t="shared" si="7"/>
        <v>-40</v>
      </c>
      <c r="K6" s="1711">
        <f t="shared" si="7"/>
        <v>-60</v>
      </c>
      <c r="L6" s="1711">
        <f t="shared" si="7"/>
        <v>-80</v>
      </c>
      <c r="M6" s="1711">
        <f t="shared" si="7"/>
        <v>-100</v>
      </c>
      <c r="N6" s="1711">
        <f t="shared" si="7"/>
        <v>-120</v>
      </c>
      <c r="O6" s="1711">
        <f t="shared" si="7"/>
        <v>-140</v>
      </c>
      <c r="P6" s="1711">
        <f t="shared" si="7"/>
        <v>-160</v>
      </c>
      <c r="Q6" s="1711">
        <f t="shared" si="7"/>
        <v>-180</v>
      </c>
      <c r="R6" s="1711">
        <f t="shared" si="7"/>
        <v>-200</v>
      </c>
      <c r="S6" s="1711">
        <f t="shared" si="7"/>
        <v>-220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3008</v>
      </c>
      <c r="C7" s="1118"/>
      <c r="D7" s="1112"/>
      <c r="E7" s="1112"/>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3009</v>
      </c>
      <c r="C9" s="1118"/>
      <c r="D9" s="1112"/>
      <c r="E9" s="1112"/>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3010</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3011</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3012</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05" t="s">
        <v>3013</v>
      </c>
      <c r="B17" s="2906" t="s">
        <v>3014</v>
      </c>
      <c r="C17" s="2974" t="s">
        <v>3111</v>
      </c>
      <c r="D17" s="2975" t="s">
        <v>3112</v>
      </c>
      <c r="E17" s="2975" t="s">
        <v>3113</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7" customFormat="1" ht="13.5" thickBot="1">
      <c r="A18" s="1237"/>
      <c r="B18" s="1238"/>
      <c r="C18" s="1239">
        <v>98</v>
      </c>
      <c r="D18" s="1240">
        <v>100</v>
      </c>
      <c r="E18" s="1240">
        <v>102</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7" t="s">
        <v>3015</v>
      </c>
      <c r="E19" s="1788"/>
      <c r="F19" s="1788"/>
      <c r="G19" s="1788"/>
      <c r="H19" s="1276"/>
      <c r="I19" s="168"/>
      <c r="J19" s="168"/>
      <c r="K19" s="168"/>
      <c r="L19" s="168"/>
      <c r="M19" s="168"/>
      <c r="N19" s="168"/>
      <c r="O19" s="168"/>
      <c r="P19" s="168"/>
      <c r="Q19" s="168"/>
      <c r="R19" s="785"/>
      <c r="S19" s="138"/>
    </row>
    <row r="20" spans="1:45" ht="16.5" thickBot="1">
      <c r="A20" s="713" t="s">
        <v>3016</v>
      </c>
      <c r="B20" s="338">
        <f>IF(D20="——",S22,S22-F20)</f>
        <v>102628</v>
      </c>
      <c r="C20" s="168"/>
      <c r="D20" s="2908" t="s">
        <v>70</v>
      </c>
      <c r="E20" s="1789"/>
      <c r="F20" s="1201" t="e">
        <f ca="1">SUMIF(INDIRECT("'"&amp;H20&amp;"'"&amp;"!A:A"),"承租人权益价值",INDIRECT("'"&amp;H20&amp;"'"&amp;"!c:c"))</f>
        <v>#REF!</v>
      </c>
      <c r="G20" s="1201" t="s">
        <v>3017</v>
      </c>
      <c r="H20" s="2909"/>
      <c r="I20" s="168"/>
      <c r="J20" s="168"/>
      <c r="K20" s="168"/>
      <c r="L20" s="168"/>
      <c r="M20" s="168"/>
      <c r="N20" s="168"/>
      <c r="O20" s="168"/>
      <c r="P20" s="168"/>
      <c r="Q20" s="168"/>
      <c r="R20" s="785"/>
      <c r="S20" s="138"/>
    </row>
    <row r="21" spans="1:45" ht="15.75">
      <c r="A21" s="713" t="s">
        <v>3018</v>
      </c>
      <c r="B21" s="338">
        <f>R22</f>
        <v>33903</v>
      </c>
      <c r="C21" s="168"/>
      <c r="D21" s="168"/>
      <c r="E21" s="168"/>
      <c r="F21" s="168"/>
      <c r="G21" s="168"/>
      <c r="H21" s="168"/>
      <c r="I21" s="168"/>
      <c r="J21" s="168"/>
      <c r="K21" s="168"/>
      <c r="L21" s="168"/>
      <c r="M21" s="168"/>
      <c r="N21" s="168"/>
      <c r="O21" s="168"/>
      <c r="P21" s="168"/>
      <c r="Q21" s="168"/>
      <c r="R21" s="785"/>
      <c r="S21" s="138"/>
    </row>
    <row r="22" spans="1:45">
      <c r="A22" s="361" t="s">
        <v>3019</v>
      </c>
      <c r="B22" s="24">
        <f>SUM(B24:B10000)</f>
        <v>30271.149999999991</v>
      </c>
      <c r="C22" s="3161" t="s">
        <v>33</v>
      </c>
      <c r="D22" s="3162"/>
      <c r="E22" s="3162"/>
      <c r="F22" s="3162"/>
      <c r="G22" s="3162"/>
      <c r="H22" s="3162"/>
      <c r="I22" s="3162"/>
      <c r="J22" s="3162"/>
      <c r="K22" s="3162"/>
      <c r="L22" s="3162"/>
      <c r="M22" s="3162"/>
      <c r="N22" s="3162"/>
      <c r="O22" s="3162"/>
      <c r="P22" s="3162"/>
      <c r="Q22" s="3257"/>
      <c r="R22" s="714">
        <f>ROUND(S22*10000/B22,0)</f>
        <v>33903</v>
      </c>
      <c r="S22" s="24">
        <f>SUM(S24:S10000)</f>
        <v>102628</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76" t="s">
        <v>3142</v>
      </c>
      <c r="B24" s="59">
        <f>'数据-基础表'!I5</f>
        <v>25527.419999999991</v>
      </c>
      <c r="C24" s="716">
        <v>1</v>
      </c>
      <c r="D24" s="717" t="s">
        <v>3061</v>
      </c>
      <c r="E24" s="716">
        <v>1</v>
      </c>
      <c r="F24" s="717"/>
      <c r="G24" s="716">
        <v>1</v>
      </c>
      <c r="H24" s="717"/>
      <c r="I24" s="716">
        <v>1</v>
      </c>
      <c r="J24" s="717"/>
      <c r="K24" s="716">
        <v>1</v>
      </c>
      <c r="L24" s="717"/>
      <c r="M24" s="716">
        <v>1</v>
      </c>
      <c r="N24" s="717"/>
      <c r="O24" s="716">
        <v>1</v>
      </c>
      <c r="P24" s="717"/>
      <c r="Q24" s="716">
        <v>1</v>
      </c>
      <c r="R24" s="718">
        <f>'比较法-办公'!C50</f>
        <v>35000</v>
      </c>
      <c r="S24" s="716">
        <f t="shared" ref="S24:S54" si="11">ROUND(R24*B24/10000,0)</f>
        <v>89346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76" t="s">
        <v>3143</v>
      </c>
      <c r="B25" s="59">
        <f>'数据-基础表'!M5</f>
        <v>4743.7299999999996</v>
      </c>
      <c r="C25" s="24">
        <f>IF(B25="",1,(LOOKUP(B25,$3:$3,$4:$4)-LOOKUP($B$24,$3:$3,$4:$4)+100)/100)</f>
        <v>1</v>
      </c>
      <c r="D25" s="717" t="s">
        <v>3083</v>
      </c>
      <c r="E25" s="24">
        <f>(SUMIF($5:$5,D25,$6:$6)-SUMIF($5:$5,$D$24,$6:$6)+100)/100</f>
        <v>0.8</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4">
        <f>IF(B25="",0,ROUND($R$24*C25*E25*G25*I25*K25*M25*O25*Q25,0))</f>
        <v>28000</v>
      </c>
      <c r="S25" s="361">
        <f t="shared" si="11"/>
        <v>13282</v>
      </c>
    </row>
    <row r="26" spans="1:45">
      <c r="A26" s="159"/>
      <c r="B26" s="59"/>
      <c r="C26" s="24">
        <f t="shared" ref="C26:C89" si="12">IF(B26="",1,(LOOKUP(B26,$3:$3,$4:$4)-LOOKUP($B$24,$3:$3,$4:$4)+100)/100)</f>
        <v>1</v>
      </c>
      <c r="D26" s="717"/>
      <c r="E26" s="24">
        <f t="shared" ref="E26:E89" si="13">(SUMIF($5:$5,D26,$6:$6)-SUMIF($5:$5,$D$24,$6:$6)+100)/100</f>
        <v>0</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7"/>
      <c r="E27" s="24">
        <f t="shared" si="13"/>
        <v>0</v>
      </c>
      <c r="F27" s="717"/>
      <c r="G27" s="24">
        <f t="shared" si="14"/>
        <v>1</v>
      </c>
      <c r="H27" s="717"/>
      <c r="I27" s="24">
        <f t="shared" si="15"/>
        <v>1</v>
      </c>
      <c r="J27" s="717"/>
      <c r="K27" s="24">
        <f t="shared" si="16"/>
        <v>1</v>
      </c>
      <c r="L27" s="717"/>
      <c r="M27" s="24">
        <f t="shared" si="17"/>
        <v>1</v>
      </c>
      <c r="N27" s="717"/>
      <c r="O27" s="24">
        <f t="shared" si="18"/>
        <v>1</v>
      </c>
      <c r="P27" s="717"/>
      <c r="Q27" s="24">
        <f t="shared" si="19"/>
        <v>1</v>
      </c>
      <c r="R27" s="714">
        <f t="shared" si="20"/>
        <v>0</v>
      </c>
      <c r="S27" s="361">
        <f t="shared" si="11"/>
        <v>0</v>
      </c>
    </row>
    <row r="28" spans="1:45">
      <c r="A28" s="159"/>
      <c r="B28" s="59"/>
      <c r="C28" s="24">
        <f t="shared" si="12"/>
        <v>1</v>
      </c>
      <c r="D28" s="717"/>
      <c r="E28" s="24">
        <f t="shared" si="13"/>
        <v>0</v>
      </c>
      <c r="F28" s="717"/>
      <c r="G28" s="24">
        <f t="shared" si="14"/>
        <v>1</v>
      </c>
      <c r="H28" s="717"/>
      <c r="I28" s="24">
        <f t="shared" si="15"/>
        <v>1</v>
      </c>
      <c r="J28" s="717"/>
      <c r="K28" s="24">
        <f t="shared" si="16"/>
        <v>1</v>
      </c>
      <c r="L28" s="717"/>
      <c r="M28" s="24">
        <f t="shared" si="17"/>
        <v>1</v>
      </c>
      <c r="N28" s="717"/>
      <c r="O28" s="24">
        <f t="shared" si="18"/>
        <v>1</v>
      </c>
      <c r="P28" s="717"/>
      <c r="Q28" s="24">
        <f t="shared" si="19"/>
        <v>1</v>
      </c>
      <c r="R28" s="714">
        <f t="shared" si="20"/>
        <v>0</v>
      </c>
      <c r="S28" s="361">
        <f t="shared" si="11"/>
        <v>0</v>
      </c>
    </row>
    <row r="29" spans="1:45">
      <c r="A29" s="159"/>
      <c r="B29" s="59"/>
      <c r="C29" s="24">
        <f t="shared" si="12"/>
        <v>1</v>
      </c>
      <c r="D29" s="717"/>
      <c r="E29" s="24">
        <f t="shared" si="13"/>
        <v>0</v>
      </c>
      <c r="F29" s="717"/>
      <c r="G29" s="24">
        <f t="shared" si="14"/>
        <v>1</v>
      </c>
      <c r="H29" s="717"/>
      <c r="I29" s="24">
        <f t="shared" si="15"/>
        <v>1</v>
      </c>
      <c r="J29" s="717"/>
      <c r="K29" s="24">
        <f t="shared" si="16"/>
        <v>1</v>
      </c>
      <c r="L29" s="717"/>
      <c r="M29" s="24">
        <f t="shared" si="17"/>
        <v>1</v>
      </c>
      <c r="N29" s="717"/>
      <c r="O29" s="24">
        <f t="shared" si="18"/>
        <v>1</v>
      </c>
      <c r="P29" s="717"/>
      <c r="Q29" s="24">
        <f t="shared" si="19"/>
        <v>1</v>
      </c>
      <c r="R29" s="714">
        <f t="shared" si="20"/>
        <v>0</v>
      </c>
      <c r="S29" s="361">
        <f t="shared" si="11"/>
        <v>0</v>
      </c>
    </row>
    <row r="30" spans="1:45">
      <c r="A30" s="159"/>
      <c r="B30" s="59"/>
      <c r="C30" s="24">
        <f t="shared" si="12"/>
        <v>1</v>
      </c>
      <c r="D30" s="717"/>
      <c r="E30" s="24">
        <f t="shared" si="13"/>
        <v>0</v>
      </c>
      <c r="F30" s="717"/>
      <c r="G30" s="24">
        <f t="shared" si="14"/>
        <v>1</v>
      </c>
      <c r="H30" s="717"/>
      <c r="I30" s="24">
        <f t="shared" si="15"/>
        <v>1</v>
      </c>
      <c r="J30" s="717"/>
      <c r="K30" s="24">
        <f t="shared" si="16"/>
        <v>1</v>
      </c>
      <c r="L30" s="717"/>
      <c r="M30" s="24">
        <f t="shared" si="17"/>
        <v>1</v>
      </c>
      <c r="N30" s="717"/>
      <c r="O30" s="24">
        <f t="shared" si="18"/>
        <v>1</v>
      </c>
      <c r="P30" s="717"/>
      <c r="Q30" s="24">
        <f t="shared" si="19"/>
        <v>1</v>
      </c>
      <c r="R30" s="714">
        <f t="shared" si="20"/>
        <v>0</v>
      </c>
      <c r="S30" s="361">
        <f t="shared" si="11"/>
        <v>0</v>
      </c>
    </row>
    <row r="31" spans="1:45">
      <c r="A31" s="159"/>
      <c r="B31" s="59"/>
      <c r="C31" s="24">
        <f t="shared" si="12"/>
        <v>1</v>
      </c>
      <c r="D31" s="717"/>
      <c r="E31" s="24">
        <f t="shared" si="13"/>
        <v>0</v>
      </c>
      <c r="F31" s="717"/>
      <c r="G31" s="24">
        <f t="shared" si="14"/>
        <v>1</v>
      </c>
      <c r="H31" s="717"/>
      <c r="I31" s="24">
        <f t="shared" si="15"/>
        <v>1</v>
      </c>
      <c r="J31" s="717"/>
      <c r="K31" s="24">
        <f t="shared" si="16"/>
        <v>1</v>
      </c>
      <c r="L31" s="717"/>
      <c r="M31" s="24">
        <f t="shared" si="17"/>
        <v>1</v>
      </c>
      <c r="N31" s="717"/>
      <c r="O31" s="24">
        <f t="shared" si="18"/>
        <v>1</v>
      </c>
      <c r="P31" s="717"/>
      <c r="Q31" s="24">
        <f t="shared" si="19"/>
        <v>1</v>
      </c>
      <c r="R31" s="714">
        <f t="shared" si="20"/>
        <v>0</v>
      </c>
      <c r="S31" s="361">
        <f t="shared" si="11"/>
        <v>0</v>
      </c>
    </row>
    <row r="32" spans="1:45">
      <c r="A32" s="159"/>
      <c r="B32" s="59"/>
      <c r="C32" s="24">
        <f t="shared" si="12"/>
        <v>1</v>
      </c>
      <c r="D32" s="717"/>
      <c r="E32" s="24">
        <f t="shared" si="13"/>
        <v>0</v>
      </c>
      <c r="F32" s="717"/>
      <c r="G32" s="24">
        <f t="shared" si="14"/>
        <v>1</v>
      </c>
      <c r="H32" s="717"/>
      <c r="I32" s="24">
        <f t="shared" si="15"/>
        <v>1</v>
      </c>
      <c r="J32" s="717"/>
      <c r="K32" s="24">
        <f t="shared" si="16"/>
        <v>1</v>
      </c>
      <c r="L32" s="717"/>
      <c r="M32" s="24">
        <f t="shared" si="17"/>
        <v>1</v>
      </c>
      <c r="N32" s="717"/>
      <c r="O32" s="24">
        <f t="shared" si="18"/>
        <v>1</v>
      </c>
      <c r="P32" s="717"/>
      <c r="Q32" s="24">
        <f t="shared" si="19"/>
        <v>1</v>
      </c>
      <c r="R32" s="714">
        <f t="shared" si="20"/>
        <v>0</v>
      </c>
      <c r="S32" s="361">
        <f t="shared" si="11"/>
        <v>0</v>
      </c>
    </row>
    <row r="33" spans="1:19">
      <c r="A33" s="159"/>
      <c r="B33" s="59"/>
      <c r="C33" s="24">
        <f t="shared" si="12"/>
        <v>1</v>
      </c>
      <c r="D33" s="717"/>
      <c r="E33" s="24">
        <f t="shared" si="13"/>
        <v>0</v>
      </c>
      <c r="F33" s="717"/>
      <c r="G33" s="24">
        <f t="shared" si="14"/>
        <v>1</v>
      </c>
      <c r="H33" s="717"/>
      <c r="I33" s="24">
        <f t="shared" si="15"/>
        <v>1</v>
      </c>
      <c r="J33" s="717"/>
      <c r="K33" s="24">
        <f t="shared" si="16"/>
        <v>1</v>
      </c>
      <c r="L33" s="717"/>
      <c r="M33" s="24">
        <f t="shared" si="17"/>
        <v>1</v>
      </c>
      <c r="N33" s="717"/>
      <c r="O33" s="24">
        <f t="shared" si="18"/>
        <v>1</v>
      </c>
      <c r="P33" s="717"/>
      <c r="Q33" s="24">
        <f t="shared" si="19"/>
        <v>1</v>
      </c>
      <c r="R33" s="714">
        <f t="shared" si="20"/>
        <v>0</v>
      </c>
      <c r="S33" s="361">
        <f t="shared" si="11"/>
        <v>0</v>
      </c>
    </row>
    <row r="34" spans="1:19">
      <c r="A34" s="159"/>
      <c r="B34" s="59"/>
      <c r="C34" s="24">
        <f t="shared" si="12"/>
        <v>1</v>
      </c>
      <c r="D34" s="717"/>
      <c r="E34" s="24">
        <f t="shared" si="13"/>
        <v>0</v>
      </c>
      <c r="F34" s="717"/>
      <c r="G34" s="24">
        <f t="shared" si="14"/>
        <v>1</v>
      </c>
      <c r="H34" s="717"/>
      <c r="I34" s="24">
        <f t="shared" si="15"/>
        <v>1</v>
      </c>
      <c r="J34" s="717"/>
      <c r="K34" s="24">
        <f t="shared" si="16"/>
        <v>1</v>
      </c>
      <c r="L34" s="717"/>
      <c r="M34" s="24">
        <f t="shared" si="17"/>
        <v>1</v>
      </c>
      <c r="N34" s="717"/>
      <c r="O34" s="24">
        <f t="shared" si="18"/>
        <v>1</v>
      </c>
      <c r="P34" s="717"/>
      <c r="Q34" s="24">
        <f t="shared" si="19"/>
        <v>1</v>
      </c>
      <c r="R34" s="714">
        <f t="shared" si="20"/>
        <v>0</v>
      </c>
      <c r="S34" s="361">
        <f t="shared" si="11"/>
        <v>0</v>
      </c>
    </row>
    <row r="35" spans="1:19">
      <c r="A35" s="159"/>
      <c r="B35" s="59"/>
      <c r="C35" s="24">
        <f t="shared" si="12"/>
        <v>1</v>
      </c>
      <c r="D35" s="717"/>
      <c r="E35" s="24">
        <f t="shared" si="13"/>
        <v>0</v>
      </c>
      <c r="F35" s="717"/>
      <c r="G35" s="24">
        <f t="shared" si="14"/>
        <v>1</v>
      </c>
      <c r="H35" s="717"/>
      <c r="I35" s="24">
        <f t="shared" si="15"/>
        <v>1</v>
      </c>
      <c r="J35" s="717"/>
      <c r="K35" s="24">
        <f t="shared" si="16"/>
        <v>1</v>
      </c>
      <c r="L35" s="717"/>
      <c r="M35" s="24">
        <f t="shared" si="17"/>
        <v>1</v>
      </c>
      <c r="N35" s="717"/>
      <c r="O35" s="24">
        <f t="shared" si="18"/>
        <v>1</v>
      </c>
      <c r="P35" s="717"/>
      <c r="Q35" s="24">
        <f t="shared" si="19"/>
        <v>1</v>
      </c>
      <c r="R35" s="714">
        <f t="shared" si="20"/>
        <v>0</v>
      </c>
      <c r="S35" s="361">
        <f t="shared" si="11"/>
        <v>0</v>
      </c>
    </row>
    <row r="36" spans="1:19">
      <c r="A36" s="159"/>
      <c r="B36" s="59"/>
      <c r="C36" s="24">
        <f t="shared" si="12"/>
        <v>1</v>
      </c>
      <c r="D36" s="717"/>
      <c r="E36" s="24">
        <f t="shared" si="13"/>
        <v>0</v>
      </c>
      <c r="F36" s="717"/>
      <c r="G36" s="24">
        <f t="shared" si="14"/>
        <v>1</v>
      </c>
      <c r="H36" s="717"/>
      <c r="I36" s="24">
        <f t="shared" si="15"/>
        <v>1</v>
      </c>
      <c r="J36" s="717"/>
      <c r="K36" s="24">
        <f t="shared" si="16"/>
        <v>1</v>
      </c>
      <c r="L36" s="717"/>
      <c r="M36" s="24">
        <f t="shared" si="17"/>
        <v>1</v>
      </c>
      <c r="N36" s="717"/>
      <c r="O36" s="24">
        <f t="shared" si="18"/>
        <v>1</v>
      </c>
      <c r="P36" s="717"/>
      <c r="Q36" s="24">
        <f t="shared" si="19"/>
        <v>1</v>
      </c>
      <c r="R36" s="714">
        <f t="shared" si="20"/>
        <v>0</v>
      </c>
      <c r="S36" s="361">
        <f t="shared" si="11"/>
        <v>0</v>
      </c>
    </row>
    <row r="37" spans="1:19">
      <c r="A37" s="159"/>
      <c r="B37" s="59"/>
      <c r="C37" s="24">
        <f t="shared" si="12"/>
        <v>1</v>
      </c>
      <c r="D37" s="717"/>
      <c r="E37" s="24">
        <f t="shared" si="13"/>
        <v>0</v>
      </c>
      <c r="F37" s="717"/>
      <c r="G37" s="24">
        <f t="shared" si="14"/>
        <v>1</v>
      </c>
      <c r="H37" s="717"/>
      <c r="I37" s="24">
        <f t="shared" si="15"/>
        <v>1</v>
      </c>
      <c r="J37" s="717"/>
      <c r="K37" s="24">
        <f t="shared" si="16"/>
        <v>1</v>
      </c>
      <c r="L37" s="717"/>
      <c r="M37" s="24">
        <f t="shared" si="17"/>
        <v>1</v>
      </c>
      <c r="N37" s="717"/>
      <c r="O37" s="24">
        <f t="shared" si="18"/>
        <v>1</v>
      </c>
      <c r="P37" s="717"/>
      <c r="Q37" s="24">
        <f t="shared" si="19"/>
        <v>1</v>
      </c>
      <c r="R37" s="714">
        <f t="shared" si="20"/>
        <v>0</v>
      </c>
      <c r="S37" s="361">
        <f t="shared" si="11"/>
        <v>0</v>
      </c>
    </row>
    <row r="38" spans="1:19">
      <c r="A38" s="159"/>
      <c r="B38" s="59"/>
      <c r="C38" s="24">
        <f t="shared" si="12"/>
        <v>1</v>
      </c>
      <c r="D38" s="717"/>
      <c r="E38" s="24">
        <f t="shared" si="13"/>
        <v>0</v>
      </c>
      <c r="F38" s="717"/>
      <c r="G38" s="24">
        <f t="shared" si="14"/>
        <v>1</v>
      </c>
      <c r="H38" s="717"/>
      <c r="I38" s="24">
        <f t="shared" si="15"/>
        <v>1</v>
      </c>
      <c r="J38" s="717"/>
      <c r="K38" s="24">
        <f t="shared" si="16"/>
        <v>1</v>
      </c>
      <c r="L38" s="717"/>
      <c r="M38" s="24">
        <f t="shared" si="17"/>
        <v>1</v>
      </c>
      <c r="N38" s="717"/>
      <c r="O38" s="24">
        <f t="shared" si="18"/>
        <v>1</v>
      </c>
      <c r="P38" s="717"/>
      <c r="Q38" s="24">
        <f t="shared" si="19"/>
        <v>1</v>
      </c>
      <c r="R38" s="714">
        <f t="shared" si="20"/>
        <v>0</v>
      </c>
      <c r="S38" s="361">
        <f t="shared" si="11"/>
        <v>0</v>
      </c>
    </row>
    <row r="39" spans="1:19">
      <c r="A39" s="159"/>
      <c r="B39" s="59"/>
      <c r="C39" s="24">
        <f t="shared" si="12"/>
        <v>1</v>
      </c>
      <c r="D39" s="717"/>
      <c r="E39" s="24">
        <f t="shared" si="13"/>
        <v>0</v>
      </c>
      <c r="F39" s="717"/>
      <c r="G39" s="24">
        <f t="shared" si="14"/>
        <v>1</v>
      </c>
      <c r="H39" s="717"/>
      <c r="I39" s="24">
        <f t="shared" si="15"/>
        <v>1</v>
      </c>
      <c r="J39" s="717"/>
      <c r="K39" s="24">
        <f t="shared" si="16"/>
        <v>1</v>
      </c>
      <c r="L39" s="717"/>
      <c r="M39" s="24">
        <f t="shared" si="17"/>
        <v>1</v>
      </c>
      <c r="N39" s="717"/>
      <c r="O39" s="24">
        <f t="shared" si="18"/>
        <v>1</v>
      </c>
      <c r="P39" s="717"/>
      <c r="Q39" s="24">
        <f t="shared" si="19"/>
        <v>1</v>
      </c>
      <c r="R39" s="714">
        <f t="shared" si="20"/>
        <v>0</v>
      </c>
      <c r="S39" s="361">
        <f t="shared" si="11"/>
        <v>0</v>
      </c>
    </row>
    <row r="40" spans="1:19">
      <c r="A40" s="159"/>
      <c r="B40" s="59"/>
      <c r="C40" s="24">
        <f t="shared" si="12"/>
        <v>1</v>
      </c>
      <c r="D40" s="717"/>
      <c r="E40" s="24">
        <f t="shared" si="13"/>
        <v>0</v>
      </c>
      <c r="F40" s="717"/>
      <c r="G40" s="24">
        <f t="shared" si="14"/>
        <v>1</v>
      </c>
      <c r="H40" s="717"/>
      <c r="I40" s="24">
        <f t="shared" si="15"/>
        <v>1</v>
      </c>
      <c r="J40" s="717"/>
      <c r="K40" s="24">
        <f t="shared" si="16"/>
        <v>1</v>
      </c>
      <c r="L40" s="717"/>
      <c r="M40" s="24">
        <f t="shared" si="17"/>
        <v>1</v>
      </c>
      <c r="N40" s="717"/>
      <c r="O40" s="24">
        <f t="shared" si="18"/>
        <v>1</v>
      </c>
      <c r="P40" s="717"/>
      <c r="Q40" s="24">
        <f t="shared" si="19"/>
        <v>1</v>
      </c>
      <c r="R40" s="714">
        <f t="shared" si="20"/>
        <v>0</v>
      </c>
      <c r="S40" s="361">
        <f t="shared" si="11"/>
        <v>0</v>
      </c>
    </row>
    <row r="41" spans="1:19">
      <c r="A41" s="159"/>
      <c r="B41" s="59"/>
      <c r="C41" s="24">
        <f t="shared" si="12"/>
        <v>1</v>
      </c>
      <c r="D41" s="717"/>
      <c r="E41" s="24">
        <f t="shared" si="13"/>
        <v>0</v>
      </c>
      <c r="F41" s="717"/>
      <c r="G41" s="24">
        <f t="shared" si="14"/>
        <v>1</v>
      </c>
      <c r="H41" s="717"/>
      <c r="I41" s="24">
        <f t="shared" si="15"/>
        <v>1</v>
      </c>
      <c r="J41" s="717"/>
      <c r="K41" s="24">
        <f t="shared" si="16"/>
        <v>1</v>
      </c>
      <c r="L41" s="717"/>
      <c r="M41" s="24">
        <f t="shared" si="17"/>
        <v>1</v>
      </c>
      <c r="N41" s="717"/>
      <c r="O41" s="24">
        <f t="shared" si="18"/>
        <v>1</v>
      </c>
      <c r="P41" s="717"/>
      <c r="Q41" s="24">
        <f t="shared" si="19"/>
        <v>1</v>
      </c>
      <c r="R41" s="714">
        <f t="shared" si="20"/>
        <v>0</v>
      </c>
      <c r="S41" s="361">
        <f t="shared" si="11"/>
        <v>0</v>
      </c>
    </row>
    <row r="42" spans="1:19">
      <c r="A42" s="159"/>
      <c r="B42" s="59"/>
      <c r="C42" s="24">
        <f t="shared" si="12"/>
        <v>1</v>
      </c>
      <c r="D42" s="717"/>
      <c r="E42" s="24">
        <f t="shared" si="13"/>
        <v>0</v>
      </c>
      <c r="F42" s="717"/>
      <c r="G42" s="24">
        <f t="shared" si="14"/>
        <v>1</v>
      </c>
      <c r="H42" s="717"/>
      <c r="I42" s="24">
        <f t="shared" si="15"/>
        <v>1</v>
      </c>
      <c r="J42" s="717"/>
      <c r="K42" s="24">
        <f t="shared" si="16"/>
        <v>1</v>
      </c>
      <c r="L42" s="717"/>
      <c r="M42" s="24">
        <f t="shared" si="17"/>
        <v>1</v>
      </c>
      <c r="N42" s="717"/>
      <c r="O42" s="24">
        <f t="shared" si="18"/>
        <v>1</v>
      </c>
      <c r="P42" s="717"/>
      <c r="Q42" s="24">
        <f t="shared" si="19"/>
        <v>1</v>
      </c>
      <c r="R42" s="714">
        <f t="shared" si="20"/>
        <v>0</v>
      </c>
      <c r="S42" s="361">
        <f t="shared" si="11"/>
        <v>0</v>
      </c>
    </row>
    <row r="43" spans="1:19">
      <c r="A43" s="159"/>
      <c r="B43" s="59"/>
      <c r="C43" s="24">
        <f t="shared" si="12"/>
        <v>1</v>
      </c>
      <c r="D43" s="717"/>
      <c r="E43" s="24">
        <f t="shared" si="13"/>
        <v>0</v>
      </c>
      <c r="F43" s="717"/>
      <c r="G43" s="24">
        <f t="shared" si="14"/>
        <v>1</v>
      </c>
      <c r="H43" s="717"/>
      <c r="I43" s="24">
        <f t="shared" si="15"/>
        <v>1</v>
      </c>
      <c r="J43" s="717"/>
      <c r="K43" s="24">
        <f t="shared" si="16"/>
        <v>1</v>
      </c>
      <c r="L43" s="717"/>
      <c r="M43" s="24">
        <f t="shared" si="17"/>
        <v>1</v>
      </c>
      <c r="N43" s="717"/>
      <c r="O43" s="24">
        <f t="shared" si="18"/>
        <v>1</v>
      </c>
      <c r="P43" s="717"/>
      <c r="Q43" s="24">
        <f t="shared" si="19"/>
        <v>1</v>
      </c>
      <c r="R43" s="714">
        <f t="shared" si="20"/>
        <v>0</v>
      </c>
      <c r="S43" s="361">
        <f t="shared" si="11"/>
        <v>0</v>
      </c>
    </row>
    <row r="44" spans="1:19">
      <c r="A44" s="159"/>
      <c r="B44" s="59"/>
      <c r="C44" s="24">
        <f t="shared" si="12"/>
        <v>1</v>
      </c>
      <c r="D44" s="717"/>
      <c r="E44" s="24">
        <f t="shared" si="13"/>
        <v>0</v>
      </c>
      <c r="F44" s="717"/>
      <c r="G44" s="24">
        <f t="shared" si="14"/>
        <v>1</v>
      </c>
      <c r="H44" s="717"/>
      <c r="I44" s="24">
        <f t="shared" si="15"/>
        <v>1</v>
      </c>
      <c r="J44" s="717"/>
      <c r="K44" s="24">
        <f t="shared" si="16"/>
        <v>1</v>
      </c>
      <c r="L44" s="717"/>
      <c r="M44" s="24">
        <f t="shared" si="17"/>
        <v>1</v>
      </c>
      <c r="N44" s="717"/>
      <c r="O44" s="24">
        <f t="shared" si="18"/>
        <v>1</v>
      </c>
      <c r="P44" s="717"/>
      <c r="Q44" s="24">
        <f t="shared" si="19"/>
        <v>1</v>
      </c>
      <c r="R44" s="714">
        <f t="shared" si="20"/>
        <v>0</v>
      </c>
      <c r="S44" s="361">
        <f t="shared" si="11"/>
        <v>0</v>
      </c>
    </row>
    <row r="45" spans="1:19">
      <c r="A45" s="159"/>
      <c r="B45" s="59"/>
      <c r="C45" s="24">
        <f t="shared" si="12"/>
        <v>1</v>
      </c>
      <c r="D45" s="717"/>
      <c r="E45" s="24">
        <f t="shared" si="13"/>
        <v>0</v>
      </c>
      <c r="F45" s="717"/>
      <c r="G45" s="24">
        <f t="shared" si="14"/>
        <v>1</v>
      </c>
      <c r="H45" s="717"/>
      <c r="I45" s="24">
        <f t="shared" si="15"/>
        <v>1</v>
      </c>
      <c r="J45" s="717"/>
      <c r="K45" s="24">
        <f t="shared" si="16"/>
        <v>1</v>
      </c>
      <c r="L45" s="717"/>
      <c r="M45" s="24">
        <f t="shared" si="17"/>
        <v>1</v>
      </c>
      <c r="N45" s="717"/>
      <c r="O45" s="24">
        <f t="shared" si="18"/>
        <v>1</v>
      </c>
      <c r="P45" s="717"/>
      <c r="Q45" s="24">
        <f t="shared" si="19"/>
        <v>1</v>
      </c>
      <c r="R45" s="714">
        <f t="shared" si="20"/>
        <v>0</v>
      </c>
      <c r="S45" s="361">
        <f t="shared" si="11"/>
        <v>0</v>
      </c>
    </row>
    <row r="46" spans="1:19">
      <c r="A46" s="159"/>
      <c r="B46" s="59"/>
      <c r="C46" s="24">
        <f t="shared" si="12"/>
        <v>1</v>
      </c>
      <c r="D46" s="717"/>
      <c r="E46" s="24">
        <f t="shared" si="13"/>
        <v>0</v>
      </c>
      <c r="F46" s="717"/>
      <c r="G46" s="24">
        <f t="shared" si="14"/>
        <v>1</v>
      </c>
      <c r="H46" s="717"/>
      <c r="I46" s="24">
        <f t="shared" si="15"/>
        <v>1</v>
      </c>
      <c r="J46" s="717"/>
      <c r="K46" s="24">
        <f t="shared" si="16"/>
        <v>1</v>
      </c>
      <c r="L46" s="717"/>
      <c r="M46" s="24">
        <f t="shared" si="17"/>
        <v>1</v>
      </c>
      <c r="N46" s="717"/>
      <c r="O46" s="24">
        <f t="shared" si="18"/>
        <v>1</v>
      </c>
      <c r="P46" s="717"/>
      <c r="Q46" s="24">
        <f t="shared" si="19"/>
        <v>1</v>
      </c>
      <c r="R46" s="714">
        <f t="shared" si="20"/>
        <v>0</v>
      </c>
      <c r="S46" s="361">
        <f t="shared" si="11"/>
        <v>0</v>
      </c>
    </row>
    <row r="47" spans="1:19">
      <c r="A47" s="159"/>
      <c r="B47" s="59"/>
      <c r="C47" s="24">
        <f t="shared" si="12"/>
        <v>1</v>
      </c>
      <c r="D47" s="717"/>
      <c r="E47" s="24">
        <f t="shared" si="13"/>
        <v>0</v>
      </c>
      <c r="F47" s="717"/>
      <c r="G47" s="24">
        <f t="shared" si="14"/>
        <v>1</v>
      </c>
      <c r="H47" s="717"/>
      <c r="I47" s="24">
        <f t="shared" si="15"/>
        <v>1</v>
      </c>
      <c r="J47" s="717"/>
      <c r="K47" s="24">
        <f t="shared" si="16"/>
        <v>1</v>
      </c>
      <c r="L47" s="717"/>
      <c r="M47" s="24">
        <f t="shared" si="17"/>
        <v>1</v>
      </c>
      <c r="N47" s="717"/>
      <c r="O47" s="24">
        <f t="shared" si="18"/>
        <v>1</v>
      </c>
      <c r="P47" s="717"/>
      <c r="Q47" s="24">
        <f t="shared" si="19"/>
        <v>1</v>
      </c>
      <c r="R47" s="714">
        <f t="shared" si="20"/>
        <v>0</v>
      </c>
      <c r="S47" s="361">
        <f t="shared" si="11"/>
        <v>0</v>
      </c>
    </row>
    <row r="48" spans="1:19">
      <c r="A48" s="159"/>
      <c r="B48" s="59"/>
      <c r="C48" s="24">
        <f t="shared" si="12"/>
        <v>1</v>
      </c>
      <c r="D48" s="717"/>
      <c r="E48" s="24">
        <f t="shared" si="13"/>
        <v>0</v>
      </c>
      <c r="F48" s="717"/>
      <c r="G48" s="24">
        <f t="shared" si="14"/>
        <v>1</v>
      </c>
      <c r="H48" s="717"/>
      <c r="I48" s="24">
        <f t="shared" si="15"/>
        <v>1</v>
      </c>
      <c r="J48" s="717"/>
      <c r="K48" s="24">
        <f t="shared" si="16"/>
        <v>1</v>
      </c>
      <c r="L48" s="717"/>
      <c r="M48" s="24">
        <f t="shared" si="17"/>
        <v>1</v>
      </c>
      <c r="N48" s="717"/>
      <c r="O48" s="24">
        <f t="shared" si="18"/>
        <v>1</v>
      </c>
      <c r="P48" s="717"/>
      <c r="Q48" s="24">
        <f t="shared" si="19"/>
        <v>1</v>
      </c>
      <c r="R48" s="714">
        <f t="shared" si="20"/>
        <v>0</v>
      </c>
      <c r="S48" s="361">
        <f t="shared" si="11"/>
        <v>0</v>
      </c>
    </row>
    <row r="49" spans="1:19">
      <c r="A49" s="159"/>
      <c r="B49" s="59"/>
      <c r="C49" s="24">
        <f t="shared" si="12"/>
        <v>1</v>
      </c>
      <c r="D49" s="717"/>
      <c r="E49" s="24">
        <f t="shared" si="13"/>
        <v>0</v>
      </c>
      <c r="F49" s="717"/>
      <c r="G49" s="24">
        <f t="shared" si="14"/>
        <v>1</v>
      </c>
      <c r="H49" s="717"/>
      <c r="I49" s="24">
        <f t="shared" si="15"/>
        <v>1</v>
      </c>
      <c r="J49" s="717"/>
      <c r="K49" s="24">
        <f t="shared" si="16"/>
        <v>1</v>
      </c>
      <c r="L49" s="717"/>
      <c r="M49" s="24">
        <f t="shared" si="17"/>
        <v>1</v>
      </c>
      <c r="N49" s="717"/>
      <c r="O49" s="24">
        <f t="shared" si="18"/>
        <v>1</v>
      </c>
      <c r="P49" s="717"/>
      <c r="Q49" s="24">
        <f t="shared" si="19"/>
        <v>1</v>
      </c>
      <c r="R49" s="714">
        <f t="shared" si="20"/>
        <v>0</v>
      </c>
      <c r="S49" s="361">
        <f t="shared" si="11"/>
        <v>0</v>
      </c>
    </row>
    <row r="50" spans="1:19">
      <c r="A50" s="159"/>
      <c r="B50" s="59"/>
      <c r="C50" s="24">
        <f t="shared" si="12"/>
        <v>1</v>
      </c>
      <c r="D50" s="717"/>
      <c r="E50" s="24">
        <f t="shared" si="13"/>
        <v>0</v>
      </c>
      <c r="F50" s="717"/>
      <c r="G50" s="24">
        <f t="shared" si="14"/>
        <v>1</v>
      </c>
      <c r="H50" s="717"/>
      <c r="I50" s="24">
        <f t="shared" si="15"/>
        <v>1</v>
      </c>
      <c r="J50" s="717"/>
      <c r="K50" s="24">
        <f t="shared" si="16"/>
        <v>1</v>
      </c>
      <c r="L50" s="717"/>
      <c r="M50" s="24">
        <f t="shared" si="17"/>
        <v>1</v>
      </c>
      <c r="N50" s="717"/>
      <c r="O50" s="24">
        <f t="shared" si="18"/>
        <v>1</v>
      </c>
      <c r="P50" s="717"/>
      <c r="Q50" s="24">
        <f t="shared" si="19"/>
        <v>1</v>
      </c>
      <c r="R50" s="714">
        <f t="shared" si="20"/>
        <v>0</v>
      </c>
      <c r="S50" s="361">
        <f t="shared" si="11"/>
        <v>0</v>
      </c>
    </row>
    <row r="51" spans="1:19">
      <c r="A51" s="159"/>
      <c r="B51" s="59"/>
      <c r="C51" s="24">
        <f t="shared" si="12"/>
        <v>1</v>
      </c>
      <c r="D51" s="717"/>
      <c r="E51" s="24">
        <f t="shared" si="13"/>
        <v>0</v>
      </c>
      <c r="F51" s="717"/>
      <c r="G51" s="24">
        <f t="shared" si="14"/>
        <v>1</v>
      </c>
      <c r="H51" s="717"/>
      <c r="I51" s="24">
        <f t="shared" si="15"/>
        <v>1</v>
      </c>
      <c r="J51" s="717"/>
      <c r="K51" s="24">
        <f t="shared" si="16"/>
        <v>1</v>
      </c>
      <c r="L51" s="717"/>
      <c r="M51" s="24">
        <f t="shared" si="17"/>
        <v>1</v>
      </c>
      <c r="N51" s="717"/>
      <c r="O51" s="24">
        <f t="shared" si="18"/>
        <v>1</v>
      </c>
      <c r="P51" s="717"/>
      <c r="Q51" s="24">
        <f t="shared" si="19"/>
        <v>1</v>
      </c>
      <c r="R51" s="714">
        <f t="shared" si="20"/>
        <v>0</v>
      </c>
      <c r="S51" s="361">
        <f t="shared" si="11"/>
        <v>0</v>
      </c>
    </row>
    <row r="52" spans="1:19">
      <c r="A52" s="159"/>
      <c r="B52" s="59"/>
      <c r="C52" s="24">
        <f t="shared" si="12"/>
        <v>1</v>
      </c>
      <c r="D52" s="717"/>
      <c r="E52" s="24">
        <f t="shared" si="13"/>
        <v>0</v>
      </c>
      <c r="F52" s="717"/>
      <c r="G52" s="24">
        <f t="shared" si="14"/>
        <v>1</v>
      </c>
      <c r="H52" s="717"/>
      <c r="I52" s="24">
        <f t="shared" si="15"/>
        <v>1</v>
      </c>
      <c r="J52" s="717"/>
      <c r="K52" s="24">
        <f t="shared" si="16"/>
        <v>1</v>
      </c>
      <c r="L52" s="717"/>
      <c r="M52" s="24">
        <f t="shared" si="17"/>
        <v>1</v>
      </c>
      <c r="N52" s="717"/>
      <c r="O52" s="24">
        <f t="shared" si="18"/>
        <v>1</v>
      </c>
      <c r="P52" s="717"/>
      <c r="Q52" s="24">
        <f t="shared" si="19"/>
        <v>1</v>
      </c>
      <c r="R52" s="714">
        <f t="shared" si="20"/>
        <v>0</v>
      </c>
      <c r="S52" s="361">
        <f t="shared" si="11"/>
        <v>0</v>
      </c>
    </row>
    <row r="53" spans="1:19">
      <c r="A53" s="159"/>
      <c r="B53" s="59"/>
      <c r="C53" s="24">
        <f t="shared" si="12"/>
        <v>1</v>
      </c>
      <c r="D53" s="717"/>
      <c r="E53" s="24">
        <f t="shared" si="13"/>
        <v>0</v>
      </c>
      <c r="F53" s="717"/>
      <c r="G53" s="24">
        <f t="shared" si="14"/>
        <v>1</v>
      </c>
      <c r="H53" s="717"/>
      <c r="I53" s="24">
        <f t="shared" si="15"/>
        <v>1</v>
      </c>
      <c r="J53" s="717"/>
      <c r="K53" s="24">
        <f t="shared" si="16"/>
        <v>1</v>
      </c>
      <c r="L53" s="717"/>
      <c r="M53" s="24">
        <f t="shared" si="17"/>
        <v>1</v>
      </c>
      <c r="N53" s="717"/>
      <c r="O53" s="24">
        <f t="shared" si="18"/>
        <v>1</v>
      </c>
      <c r="P53" s="717"/>
      <c r="Q53" s="24">
        <f t="shared" si="19"/>
        <v>1</v>
      </c>
      <c r="R53" s="714">
        <f t="shared" si="20"/>
        <v>0</v>
      </c>
      <c r="S53" s="361">
        <f t="shared" si="11"/>
        <v>0</v>
      </c>
    </row>
    <row r="54" spans="1:19">
      <c r="A54" s="159"/>
      <c r="B54" s="59"/>
      <c r="C54" s="24">
        <f t="shared" si="12"/>
        <v>1</v>
      </c>
      <c r="D54" s="717"/>
      <c r="E54" s="24">
        <f t="shared" si="13"/>
        <v>0</v>
      </c>
      <c r="F54" s="717"/>
      <c r="G54" s="24">
        <f t="shared" si="14"/>
        <v>1</v>
      </c>
      <c r="H54" s="717"/>
      <c r="I54" s="24">
        <f t="shared" si="15"/>
        <v>1</v>
      </c>
      <c r="J54" s="717"/>
      <c r="K54" s="24">
        <f t="shared" si="16"/>
        <v>1</v>
      </c>
      <c r="L54" s="717"/>
      <c r="M54" s="24">
        <f t="shared" si="17"/>
        <v>1</v>
      </c>
      <c r="N54" s="717"/>
      <c r="O54" s="24">
        <f t="shared" si="18"/>
        <v>1</v>
      </c>
      <c r="P54" s="717"/>
      <c r="Q54" s="24">
        <f t="shared" si="19"/>
        <v>1</v>
      </c>
      <c r="R54" s="714">
        <f t="shared" si="20"/>
        <v>0</v>
      </c>
      <c r="S54" s="361">
        <f t="shared" si="11"/>
        <v>0</v>
      </c>
    </row>
    <row r="55" spans="1:19">
      <c r="A55" s="159"/>
      <c r="B55" s="59"/>
      <c r="C55" s="24">
        <f t="shared" si="12"/>
        <v>1</v>
      </c>
      <c r="D55" s="717"/>
      <c r="E55" s="24">
        <f t="shared" si="13"/>
        <v>0</v>
      </c>
      <c r="F55" s="717"/>
      <c r="G55" s="24">
        <f t="shared" si="14"/>
        <v>1</v>
      </c>
      <c r="H55" s="717"/>
      <c r="I55" s="24">
        <f t="shared" si="15"/>
        <v>1</v>
      </c>
      <c r="J55" s="717"/>
      <c r="K55" s="24">
        <f t="shared" si="16"/>
        <v>1</v>
      </c>
      <c r="L55" s="717"/>
      <c r="M55" s="24">
        <f t="shared" si="17"/>
        <v>1</v>
      </c>
      <c r="N55" s="717"/>
      <c r="O55" s="24">
        <f t="shared" si="18"/>
        <v>1</v>
      </c>
      <c r="P55" s="717"/>
      <c r="Q55" s="24">
        <f t="shared" si="19"/>
        <v>1</v>
      </c>
      <c r="R55" s="714">
        <f t="shared" si="20"/>
        <v>0</v>
      </c>
      <c r="S55" s="361">
        <f t="shared" ref="S55:S77" si="21">ROUND(R55*B55/10000,0)</f>
        <v>0</v>
      </c>
    </row>
    <row r="56" spans="1:19">
      <c r="A56" s="159"/>
      <c r="B56" s="59"/>
      <c r="C56" s="24">
        <f t="shared" si="12"/>
        <v>1</v>
      </c>
      <c r="D56" s="717"/>
      <c r="E56" s="24">
        <f t="shared" si="13"/>
        <v>0</v>
      </c>
      <c r="F56" s="717"/>
      <c r="G56" s="24">
        <f t="shared" si="14"/>
        <v>1</v>
      </c>
      <c r="H56" s="717"/>
      <c r="I56" s="24">
        <f t="shared" si="15"/>
        <v>1</v>
      </c>
      <c r="J56" s="717"/>
      <c r="K56" s="24">
        <f t="shared" si="16"/>
        <v>1</v>
      </c>
      <c r="L56" s="717"/>
      <c r="M56" s="24">
        <f t="shared" si="17"/>
        <v>1</v>
      </c>
      <c r="N56" s="717"/>
      <c r="O56" s="24">
        <f t="shared" si="18"/>
        <v>1</v>
      </c>
      <c r="P56" s="717"/>
      <c r="Q56" s="24">
        <f t="shared" si="19"/>
        <v>1</v>
      </c>
      <c r="R56" s="714">
        <f t="shared" si="20"/>
        <v>0</v>
      </c>
      <c r="S56" s="361">
        <f t="shared" si="21"/>
        <v>0</v>
      </c>
    </row>
    <row r="57" spans="1:19">
      <c r="A57" s="159"/>
      <c r="B57" s="59"/>
      <c r="C57" s="24">
        <f t="shared" si="12"/>
        <v>1</v>
      </c>
      <c r="D57" s="717"/>
      <c r="E57" s="24">
        <f t="shared" si="13"/>
        <v>0</v>
      </c>
      <c r="F57" s="717"/>
      <c r="G57" s="24">
        <f t="shared" si="14"/>
        <v>1</v>
      </c>
      <c r="H57" s="717"/>
      <c r="I57" s="24">
        <f t="shared" si="15"/>
        <v>1</v>
      </c>
      <c r="J57" s="717"/>
      <c r="K57" s="24">
        <f t="shared" si="16"/>
        <v>1</v>
      </c>
      <c r="L57" s="717"/>
      <c r="M57" s="24">
        <f t="shared" si="17"/>
        <v>1</v>
      </c>
      <c r="N57" s="717"/>
      <c r="O57" s="24">
        <f t="shared" si="18"/>
        <v>1</v>
      </c>
      <c r="P57" s="717"/>
      <c r="Q57" s="24">
        <f t="shared" si="19"/>
        <v>1</v>
      </c>
      <c r="R57" s="714">
        <f t="shared" si="20"/>
        <v>0</v>
      </c>
      <c r="S57" s="361">
        <f t="shared" si="21"/>
        <v>0</v>
      </c>
    </row>
    <row r="58" spans="1:19">
      <c r="A58" s="159"/>
      <c r="B58" s="59"/>
      <c r="C58" s="24">
        <f t="shared" si="12"/>
        <v>1</v>
      </c>
      <c r="D58" s="717"/>
      <c r="E58" s="24">
        <f t="shared" si="13"/>
        <v>0</v>
      </c>
      <c r="F58" s="717"/>
      <c r="G58" s="24">
        <f t="shared" si="14"/>
        <v>1</v>
      </c>
      <c r="H58" s="717"/>
      <c r="I58" s="24">
        <f t="shared" si="15"/>
        <v>1</v>
      </c>
      <c r="J58" s="717"/>
      <c r="K58" s="24">
        <f t="shared" si="16"/>
        <v>1</v>
      </c>
      <c r="L58" s="717"/>
      <c r="M58" s="24">
        <f t="shared" si="17"/>
        <v>1</v>
      </c>
      <c r="N58" s="717"/>
      <c r="O58" s="24">
        <f t="shared" si="18"/>
        <v>1</v>
      </c>
      <c r="P58" s="717"/>
      <c r="Q58" s="24">
        <f t="shared" si="19"/>
        <v>1</v>
      </c>
      <c r="R58" s="714">
        <f t="shared" si="20"/>
        <v>0</v>
      </c>
      <c r="S58" s="361">
        <f t="shared" si="21"/>
        <v>0</v>
      </c>
    </row>
    <row r="59" spans="1:19">
      <c r="A59" s="159"/>
      <c r="B59" s="59"/>
      <c r="C59" s="24">
        <f t="shared" si="12"/>
        <v>1</v>
      </c>
      <c r="D59" s="717"/>
      <c r="E59" s="24">
        <f t="shared" si="13"/>
        <v>0</v>
      </c>
      <c r="F59" s="717"/>
      <c r="G59" s="24">
        <f t="shared" si="14"/>
        <v>1</v>
      </c>
      <c r="H59" s="717"/>
      <c r="I59" s="24">
        <f t="shared" si="15"/>
        <v>1</v>
      </c>
      <c r="J59" s="717"/>
      <c r="K59" s="24">
        <f t="shared" si="16"/>
        <v>1</v>
      </c>
      <c r="L59" s="717"/>
      <c r="M59" s="24">
        <f t="shared" si="17"/>
        <v>1</v>
      </c>
      <c r="N59" s="717"/>
      <c r="O59" s="24">
        <f t="shared" si="18"/>
        <v>1</v>
      </c>
      <c r="P59" s="717"/>
      <c r="Q59" s="24">
        <f t="shared" si="19"/>
        <v>1</v>
      </c>
      <c r="R59" s="714">
        <f t="shared" si="20"/>
        <v>0</v>
      </c>
      <c r="S59" s="361">
        <f t="shared" si="21"/>
        <v>0</v>
      </c>
    </row>
    <row r="60" spans="1:19">
      <c r="A60" s="159"/>
      <c r="B60" s="59"/>
      <c r="C60" s="24">
        <f t="shared" si="12"/>
        <v>1</v>
      </c>
      <c r="D60" s="717"/>
      <c r="E60" s="24">
        <f t="shared" si="13"/>
        <v>0</v>
      </c>
      <c r="F60" s="717"/>
      <c r="G60" s="24">
        <f t="shared" si="14"/>
        <v>1</v>
      </c>
      <c r="H60" s="717"/>
      <c r="I60" s="24">
        <f t="shared" si="15"/>
        <v>1</v>
      </c>
      <c r="J60" s="717"/>
      <c r="K60" s="24">
        <f t="shared" si="16"/>
        <v>1</v>
      </c>
      <c r="L60" s="717"/>
      <c r="M60" s="24">
        <f t="shared" si="17"/>
        <v>1</v>
      </c>
      <c r="N60" s="717"/>
      <c r="O60" s="24">
        <f t="shared" si="18"/>
        <v>1</v>
      </c>
      <c r="P60" s="717"/>
      <c r="Q60" s="24">
        <f t="shared" si="19"/>
        <v>1</v>
      </c>
      <c r="R60" s="714">
        <f t="shared" si="20"/>
        <v>0</v>
      </c>
      <c r="S60" s="361">
        <f t="shared" si="21"/>
        <v>0</v>
      </c>
    </row>
    <row r="61" spans="1:19">
      <c r="A61" s="159"/>
      <c r="B61" s="59"/>
      <c r="C61" s="24">
        <f t="shared" si="12"/>
        <v>1</v>
      </c>
      <c r="D61" s="717"/>
      <c r="E61" s="24">
        <f t="shared" si="13"/>
        <v>0</v>
      </c>
      <c r="F61" s="717"/>
      <c r="G61" s="24">
        <f t="shared" si="14"/>
        <v>1</v>
      </c>
      <c r="H61" s="717"/>
      <c r="I61" s="24">
        <f t="shared" si="15"/>
        <v>1</v>
      </c>
      <c r="J61" s="717"/>
      <c r="K61" s="24">
        <f t="shared" si="16"/>
        <v>1</v>
      </c>
      <c r="L61" s="717"/>
      <c r="M61" s="24">
        <f t="shared" si="17"/>
        <v>1</v>
      </c>
      <c r="N61" s="717"/>
      <c r="O61" s="24">
        <f t="shared" si="18"/>
        <v>1</v>
      </c>
      <c r="P61" s="717"/>
      <c r="Q61" s="24">
        <f t="shared" si="19"/>
        <v>1</v>
      </c>
      <c r="R61" s="714">
        <f t="shared" si="20"/>
        <v>0</v>
      </c>
      <c r="S61" s="361">
        <f t="shared" si="21"/>
        <v>0</v>
      </c>
    </row>
    <row r="62" spans="1:19">
      <c r="A62" s="159"/>
      <c r="B62" s="59"/>
      <c r="C62" s="24">
        <f t="shared" si="12"/>
        <v>1</v>
      </c>
      <c r="D62" s="717"/>
      <c r="E62" s="24">
        <f t="shared" si="13"/>
        <v>0</v>
      </c>
      <c r="F62" s="717"/>
      <c r="G62" s="24">
        <f t="shared" si="14"/>
        <v>1</v>
      </c>
      <c r="H62" s="717"/>
      <c r="I62" s="24">
        <f t="shared" si="15"/>
        <v>1</v>
      </c>
      <c r="J62" s="717"/>
      <c r="K62" s="24">
        <f t="shared" si="16"/>
        <v>1</v>
      </c>
      <c r="L62" s="717"/>
      <c r="M62" s="24">
        <f t="shared" si="17"/>
        <v>1</v>
      </c>
      <c r="N62" s="717"/>
      <c r="O62" s="24">
        <f t="shared" si="18"/>
        <v>1</v>
      </c>
      <c r="P62" s="717"/>
      <c r="Q62" s="24">
        <f t="shared" si="19"/>
        <v>1</v>
      </c>
      <c r="R62" s="714">
        <f t="shared" si="20"/>
        <v>0</v>
      </c>
      <c r="S62" s="361">
        <f t="shared" si="21"/>
        <v>0</v>
      </c>
    </row>
    <row r="63" spans="1:19">
      <c r="A63" s="159"/>
      <c r="B63" s="59"/>
      <c r="C63" s="24">
        <f t="shared" si="12"/>
        <v>1</v>
      </c>
      <c r="D63" s="717"/>
      <c r="E63" s="24">
        <f t="shared" si="13"/>
        <v>0</v>
      </c>
      <c r="F63" s="717"/>
      <c r="G63" s="24">
        <f t="shared" si="14"/>
        <v>1</v>
      </c>
      <c r="H63" s="717"/>
      <c r="I63" s="24">
        <f t="shared" si="15"/>
        <v>1</v>
      </c>
      <c r="J63" s="717"/>
      <c r="K63" s="24">
        <f t="shared" si="16"/>
        <v>1</v>
      </c>
      <c r="L63" s="717"/>
      <c r="M63" s="24">
        <f t="shared" si="17"/>
        <v>1</v>
      </c>
      <c r="N63" s="717"/>
      <c r="O63" s="24">
        <f t="shared" si="18"/>
        <v>1</v>
      </c>
      <c r="P63" s="717"/>
      <c r="Q63" s="24">
        <f t="shared" si="19"/>
        <v>1</v>
      </c>
      <c r="R63" s="714">
        <f t="shared" si="20"/>
        <v>0</v>
      </c>
      <c r="S63" s="361">
        <f t="shared" si="21"/>
        <v>0</v>
      </c>
    </row>
    <row r="64" spans="1:19">
      <c r="A64" s="159"/>
      <c r="B64" s="59"/>
      <c r="C64" s="24">
        <f t="shared" si="12"/>
        <v>1</v>
      </c>
      <c r="D64" s="717"/>
      <c r="E64" s="24">
        <f t="shared" si="13"/>
        <v>0</v>
      </c>
      <c r="F64" s="717"/>
      <c r="G64" s="24">
        <f t="shared" si="14"/>
        <v>1</v>
      </c>
      <c r="H64" s="717"/>
      <c r="I64" s="24">
        <f t="shared" si="15"/>
        <v>1</v>
      </c>
      <c r="J64" s="717"/>
      <c r="K64" s="24">
        <f t="shared" si="16"/>
        <v>1</v>
      </c>
      <c r="L64" s="717"/>
      <c r="M64" s="24">
        <f t="shared" si="17"/>
        <v>1</v>
      </c>
      <c r="N64" s="717"/>
      <c r="O64" s="24">
        <f t="shared" si="18"/>
        <v>1</v>
      </c>
      <c r="P64" s="717"/>
      <c r="Q64" s="24">
        <f t="shared" si="19"/>
        <v>1</v>
      </c>
      <c r="R64" s="714">
        <f t="shared" si="20"/>
        <v>0</v>
      </c>
      <c r="S64" s="361">
        <f t="shared" si="21"/>
        <v>0</v>
      </c>
    </row>
    <row r="65" spans="1:19">
      <c r="A65" s="159"/>
      <c r="B65" s="59"/>
      <c r="C65" s="24">
        <f t="shared" si="12"/>
        <v>1</v>
      </c>
      <c r="D65" s="717"/>
      <c r="E65" s="24">
        <f t="shared" si="13"/>
        <v>0</v>
      </c>
      <c r="F65" s="717"/>
      <c r="G65" s="24">
        <f t="shared" si="14"/>
        <v>1</v>
      </c>
      <c r="H65" s="717"/>
      <c r="I65" s="24">
        <f t="shared" si="15"/>
        <v>1</v>
      </c>
      <c r="J65" s="717"/>
      <c r="K65" s="24">
        <f t="shared" si="16"/>
        <v>1</v>
      </c>
      <c r="L65" s="717"/>
      <c r="M65" s="24">
        <f t="shared" si="17"/>
        <v>1</v>
      </c>
      <c r="N65" s="717"/>
      <c r="O65" s="24">
        <f t="shared" si="18"/>
        <v>1</v>
      </c>
      <c r="P65" s="717"/>
      <c r="Q65" s="24">
        <f t="shared" si="19"/>
        <v>1</v>
      </c>
      <c r="R65" s="714">
        <f t="shared" si="20"/>
        <v>0</v>
      </c>
      <c r="S65" s="361">
        <f t="shared" si="21"/>
        <v>0</v>
      </c>
    </row>
    <row r="66" spans="1:19">
      <c r="A66" s="159"/>
      <c r="B66" s="59"/>
      <c r="C66" s="24">
        <f t="shared" si="12"/>
        <v>1</v>
      </c>
      <c r="D66" s="717"/>
      <c r="E66" s="24">
        <f t="shared" si="13"/>
        <v>0</v>
      </c>
      <c r="F66" s="717"/>
      <c r="G66" s="24">
        <f t="shared" si="14"/>
        <v>1</v>
      </c>
      <c r="H66" s="717"/>
      <c r="I66" s="24">
        <f t="shared" si="15"/>
        <v>1</v>
      </c>
      <c r="J66" s="717"/>
      <c r="K66" s="24">
        <f t="shared" si="16"/>
        <v>1</v>
      </c>
      <c r="L66" s="717"/>
      <c r="M66" s="24">
        <f t="shared" si="17"/>
        <v>1</v>
      </c>
      <c r="N66" s="717"/>
      <c r="O66" s="24">
        <f t="shared" si="18"/>
        <v>1</v>
      </c>
      <c r="P66" s="717"/>
      <c r="Q66" s="24">
        <f t="shared" si="19"/>
        <v>1</v>
      </c>
      <c r="R66" s="714">
        <f t="shared" si="20"/>
        <v>0</v>
      </c>
      <c r="S66" s="361">
        <f t="shared" si="21"/>
        <v>0</v>
      </c>
    </row>
    <row r="67" spans="1:19">
      <c r="A67" s="159"/>
      <c r="B67" s="59"/>
      <c r="C67" s="24">
        <f t="shared" si="12"/>
        <v>1</v>
      </c>
      <c r="D67" s="717"/>
      <c r="E67" s="24">
        <f t="shared" si="13"/>
        <v>0</v>
      </c>
      <c r="F67" s="717"/>
      <c r="G67" s="24">
        <f t="shared" si="14"/>
        <v>1</v>
      </c>
      <c r="H67" s="717"/>
      <c r="I67" s="24">
        <f t="shared" si="15"/>
        <v>1</v>
      </c>
      <c r="J67" s="717"/>
      <c r="K67" s="24">
        <f t="shared" si="16"/>
        <v>1</v>
      </c>
      <c r="L67" s="717"/>
      <c r="M67" s="24">
        <f t="shared" si="17"/>
        <v>1</v>
      </c>
      <c r="N67" s="717"/>
      <c r="O67" s="24">
        <f t="shared" si="18"/>
        <v>1</v>
      </c>
      <c r="P67" s="717"/>
      <c r="Q67" s="24">
        <f t="shared" si="19"/>
        <v>1</v>
      </c>
      <c r="R67" s="714">
        <f t="shared" si="20"/>
        <v>0</v>
      </c>
      <c r="S67" s="361">
        <f t="shared" si="21"/>
        <v>0</v>
      </c>
    </row>
    <row r="68" spans="1:19">
      <c r="A68" s="159"/>
      <c r="B68" s="59"/>
      <c r="C68" s="24">
        <f t="shared" si="12"/>
        <v>1</v>
      </c>
      <c r="D68" s="717"/>
      <c r="E68" s="24">
        <f t="shared" si="13"/>
        <v>0</v>
      </c>
      <c r="F68" s="717"/>
      <c r="G68" s="24">
        <f t="shared" si="14"/>
        <v>1</v>
      </c>
      <c r="H68" s="717"/>
      <c r="I68" s="24">
        <f t="shared" si="15"/>
        <v>1</v>
      </c>
      <c r="J68" s="717"/>
      <c r="K68" s="24">
        <f t="shared" si="16"/>
        <v>1</v>
      </c>
      <c r="L68" s="717"/>
      <c r="M68" s="24">
        <f t="shared" si="17"/>
        <v>1</v>
      </c>
      <c r="N68" s="717"/>
      <c r="O68" s="24">
        <f t="shared" si="18"/>
        <v>1</v>
      </c>
      <c r="P68" s="717"/>
      <c r="Q68" s="24">
        <f t="shared" si="19"/>
        <v>1</v>
      </c>
      <c r="R68" s="714">
        <f t="shared" si="20"/>
        <v>0</v>
      </c>
      <c r="S68" s="361">
        <f t="shared" si="21"/>
        <v>0</v>
      </c>
    </row>
    <row r="69" spans="1:19">
      <c r="A69" s="159"/>
      <c r="B69" s="59"/>
      <c r="C69" s="24">
        <f t="shared" si="12"/>
        <v>1</v>
      </c>
      <c r="D69" s="717"/>
      <c r="E69" s="24">
        <f t="shared" si="13"/>
        <v>0</v>
      </c>
      <c r="F69" s="717"/>
      <c r="G69" s="24">
        <f t="shared" si="14"/>
        <v>1</v>
      </c>
      <c r="H69" s="717"/>
      <c r="I69" s="24">
        <f t="shared" si="15"/>
        <v>1</v>
      </c>
      <c r="J69" s="717"/>
      <c r="K69" s="24">
        <f t="shared" si="16"/>
        <v>1</v>
      </c>
      <c r="L69" s="717"/>
      <c r="M69" s="24">
        <f t="shared" si="17"/>
        <v>1</v>
      </c>
      <c r="N69" s="717"/>
      <c r="O69" s="24">
        <f t="shared" si="18"/>
        <v>1</v>
      </c>
      <c r="P69" s="717"/>
      <c r="Q69" s="24">
        <f t="shared" si="19"/>
        <v>1</v>
      </c>
      <c r="R69" s="714">
        <f t="shared" si="20"/>
        <v>0</v>
      </c>
      <c r="S69" s="361">
        <f t="shared" si="21"/>
        <v>0</v>
      </c>
    </row>
    <row r="70" spans="1:19">
      <c r="A70" s="159"/>
      <c r="B70" s="59"/>
      <c r="C70" s="24">
        <f t="shared" si="12"/>
        <v>1</v>
      </c>
      <c r="D70" s="717"/>
      <c r="E70" s="24">
        <f t="shared" si="13"/>
        <v>0</v>
      </c>
      <c r="F70" s="717"/>
      <c r="G70" s="24">
        <f t="shared" si="14"/>
        <v>1</v>
      </c>
      <c r="H70" s="717"/>
      <c r="I70" s="24">
        <f t="shared" si="15"/>
        <v>1</v>
      </c>
      <c r="J70" s="717"/>
      <c r="K70" s="24">
        <f t="shared" si="16"/>
        <v>1</v>
      </c>
      <c r="L70" s="717"/>
      <c r="M70" s="24">
        <f t="shared" si="17"/>
        <v>1</v>
      </c>
      <c r="N70" s="717"/>
      <c r="O70" s="24">
        <f t="shared" si="18"/>
        <v>1</v>
      </c>
      <c r="P70" s="717"/>
      <c r="Q70" s="24">
        <f t="shared" si="19"/>
        <v>1</v>
      </c>
      <c r="R70" s="714">
        <f t="shared" si="20"/>
        <v>0</v>
      </c>
      <c r="S70" s="361">
        <f t="shared" si="21"/>
        <v>0</v>
      </c>
    </row>
    <row r="71" spans="1:19">
      <c r="A71" s="159"/>
      <c r="B71" s="59"/>
      <c r="C71" s="24">
        <f t="shared" si="12"/>
        <v>1</v>
      </c>
      <c r="D71" s="717"/>
      <c r="E71" s="24">
        <f t="shared" si="13"/>
        <v>0</v>
      </c>
      <c r="F71" s="717"/>
      <c r="G71" s="24">
        <f t="shared" si="14"/>
        <v>1</v>
      </c>
      <c r="H71" s="717"/>
      <c r="I71" s="24">
        <f t="shared" si="15"/>
        <v>1</v>
      </c>
      <c r="J71" s="717"/>
      <c r="K71" s="24">
        <f t="shared" si="16"/>
        <v>1</v>
      </c>
      <c r="L71" s="717"/>
      <c r="M71" s="24">
        <f t="shared" si="17"/>
        <v>1</v>
      </c>
      <c r="N71" s="717"/>
      <c r="O71" s="24">
        <f t="shared" si="18"/>
        <v>1</v>
      </c>
      <c r="P71" s="717"/>
      <c r="Q71" s="24">
        <f t="shared" si="19"/>
        <v>1</v>
      </c>
      <c r="R71" s="714">
        <f t="shared" si="20"/>
        <v>0</v>
      </c>
      <c r="S71" s="361">
        <f t="shared" si="21"/>
        <v>0</v>
      </c>
    </row>
    <row r="72" spans="1:19">
      <c r="A72" s="159"/>
      <c r="B72" s="59"/>
      <c r="C72" s="24">
        <f t="shared" si="12"/>
        <v>1</v>
      </c>
      <c r="D72" s="717"/>
      <c r="E72" s="24">
        <f t="shared" si="13"/>
        <v>0</v>
      </c>
      <c r="F72" s="717"/>
      <c r="G72" s="24">
        <f t="shared" si="14"/>
        <v>1</v>
      </c>
      <c r="H72" s="717"/>
      <c r="I72" s="24">
        <f t="shared" si="15"/>
        <v>1</v>
      </c>
      <c r="J72" s="717"/>
      <c r="K72" s="24">
        <f t="shared" si="16"/>
        <v>1</v>
      </c>
      <c r="L72" s="717"/>
      <c r="M72" s="24">
        <f t="shared" si="17"/>
        <v>1</v>
      </c>
      <c r="N72" s="717"/>
      <c r="O72" s="24">
        <f t="shared" si="18"/>
        <v>1</v>
      </c>
      <c r="P72" s="717"/>
      <c r="Q72" s="24">
        <f t="shared" si="19"/>
        <v>1</v>
      </c>
      <c r="R72" s="714">
        <f t="shared" si="20"/>
        <v>0</v>
      </c>
      <c r="S72" s="361">
        <f t="shared" si="21"/>
        <v>0</v>
      </c>
    </row>
    <row r="73" spans="1:19">
      <c r="A73" s="159"/>
      <c r="B73" s="59"/>
      <c r="C73" s="24">
        <f t="shared" si="12"/>
        <v>1</v>
      </c>
      <c r="D73" s="717"/>
      <c r="E73" s="24">
        <f t="shared" si="13"/>
        <v>0</v>
      </c>
      <c r="F73" s="717"/>
      <c r="G73" s="24">
        <f t="shared" si="14"/>
        <v>1</v>
      </c>
      <c r="H73" s="717"/>
      <c r="I73" s="24">
        <f t="shared" si="15"/>
        <v>1</v>
      </c>
      <c r="J73" s="717"/>
      <c r="K73" s="24">
        <f t="shared" si="16"/>
        <v>1</v>
      </c>
      <c r="L73" s="717"/>
      <c r="M73" s="24">
        <f t="shared" si="17"/>
        <v>1</v>
      </c>
      <c r="N73" s="717"/>
      <c r="O73" s="24">
        <f t="shared" si="18"/>
        <v>1</v>
      </c>
      <c r="P73" s="717"/>
      <c r="Q73" s="24">
        <f t="shared" si="19"/>
        <v>1</v>
      </c>
      <c r="R73" s="714">
        <f t="shared" si="20"/>
        <v>0</v>
      </c>
      <c r="S73" s="361">
        <f t="shared" si="21"/>
        <v>0</v>
      </c>
    </row>
    <row r="74" spans="1:19">
      <c r="A74" s="159"/>
      <c r="B74" s="59"/>
      <c r="C74" s="24">
        <f t="shared" si="12"/>
        <v>1</v>
      </c>
      <c r="D74" s="717"/>
      <c r="E74" s="24">
        <f t="shared" si="13"/>
        <v>0</v>
      </c>
      <c r="F74" s="717"/>
      <c r="G74" s="24">
        <f t="shared" si="14"/>
        <v>1</v>
      </c>
      <c r="H74" s="717"/>
      <c r="I74" s="24">
        <f t="shared" si="15"/>
        <v>1</v>
      </c>
      <c r="J74" s="717"/>
      <c r="K74" s="24">
        <f t="shared" si="16"/>
        <v>1</v>
      </c>
      <c r="L74" s="717"/>
      <c r="M74" s="24">
        <f t="shared" si="17"/>
        <v>1</v>
      </c>
      <c r="N74" s="717"/>
      <c r="O74" s="24">
        <f t="shared" si="18"/>
        <v>1</v>
      </c>
      <c r="P74" s="717"/>
      <c r="Q74" s="24">
        <f t="shared" si="19"/>
        <v>1</v>
      </c>
      <c r="R74" s="714">
        <f t="shared" si="20"/>
        <v>0</v>
      </c>
      <c r="S74" s="361">
        <f t="shared" si="21"/>
        <v>0</v>
      </c>
    </row>
    <row r="75" spans="1:19">
      <c r="A75" s="159"/>
      <c r="B75" s="59"/>
      <c r="C75" s="24">
        <f t="shared" si="12"/>
        <v>1</v>
      </c>
      <c r="D75" s="717"/>
      <c r="E75" s="24">
        <f t="shared" si="13"/>
        <v>0</v>
      </c>
      <c r="F75" s="717"/>
      <c r="G75" s="24">
        <f t="shared" si="14"/>
        <v>1</v>
      </c>
      <c r="H75" s="717"/>
      <c r="I75" s="24">
        <f t="shared" si="15"/>
        <v>1</v>
      </c>
      <c r="J75" s="717"/>
      <c r="K75" s="24">
        <f t="shared" si="16"/>
        <v>1</v>
      </c>
      <c r="L75" s="717"/>
      <c r="M75" s="24">
        <f t="shared" si="17"/>
        <v>1</v>
      </c>
      <c r="N75" s="717"/>
      <c r="O75" s="24">
        <f t="shared" si="18"/>
        <v>1</v>
      </c>
      <c r="P75" s="717"/>
      <c r="Q75" s="24">
        <f t="shared" si="19"/>
        <v>1</v>
      </c>
      <c r="R75" s="714">
        <f t="shared" si="20"/>
        <v>0</v>
      </c>
      <c r="S75" s="361">
        <f t="shared" si="21"/>
        <v>0</v>
      </c>
    </row>
    <row r="76" spans="1:19">
      <c r="A76" s="159"/>
      <c r="B76" s="59"/>
      <c r="C76" s="24">
        <f t="shared" si="12"/>
        <v>1</v>
      </c>
      <c r="D76" s="717"/>
      <c r="E76" s="24">
        <f t="shared" si="13"/>
        <v>0</v>
      </c>
      <c r="F76" s="717"/>
      <c r="G76" s="24">
        <f t="shared" si="14"/>
        <v>1</v>
      </c>
      <c r="H76" s="717"/>
      <c r="I76" s="24">
        <f t="shared" si="15"/>
        <v>1</v>
      </c>
      <c r="J76" s="717"/>
      <c r="K76" s="24">
        <f t="shared" si="16"/>
        <v>1</v>
      </c>
      <c r="L76" s="717"/>
      <c r="M76" s="24">
        <f t="shared" si="17"/>
        <v>1</v>
      </c>
      <c r="N76" s="717"/>
      <c r="O76" s="24">
        <f t="shared" si="18"/>
        <v>1</v>
      </c>
      <c r="P76" s="717"/>
      <c r="Q76" s="24">
        <f t="shared" si="19"/>
        <v>1</v>
      </c>
      <c r="R76" s="714">
        <f t="shared" si="20"/>
        <v>0</v>
      </c>
      <c r="S76" s="361">
        <f t="shared" si="21"/>
        <v>0</v>
      </c>
    </row>
    <row r="77" spans="1:19">
      <c r="A77" s="159"/>
      <c r="B77" s="59"/>
      <c r="C77" s="24">
        <f t="shared" si="12"/>
        <v>1</v>
      </c>
      <c r="D77" s="717"/>
      <c r="E77" s="24">
        <f t="shared" si="13"/>
        <v>0</v>
      </c>
      <c r="F77" s="717"/>
      <c r="G77" s="24">
        <f t="shared" si="14"/>
        <v>1</v>
      </c>
      <c r="H77" s="717"/>
      <c r="I77" s="24">
        <f t="shared" si="15"/>
        <v>1</v>
      </c>
      <c r="J77" s="717"/>
      <c r="K77" s="24">
        <f t="shared" si="16"/>
        <v>1</v>
      </c>
      <c r="L77" s="717"/>
      <c r="M77" s="24">
        <f t="shared" si="17"/>
        <v>1</v>
      </c>
      <c r="N77" s="717"/>
      <c r="O77" s="24">
        <f t="shared" si="18"/>
        <v>1</v>
      </c>
      <c r="P77" s="717"/>
      <c r="Q77" s="24">
        <f t="shared" si="19"/>
        <v>1</v>
      </c>
      <c r="R77" s="714">
        <f t="shared" si="20"/>
        <v>0</v>
      </c>
      <c r="S77" s="361">
        <f t="shared" si="21"/>
        <v>0</v>
      </c>
    </row>
    <row r="78" spans="1:19">
      <c r="A78" s="159"/>
      <c r="B78" s="59"/>
      <c r="C78" s="24">
        <f t="shared" si="12"/>
        <v>1</v>
      </c>
      <c r="D78" s="717"/>
      <c r="E78" s="24">
        <f t="shared" si="13"/>
        <v>0</v>
      </c>
      <c r="F78" s="717"/>
      <c r="G78" s="24">
        <f t="shared" si="14"/>
        <v>1</v>
      </c>
      <c r="H78" s="717"/>
      <c r="I78" s="24">
        <f t="shared" si="15"/>
        <v>1</v>
      </c>
      <c r="J78" s="717"/>
      <c r="K78" s="24">
        <f t="shared" si="16"/>
        <v>1</v>
      </c>
      <c r="L78" s="717"/>
      <c r="M78" s="24">
        <f t="shared" si="17"/>
        <v>1</v>
      </c>
      <c r="N78" s="717"/>
      <c r="O78" s="24">
        <f t="shared" si="18"/>
        <v>1</v>
      </c>
      <c r="P78" s="717"/>
      <c r="Q78" s="24">
        <f t="shared" si="19"/>
        <v>1</v>
      </c>
      <c r="R78" s="714">
        <f t="shared" si="20"/>
        <v>0</v>
      </c>
      <c r="S78" s="361">
        <f t="shared" ref="S78:S122" si="22">ROUND(R78*B78/10000,0)</f>
        <v>0</v>
      </c>
    </row>
    <row r="79" spans="1:19">
      <c r="A79" s="159"/>
      <c r="B79" s="59"/>
      <c r="C79" s="24">
        <f t="shared" si="12"/>
        <v>1</v>
      </c>
      <c r="D79" s="717"/>
      <c r="E79" s="24">
        <f t="shared" si="13"/>
        <v>0</v>
      </c>
      <c r="F79" s="717"/>
      <c r="G79" s="24">
        <f t="shared" si="14"/>
        <v>1</v>
      </c>
      <c r="H79" s="717"/>
      <c r="I79" s="24">
        <f t="shared" si="15"/>
        <v>1</v>
      </c>
      <c r="J79" s="717"/>
      <c r="K79" s="24">
        <f t="shared" si="16"/>
        <v>1</v>
      </c>
      <c r="L79" s="717"/>
      <c r="M79" s="24">
        <f t="shared" si="17"/>
        <v>1</v>
      </c>
      <c r="N79" s="717"/>
      <c r="O79" s="24">
        <f t="shared" si="18"/>
        <v>1</v>
      </c>
      <c r="P79" s="717"/>
      <c r="Q79" s="24">
        <f t="shared" si="19"/>
        <v>1</v>
      </c>
      <c r="R79" s="714">
        <f t="shared" si="20"/>
        <v>0</v>
      </c>
      <c r="S79" s="361">
        <f t="shared" si="22"/>
        <v>0</v>
      </c>
    </row>
    <row r="80" spans="1:19">
      <c r="A80" s="159"/>
      <c r="B80" s="59"/>
      <c r="C80" s="24">
        <f t="shared" si="12"/>
        <v>1</v>
      </c>
      <c r="D80" s="717"/>
      <c r="E80" s="24">
        <f t="shared" si="13"/>
        <v>0</v>
      </c>
      <c r="F80" s="717"/>
      <c r="G80" s="24">
        <f t="shared" si="14"/>
        <v>1</v>
      </c>
      <c r="H80" s="717"/>
      <c r="I80" s="24">
        <f t="shared" si="15"/>
        <v>1</v>
      </c>
      <c r="J80" s="717"/>
      <c r="K80" s="24">
        <f t="shared" si="16"/>
        <v>1</v>
      </c>
      <c r="L80" s="717"/>
      <c r="M80" s="24">
        <f t="shared" si="17"/>
        <v>1</v>
      </c>
      <c r="N80" s="717"/>
      <c r="O80" s="24">
        <f t="shared" si="18"/>
        <v>1</v>
      </c>
      <c r="P80" s="717"/>
      <c r="Q80" s="24">
        <f t="shared" si="19"/>
        <v>1</v>
      </c>
      <c r="R80" s="714">
        <f t="shared" si="20"/>
        <v>0</v>
      </c>
      <c r="S80" s="361">
        <f t="shared" si="22"/>
        <v>0</v>
      </c>
    </row>
    <row r="81" spans="1:19">
      <c r="A81" s="159"/>
      <c r="B81" s="59"/>
      <c r="C81" s="24">
        <f t="shared" si="12"/>
        <v>1</v>
      </c>
      <c r="D81" s="717"/>
      <c r="E81" s="24">
        <f t="shared" si="13"/>
        <v>0</v>
      </c>
      <c r="F81" s="717"/>
      <c r="G81" s="24">
        <f t="shared" si="14"/>
        <v>1</v>
      </c>
      <c r="H81" s="717"/>
      <c r="I81" s="24">
        <f t="shared" si="15"/>
        <v>1</v>
      </c>
      <c r="J81" s="717"/>
      <c r="K81" s="24">
        <f t="shared" si="16"/>
        <v>1</v>
      </c>
      <c r="L81" s="717"/>
      <c r="M81" s="24">
        <f t="shared" si="17"/>
        <v>1</v>
      </c>
      <c r="N81" s="717"/>
      <c r="O81" s="24">
        <f t="shared" si="18"/>
        <v>1</v>
      </c>
      <c r="P81" s="717"/>
      <c r="Q81" s="24">
        <f t="shared" si="19"/>
        <v>1</v>
      </c>
      <c r="R81" s="714">
        <f t="shared" si="20"/>
        <v>0</v>
      </c>
      <c r="S81" s="361">
        <f t="shared" si="22"/>
        <v>0</v>
      </c>
    </row>
    <row r="82" spans="1:19">
      <c r="A82" s="159"/>
      <c r="B82" s="59"/>
      <c r="C82" s="24">
        <f t="shared" si="12"/>
        <v>1</v>
      </c>
      <c r="D82" s="717"/>
      <c r="E82" s="24">
        <f t="shared" si="13"/>
        <v>0</v>
      </c>
      <c r="F82" s="717"/>
      <c r="G82" s="24">
        <f t="shared" si="14"/>
        <v>1</v>
      </c>
      <c r="H82" s="717"/>
      <c r="I82" s="24">
        <f t="shared" si="15"/>
        <v>1</v>
      </c>
      <c r="J82" s="717"/>
      <c r="K82" s="24">
        <f t="shared" si="16"/>
        <v>1</v>
      </c>
      <c r="L82" s="717"/>
      <c r="M82" s="24">
        <f t="shared" si="17"/>
        <v>1</v>
      </c>
      <c r="N82" s="717"/>
      <c r="O82" s="24">
        <f t="shared" si="18"/>
        <v>1</v>
      </c>
      <c r="P82" s="717"/>
      <c r="Q82" s="24">
        <f t="shared" si="19"/>
        <v>1</v>
      </c>
      <c r="R82" s="714">
        <f t="shared" si="20"/>
        <v>0</v>
      </c>
      <c r="S82" s="361">
        <f t="shared" si="22"/>
        <v>0</v>
      </c>
    </row>
    <row r="83" spans="1:19">
      <c r="A83" s="159"/>
      <c r="B83" s="59"/>
      <c r="C83" s="24">
        <f t="shared" si="12"/>
        <v>1</v>
      </c>
      <c r="D83" s="717"/>
      <c r="E83" s="24">
        <f t="shared" si="13"/>
        <v>0</v>
      </c>
      <c r="F83" s="717"/>
      <c r="G83" s="24">
        <f t="shared" si="14"/>
        <v>1</v>
      </c>
      <c r="H83" s="717"/>
      <c r="I83" s="24">
        <f t="shared" si="15"/>
        <v>1</v>
      </c>
      <c r="J83" s="717"/>
      <c r="K83" s="24">
        <f t="shared" si="16"/>
        <v>1</v>
      </c>
      <c r="L83" s="717"/>
      <c r="M83" s="24">
        <f t="shared" si="17"/>
        <v>1</v>
      </c>
      <c r="N83" s="717"/>
      <c r="O83" s="24">
        <f t="shared" si="18"/>
        <v>1</v>
      </c>
      <c r="P83" s="717"/>
      <c r="Q83" s="24">
        <f t="shared" si="19"/>
        <v>1</v>
      </c>
      <c r="R83" s="714">
        <f t="shared" si="20"/>
        <v>0</v>
      </c>
      <c r="S83" s="361">
        <f t="shared" si="22"/>
        <v>0</v>
      </c>
    </row>
    <row r="84" spans="1:19">
      <c r="A84" s="159"/>
      <c r="B84" s="59"/>
      <c r="C84" s="24">
        <f t="shared" si="12"/>
        <v>1</v>
      </c>
      <c r="D84" s="717"/>
      <c r="E84" s="24">
        <f t="shared" si="13"/>
        <v>0</v>
      </c>
      <c r="F84" s="717"/>
      <c r="G84" s="24">
        <f t="shared" si="14"/>
        <v>1</v>
      </c>
      <c r="H84" s="717"/>
      <c r="I84" s="24">
        <f t="shared" si="15"/>
        <v>1</v>
      </c>
      <c r="J84" s="717"/>
      <c r="K84" s="24">
        <f t="shared" si="16"/>
        <v>1</v>
      </c>
      <c r="L84" s="717"/>
      <c r="M84" s="24">
        <f t="shared" si="17"/>
        <v>1</v>
      </c>
      <c r="N84" s="717"/>
      <c r="O84" s="24">
        <f t="shared" si="18"/>
        <v>1</v>
      </c>
      <c r="P84" s="717"/>
      <c r="Q84" s="24">
        <f t="shared" si="19"/>
        <v>1</v>
      </c>
      <c r="R84" s="714">
        <f t="shared" si="20"/>
        <v>0</v>
      </c>
      <c r="S84" s="361">
        <f t="shared" si="22"/>
        <v>0</v>
      </c>
    </row>
    <row r="85" spans="1:19">
      <c r="A85" s="159"/>
      <c r="B85" s="59"/>
      <c r="C85" s="24">
        <f t="shared" si="12"/>
        <v>1</v>
      </c>
      <c r="D85" s="717"/>
      <c r="E85" s="24">
        <f t="shared" si="13"/>
        <v>0</v>
      </c>
      <c r="F85" s="717"/>
      <c r="G85" s="24">
        <f t="shared" si="14"/>
        <v>1</v>
      </c>
      <c r="H85" s="717"/>
      <c r="I85" s="24">
        <f t="shared" si="15"/>
        <v>1</v>
      </c>
      <c r="J85" s="717"/>
      <c r="K85" s="24">
        <f t="shared" si="16"/>
        <v>1</v>
      </c>
      <c r="L85" s="717"/>
      <c r="M85" s="24">
        <f t="shared" si="17"/>
        <v>1</v>
      </c>
      <c r="N85" s="717"/>
      <c r="O85" s="24">
        <f t="shared" si="18"/>
        <v>1</v>
      </c>
      <c r="P85" s="717"/>
      <c r="Q85" s="24">
        <f t="shared" si="19"/>
        <v>1</v>
      </c>
      <c r="R85" s="714">
        <f t="shared" si="20"/>
        <v>0</v>
      </c>
      <c r="S85" s="361">
        <f t="shared" si="22"/>
        <v>0</v>
      </c>
    </row>
    <row r="86" spans="1:19">
      <c r="A86" s="159"/>
      <c r="B86" s="59"/>
      <c r="C86" s="24">
        <f t="shared" si="12"/>
        <v>1</v>
      </c>
      <c r="D86" s="717"/>
      <c r="E86" s="24">
        <f t="shared" si="13"/>
        <v>0</v>
      </c>
      <c r="F86" s="717"/>
      <c r="G86" s="24">
        <f t="shared" si="14"/>
        <v>1</v>
      </c>
      <c r="H86" s="717"/>
      <c r="I86" s="24">
        <f t="shared" si="15"/>
        <v>1</v>
      </c>
      <c r="J86" s="717"/>
      <c r="K86" s="24">
        <f t="shared" si="16"/>
        <v>1</v>
      </c>
      <c r="L86" s="717"/>
      <c r="M86" s="24">
        <f t="shared" si="17"/>
        <v>1</v>
      </c>
      <c r="N86" s="717"/>
      <c r="O86" s="24">
        <f t="shared" si="18"/>
        <v>1</v>
      </c>
      <c r="P86" s="717"/>
      <c r="Q86" s="24">
        <f t="shared" si="19"/>
        <v>1</v>
      </c>
      <c r="R86" s="714">
        <f t="shared" si="20"/>
        <v>0</v>
      </c>
      <c r="S86" s="361">
        <f t="shared" si="22"/>
        <v>0</v>
      </c>
    </row>
    <row r="87" spans="1:19">
      <c r="A87" s="159"/>
      <c r="B87" s="59"/>
      <c r="C87" s="24">
        <f t="shared" si="12"/>
        <v>1</v>
      </c>
      <c r="D87" s="717"/>
      <c r="E87" s="24">
        <f t="shared" si="13"/>
        <v>0</v>
      </c>
      <c r="F87" s="717"/>
      <c r="G87" s="24">
        <f t="shared" si="14"/>
        <v>1</v>
      </c>
      <c r="H87" s="717"/>
      <c r="I87" s="24">
        <f t="shared" si="15"/>
        <v>1</v>
      </c>
      <c r="J87" s="717"/>
      <c r="K87" s="24">
        <f t="shared" si="16"/>
        <v>1</v>
      </c>
      <c r="L87" s="717"/>
      <c r="M87" s="24">
        <f t="shared" si="17"/>
        <v>1</v>
      </c>
      <c r="N87" s="717"/>
      <c r="O87" s="24">
        <f t="shared" si="18"/>
        <v>1</v>
      </c>
      <c r="P87" s="717"/>
      <c r="Q87" s="24">
        <f t="shared" si="19"/>
        <v>1</v>
      </c>
      <c r="R87" s="714">
        <f t="shared" si="20"/>
        <v>0</v>
      </c>
      <c r="S87" s="361">
        <f t="shared" si="22"/>
        <v>0</v>
      </c>
    </row>
    <row r="88" spans="1:19">
      <c r="A88" s="159"/>
      <c r="B88" s="59"/>
      <c r="C88" s="24">
        <f t="shared" si="12"/>
        <v>1</v>
      </c>
      <c r="D88" s="717"/>
      <c r="E88" s="24">
        <f t="shared" si="13"/>
        <v>0</v>
      </c>
      <c r="F88" s="717"/>
      <c r="G88" s="24">
        <f t="shared" si="14"/>
        <v>1</v>
      </c>
      <c r="H88" s="717"/>
      <c r="I88" s="24">
        <f t="shared" si="15"/>
        <v>1</v>
      </c>
      <c r="J88" s="717"/>
      <c r="K88" s="24">
        <f t="shared" si="16"/>
        <v>1</v>
      </c>
      <c r="L88" s="717"/>
      <c r="M88" s="24">
        <f t="shared" si="17"/>
        <v>1</v>
      </c>
      <c r="N88" s="717"/>
      <c r="O88" s="24">
        <f t="shared" si="18"/>
        <v>1</v>
      </c>
      <c r="P88" s="717"/>
      <c r="Q88" s="24">
        <f t="shared" si="19"/>
        <v>1</v>
      </c>
      <c r="R88" s="714">
        <f t="shared" si="20"/>
        <v>0</v>
      </c>
      <c r="S88" s="361">
        <f t="shared" si="22"/>
        <v>0</v>
      </c>
    </row>
    <row r="89" spans="1:19">
      <c r="A89" s="159"/>
      <c r="B89" s="59"/>
      <c r="C89" s="24">
        <f t="shared" si="12"/>
        <v>1</v>
      </c>
      <c r="D89" s="717"/>
      <c r="E89" s="24">
        <f t="shared" si="13"/>
        <v>0</v>
      </c>
      <c r="F89" s="717"/>
      <c r="G89" s="24">
        <f t="shared" si="14"/>
        <v>1</v>
      </c>
      <c r="H89" s="717"/>
      <c r="I89" s="24">
        <f t="shared" si="15"/>
        <v>1</v>
      </c>
      <c r="J89" s="717"/>
      <c r="K89" s="24">
        <f t="shared" si="16"/>
        <v>1</v>
      </c>
      <c r="L89" s="717"/>
      <c r="M89" s="24">
        <f t="shared" si="17"/>
        <v>1</v>
      </c>
      <c r="N89" s="717"/>
      <c r="O89" s="24">
        <f t="shared" si="18"/>
        <v>1</v>
      </c>
      <c r="P89" s="717"/>
      <c r="Q89" s="24">
        <f t="shared" si="19"/>
        <v>1</v>
      </c>
      <c r="R89" s="714">
        <f t="shared" si="20"/>
        <v>0</v>
      </c>
      <c r="S89" s="361">
        <f t="shared" si="22"/>
        <v>0</v>
      </c>
    </row>
    <row r="90" spans="1:19">
      <c r="A90" s="159"/>
      <c r="B90" s="59"/>
      <c r="C90" s="24">
        <f t="shared" ref="C90:C153" si="23">IF(B90="",1,(LOOKUP(B90,$3:$3,$4:$4)-LOOKUP($B$24,$3:$3,$4:$4)+100)/100)</f>
        <v>1</v>
      </c>
      <c r="D90" s="717"/>
      <c r="E90" s="24">
        <f t="shared" ref="E90:E153" si="24">(SUMIF($5:$5,D90,$6:$6)-SUMIF($5:$5,$D$24,$6:$6)+100)/100</f>
        <v>0</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7"/>
      <c r="E91" s="24">
        <f t="shared" si="24"/>
        <v>0</v>
      </c>
      <c r="F91" s="717"/>
      <c r="G91" s="24">
        <f t="shared" si="25"/>
        <v>1</v>
      </c>
      <c r="H91" s="717"/>
      <c r="I91" s="24">
        <f t="shared" si="26"/>
        <v>1</v>
      </c>
      <c r="J91" s="717"/>
      <c r="K91" s="24">
        <f t="shared" si="27"/>
        <v>1</v>
      </c>
      <c r="L91" s="717"/>
      <c r="M91" s="24">
        <f t="shared" si="28"/>
        <v>1</v>
      </c>
      <c r="N91" s="717"/>
      <c r="O91" s="24">
        <f t="shared" si="29"/>
        <v>1</v>
      </c>
      <c r="P91" s="717"/>
      <c r="Q91" s="24">
        <f t="shared" si="30"/>
        <v>1</v>
      </c>
      <c r="R91" s="714">
        <f t="shared" si="31"/>
        <v>0</v>
      </c>
      <c r="S91" s="361">
        <f t="shared" si="22"/>
        <v>0</v>
      </c>
    </row>
    <row r="92" spans="1:19">
      <c r="A92" s="159"/>
      <c r="B92" s="59"/>
      <c r="C92" s="24">
        <f t="shared" si="23"/>
        <v>1</v>
      </c>
      <c r="D92" s="717"/>
      <c r="E92" s="24">
        <f t="shared" si="24"/>
        <v>0</v>
      </c>
      <c r="F92" s="717"/>
      <c r="G92" s="24">
        <f t="shared" si="25"/>
        <v>1</v>
      </c>
      <c r="H92" s="717"/>
      <c r="I92" s="24">
        <f t="shared" si="26"/>
        <v>1</v>
      </c>
      <c r="J92" s="717"/>
      <c r="K92" s="24">
        <f t="shared" si="27"/>
        <v>1</v>
      </c>
      <c r="L92" s="717"/>
      <c r="M92" s="24">
        <f t="shared" si="28"/>
        <v>1</v>
      </c>
      <c r="N92" s="717"/>
      <c r="O92" s="24">
        <f t="shared" si="29"/>
        <v>1</v>
      </c>
      <c r="P92" s="717"/>
      <c r="Q92" s="24">
        <f t="shared" si="30"/>
        <v>1</v>
      </c>
      <c r="R92" s="714">
        <f t="shared" si="31"/>
        <v>0</v>
      </c>
      <c r="S92" s="361">
        <f t="shared" si="22"/>
        <v>0</v>
      </c>
    </row>
    <row r="93" spans="1:19">
      <c r="A93" s="159"/>
      <c r="B93" s="59"/>
      <c r="C93" s="24">
        <f t="shared" si="23"/>
        <v>1</v>
      </c>
      <c r="D93" s="717"/>
      <c r="E93" s="24">
        <f t="shared" si="24"/>
        <v>0</v>
      </c>
      <c r="F93" s="717"/>
      <c r="G93" s="24">
        <f t="shared" si="25"/>
        <v>1</v>
      </c>
      <c r="H93" s="717"/>
      <c r="I93" s="24">
        <f t="shared" si="26"/>
        <v>1</v>
      </c>
      <c r="J93" s="717"/>
      <c r="K93" s="24">
        <f t="shared" si="27"/>
        <v>1</v>
      </c>
      <c r="L93" s="717"/>
      <c r="M93" s="24">
        <f t="shared" si="28"/>
        <v>1</v>
      </c>
      <c r="N93" s="717"/>
      <c r="O93" s="24">
        <f t="shared" si="29"/>
        <v>1</v>
      </c>
      <c r="P93" s="717"/>
      <c r="Q93" s="24">
        <f t="shared" si="30"/>
        <v>1</v>
      </c>
      <c r="R93" s="714">
        <f t="shared" si="31"/>
        <v>0</v>
      </c>
      <c r="S93" s="361">
        <f t="shared" si="22"/>
        <v>0</v>
      </c>
    </row>
    <row r="94" spans="1:19">
      <c r="A94" s="159"/>
      <c r="B94" s="59"/>
      <c r="C94" s="24">
        <f t="shared" si="23"/>
        <v>1</v>
      </c>
      <c r="D94" s="717"/>
      <c r="E94" s="24">
        <f t="shared" si="24"/>
        <v>0</v>
      </c>
      <c r="F94" s="717"/>
      <c r="G94" s="24">
        <f t="shared" si="25"/>
        <v>1</v>
      </c>
      <c r="H94" s="717"/>
      <c r="I94" s="24">
        <f t="shared" si="26"/>
        <v>1</v>
      </c>
      <c r="J94" s="717"/>
      <c r="K94" s="24">
        <f t="shared" si="27"/>
        <v>1</v>
      </c>
      <c r="L94" s="717"/>
      <c r="M94" s="24">
        <f t="shared" si="28"/>
        <v>1</v>
      </c>
      <c r="N94" s="717"/>
      <c r="O94" s="24">
        <f t="shared" si="29"/>
        <v>1</v>
      </c>
      <c r="P94" s="717"/>
      <c r="Q94" s="24">
        <f t="shared" si="30"/>
        <v>1</v>
      </c>
      <c r="R94" s="714">
        <f t="shared" si="31"/>
        <v>0</v>
      </c>
      <c r="S94" s="361">
        <f t="shared" si="22"/>
        <v>0</v>
      </c>
    </row>
    <row r="95" spans="1:19">
      <c r="A95" s="159"/>
      <c r="B95" s="59"/>
      <c r="C95" s="24">
        <f t="shared" si="23"/>
        <v>1</v>
      </c>
      <c r="D95" s="717"/>
      <c r="E95" s="24">
        <f t="shared" si="24"/>
        <v>0</v>
      </c>
      <c r="F95" s="717"/>
      <c r="G95" s="24">
        <f t="shared" si="25"/>
        <v>1</v>
      </c>
      <c r="H95" s="717"/>
      <c r="I95" s="24">
        <f t="shared" si="26"/>
        <v>1</v>
      </c>
      <c r="J95" s="717"/>
      <c r="K95" s="24">
        <f t="shared" si="27"/>
        <v>1</v>
      </c>
      <c r="L95" s="717"/>
      <c r="M95" s="24">
        <f t="shared" si="28"/>
        <v>1</v>
      </c>
      <c r="N95" s="717"/>
      <c r="O95" s="24">
        <f t="shared" si="29"/>
        <v>1</v>
      </c>
      <c r="P95" s="717"/>
      <c r="Q95" s="24">
        <f t="shared" si="30"/>
        <v>1</v>
      </c>
      <c r="R95" s="714">
        <f t="shared" si="31"/>
        <v>0</v>
      </c>
      <c r="S95" s="361">
        <f t="shared" si="22"/>
        <v>0</v>
      </c>
    </row>
    <row r="96" spans="1:19">
      <c r="A96" s="159"/>
      <c r="B96" s="59"/>
      <c r="C96" s="24">
        <f t="shared" si="23"/>
        <v>1</v>
      </c>
      <c r="D96" s="717"/>
      <c r="E96" s="24">
        <f t="shared" si="24"/>
        <v>0</v>
      </c>
      <c r="F96" s="717"/>
      <c r="G96" s="24">
        <f t="shared" si="25"/>
        <v>1</v>
      </c>
      <c r="H96" s="717"/>
      <c r="I96" s="24">
        <f t="shared" si="26"/>
        <v>1</v>
      </c>
      <c r="J96" s="717"/>
      <c r="K96" s="24">
        <f t="shared" si="27"/>
        <v>1</v>
      </c>
      <c r="L96" s="717"/>
      <c r="M96" s="24">
        <f t="shared" si="28"/>
        <v>1</v>
      </c>
      <c r="N96" s="717"/>
      <c r="O96" s="24">
        <f t="shared" si="29"/>
        <v>1</v>
      </c>
      <c r="P96" s="717"/>
      <c r="Q96" s="24">
        <f t="shared" si="30"/>
        <v>1</v>
      </c>
      <c r="R96" s="714">
        <f t="shared" si="31"/>
        <v>0</v>
      </c>
      <c r="S96" s="361">
        <f t="shared" si="22"/>
        <v>0</v>
      </c>
    </row>
    <row r="97" spans="1:19">
      <c r="A97" s="159"/>
      <c r="B97" s="59"/>
      <c r="C97" s="24">
        <f t="shared" si="23"/>
        <v>1</v>
      </c>
      <c r="D97" s="717"/>
      <c r="E97" s="24">
        <f t="shared" si="24"/>
        <v>0</v>
      </c>
      <c r="F97" s="717"/>
      <c r="G97" s="24">
        <f t="shared" si="25"/>
        <v>1</v>
      </c>
      <c r="H97" s="717"/>
      <c r="I97" s="24">
        <f t="shared" si="26"/>
        <v>1</v>
      </c>
      <c r="J97" s="717"/>
      <c r="K97" s="24">
        <f t="shared" si="27"/>
        <v>1</v>
      </c>
      <c r="L97" s="717"/>
      <c r="M97" s="24">
        <f t="shared" si="28"/>
        <v>1</v>
      </c>
      <c r="N97" s="717"/>
      <c r="O97" s="24">
        <f t="shared" si="29"/>
        <v>1</v>
      </c>
      <c r="P97" s="717"/>
      <c r="Q97" s="24">
        <f t="shared" si="30"/>
        <v>1</v>
      </c>
      <c r="R97" s="714">
        <f t="shared" si="31"/>
        <v>0</v>
      </c>
      <c r="S97" s="361">
        <f t="shared" si="22"/>
        <v>0</v>
      </c>
    </row>
    <row r="98" spans="1:19">
      <c r="A98" s="159"/>
      <c r="B98" s="59"/>
      <c r="C98" s="24">
        <f t="shared" si="23"/>
        <v>1</v>
      </c>
      <c r="D98" s="717"/>
      <c r="E98" s="24">
        <f t="shared" si="24"/>
        <v>0</v>
      </c>
      <c r="F98" s="717"/>
      <c r="G98" s="24">
        <f t="shared" si="25"/>
        <v>1</v>
      </c>
      <c r="H98" s="717"/>
      <c r="I98" s="24">
        <f t="shared" si="26"/>
        <v>1</v>
      </c>
      <c r="J98" s="717"/>
      <c r="K98" s="24">
        <f t="shared" si="27"/>
        <v>1</v>
      </c>
      <c r="L98" s="717"/>
      <c r="M98" s="24">
        <f t="shared" si="28"/>
        <v>1</v>
      </c>
      <c r="N98" s="717"/>
      <c r="O98" s="24">
        <f t="shared" si="29"/>
        <v>1</v>
      </c>
      <c r="P98" s="717"/>
      <c r="Q98" s="24">
        <f t="shared" si="30"/>
        <v>1</v>
      </c>
      <c r="R98" s="714">
        <f t="shared" si="31"/>
        <v>0</v>
      </c>
      <c r="S98" s="361">
        <f t="shared" si="22"/>
        <v>0</v>
      </c>
    </row>
    <row r="99" spans="1:19">
      <c r="A99" s="159"/>
      <c r="B99" s="59"/>
      <c r="C99" s="24">
        <f t="shared" si="23"/>
        <v>1</v>
      </c>
      <c r="D99" s="717"/>
      <c r="E99" s="24">
        <f t="shared" si="24"/>
        <v>0</v>
      </c>
      <c r="F99" s="717"/>
      <c r="G99" s="24">
        <f t="shared" si="25"/>
        <v>1</v>
      </c>
      <c r="H99" s="717"/>
      <c r="I99" s="24">
        <f t="shared" si="26"/>
        <v>1</v>
      </c>
      <c r="J99" s="717"/>
      <c r="K99" s="24">
        <f t="shared" si="27"/>
        <v>1</v>
      </c>
      <c r="L99" s="717"/>
      <c r="M99" s="24">
        <f t="shared" si="28"/>
        <v>1</v>
      </c>
      <c r="N99" s="717"/>
      <c r="O99" s="24">
        <f t="shared" si="29"/>
        <v>1</v>
      </c>
      <c r="P99" s="717"/>
      <c r="Q99" s="24">
        <f t="shared" si="30"/>
        <v>1</v>
      </c>
      <c r="R99" s="714">
        <f t="shared" si="31"/>
        <v>0</v>
      </c>
      <c r="S99" s="361">
        <f t="shared" si="22"/>
        <v>0</v>
      </c>
    </row>
    <row r="100" spans="1:19">
      <c r="A100" s="159"/>
      <c r="B100" s="59"/>
      <c r="C100" s="24">
        <f t="shared" si="23"/>
        <v>1</v>
      </c>
      <c r="D100" s="717"/>
      <c r="E100" s="24">
        <f t="shared" si="24"/>
        <v>0</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4">
        <f t="shared" si="31"/>
        <v>0</v>
      </c>
      <c r="S100" s="361">
        <f t="shared" si="22"/>
        <v>0</v>
      </c>
    </row>
    <row r="101" spans="1:19">
      <c r="A101" s="159"/>
      <c r="B101" s="59"/>
      <c r="C101" s="24">
        <f t="shared" si="23"/>
        <v>1</v>
      </c>
      <c r="D101" s="717"/>
      <c r="E101" s="24">
        <f t="shared" si="24"/>
        <v>0</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4">
        <f t="shared" si="31"/>
        <v>0</v>
      </c>
      <c r="S101" s="361">
        <f t="shared" si="22"/>
        <v>0</v>
      </c>
    </row>
    <row r="102" spans="1:19">
      <c r="A102" s="159"/>
      <c r="B102" s="59"/>
      <c r="C102" s="24">
        <f t="shared" si="23"/>
        <v>1</v>
      </c>
      <c r="D102" s="717"/>
      <c r="E102" s="24">
        <f t="shared" si="24"/>
        <v>0</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4">
        <f t="shared" si="31"/>
        <v>0</v>
      </c>
      <c r="S102" s="361">
        <f t="shared" si="22"/>
        <v>0</v>
      </c>
    </row>
    <row r="103" spans="1:19">
      <c r="A103" s="159"/>
      <c r="B103" s="59"/>
      <c r="C103" s="24">
        <f t="shared" si="23"/>
        <v>1</v>
      </c>
      <c r="D103" s="717"/>
      <c r="E103" s="24">
        <f t="shared" si="24"/>
        <v>0</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4">
        <f t="shared" si="31"/>
        <v>0</v>
      </c>
      <c r="S103" s="361">
        <f t="shared" si="22"/>
        <v>0</v>
      </c>
    </row>
    <row r="104" spans="1:19">
      <c r="A104" s="159"/>
      <c r="B104" s="59"/>
      <c r="C104" s="24">
        <f t="shared" si="23"/>
        <v>1</v>
      </c>
      <c r="D104" s="717"/>
      <c r="E104" s="24">
        <f t="shared" si="24"/>
        <v>0</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4">
        <f t="shared" si="31"/>
        <v>0</v>
      </c>
      <c r="S104" s="361">
        <f t="shared" si="22"/>
        <v>0</v>
      </c>
    </row>
    <row r="105" spans="1:19">
      <c r="A105" s="159"/>
      <c r="B105" s="59"/>
      <c r="C105" s="24">
        <f t="shared" si="23"/>
        <v>1</v>
      </c>
      <c r="D105" s="717"/>
      <c r="E105" s="24">
        <f t="shared" si="24"/>
        <v>0</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4">
        <f t="shared" si="31"/>
        <v>0</v>
      </c>
      <c r="S105" s="361">
        <f t="shared" si="22"/>
        <v>0</v>
      </c>
    </row>
    <row r="106" spans="1:19">
      <c r="A106" s="159"/>
      <c r="B106" s="59"/>
      <c r="C106" s="24">
        <f t="shared" si="23"/>
        <v>1</v>
      </c>
      <c r="D106" s="717"/>
      <c r="E106" s="24">
        <f t="shared" si="24"/>
        <v>0</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4">
        <f t="shared" si="31"/>
        <v>0</v>
      </c>
      <c r="S106" s="361">
        <f t="shared" si="22"/>
        <v>0</v>
      </c>
    </row>
    <row r="107" spans="1:19">
      <c r="A107" s="159"/>
      <c r="B107" s="59"/>
      <c r="C107" s="24">
        <f t="shared" si="23"/>
        <v>1</v>
      </c>
      <c r="D107" s="717"/>
      <c r="E107" s="24">
        <f t="shared" si="24"/>
        <v>0</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4">
        <f t="shared" si="31"/>
        <v>0</v>
      </c>
      <c r="S107" s="361">
        <f t="shared" si="22"/>
        <v>0</v>
      </c>
    </row>
    <row r="108" spans="1:19">
      <c r="A108" s="159"/>
      <c r="B108" s="59"/>
      <c r="C108" s="24">
        <f t="shared" si="23"/>
        <v>1</v>
      </c>
      <c r="D108" s="717"/>
      <c r="E108" s="24">
        <f t="shared" si="24"/>
        <v>0</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4">
        <f t="shared" si="31"/>
        <v>0</v>
      </c>
      <c r="S108" s="361">
        <f t="shared" si="22"/>
        <v>0</v>
      </c>
    </row>
    <row r="109" spans="1:19">
      <c r="A109" s="159"/>
      <c r="B109" s="59"/>
      <c r="C109" s="24">
        <f t="shared" si="23"/>
        <v>1</v>
      </c>
      <c r="D109" s="717"/>
      <c r="E109" s="24">
        <f t="shared" si="24"/>
        <v>0</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4">
        <f t="shared" si="31"/>
        <v>0</v>
      </c>
      <c r="S109" s="361">
        <f t="shared" si="22"/>
        <v>0</v>
      </c>
    </row>
    <row r="110" spans="1:19">
      <c r="A110" s="159"/>
      <c r="B110" s="59"/>
      <c r="C110" s="24">
        <f t="shared" si="23"/>
        <v>1</v>
      </c>
      <c r="D110" s="717"/>
      <c r="E110" s="24">
        <f t="shared" si="24"/>
        <v>0</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4">
        <f t="shared" si="31"/>
        <v>0</v>
      </c>
      <c r="S110" s="361">
        <f t="shared" si="22"/>
        <v>0</v>
      </c>
    </row>
    <row r="111" spans="1:19">
      <c r="A111" s="159"/>
      <c r="B111" s="59"/>
      <c r="C111" s="24">
        <f t="shared" si="23"/>
        <v>1</v>
      </c>
      <c r="D111" s="717"/>
      <c r="E111" s="24">
        <f t="shared" si="24"/>
        <v>0</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4">
        <f t="shared" si="31"/>
        <v>0</v>
      </c>
      <c r="S111" s="361">
        <f t="shared" si="22"/>
        <v>0</v>
      </c>
    </row>
    <row r="112" spans="1:19">
      <c r="A112" s="159"/>
      <c r="B112" s="59"/>
      <c r="C112" s="24">
        <f t="shared" si="23"/>
        <v>1</v>
      </c>
      <c r="D112" s="717"/>
      <c r="E112" s="24">
        <f t="shared" si="24"/>
        <v>0</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4">
        <f t="shared" si="31"/>
        <v>0</v>
      </c>
      <c r="S112" s="361">
        <f t="shared" si="22"/>
        <v>0</v>
      </c>
    </row>
    <row r="113" spans="1:19">
      <c r="A113" s="159"/>
      <c r="B113" s="59"/>
      <c r="C113" s="24">
        <f t="shared" si="23"/>
        <v>1</v>
      </c>
      <c r="D113" s="717"/>
      <c r="E113" s="24">
        <f t="shared" si="24"/>
        <v>0</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4">
        <f t="shared" si="31"/>
        <v>0</v>
      </c>
      <c r="S113" s="361">
        <f t="shared" si="22"/>
        <v>0</v>
      </c>
    </row>
    <row r="114" spans="1:19">
      <c r="A114" s="159"/>
      <c r="B114" s="59"/>
      <c r="C114" s="24">
        <f t="shared" si="23"/>
        <v>1</v>
      </c>
      <c r="D114" s="717"/>
      <c r="E114" s="24">
        <f t="shared" si="24"/>
        <v>0</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4">
        <f t="shared" si="31"/>
        <v>0</v>
      </c>
      <c r="S114" s="361">
        <f t="shared" si="22"/>
        <v>0</v>
      </c>
    </row>
    <row r="115" spans="1:19">
      <c r="A115" s="159"/>
      <c r="B115" s="59"/>
      <c r="C115" s="24">
        <f t="shared" si="23"/>
        <v>1</v>
      </c>
      <c r="D115" s="717"/>
      <c r="E115" s="24">
        <f t="shared" si="24"/>
        <v>0</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4">
        <f t="shared" si="31"/>
        <v>0</v>
      </c>
      <c r="S115" s="361">
        <f t="shared" si="22"/>
        <v>0</v>
      </c>
    </row>
    <row r="116" spans="1:19">
      <c r="A116" s="159"/>
      <c r="B116" s="59"/>
      <c r="C116" s="24">
        <f t="shared" si="23"/>
        <v>1</v>
      </c>
      <c r="D116" s="717"/>
      <c r="E116" s="24">
        <f t="shared" si="24"/>
        <v>0</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4">
        <f t="shared" si="31"/>
        <v>0</v>
      </c>
      <c r="S116" s="361">
        <f t="shared" si="22"/>
        <v>0</v>
      </c>
    </row>
    <row r="117" spans="1:19">
      <c r="A117" s="159"/>
      <c r="B117" s="59"/>
      <c r="C117" s="24">
        <f t="shared" si="23"/>
        <v>1</v>
      </c>
      <c r="D117" s="717"/>
      <c r="E117" s="24">
        <f t="shared" si="24"/>
        <v>0</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4">
        <f t="shared" si="31"/>
        <v>0</v>
      </c>
      <c r="S117" s="361">
        <f t="shared" si="22"/>
        <v>0</v>
      </c>
    </row>
    <row r="118" spans="1:19">
      <c r="A118" s="159"/>
      <c r="B118" s="59"/>
      <c r="C118" s="24">
        <f t="shared" si="23"/>
        <v>1</v>
      </c>
      <c r="D118" s="717"/>
      <c r="E118" s="24">
        <f t="shared" si="24"/>
        <v>0</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4">
        <f t="shared" si="31"/>
        <v>0</v>
      </c>
      <c r="S118" s="361">
        <f t="shared" si="22"/>
        <v>0</v>
      </c>
    </row>
    <row r="119" spans="1:19">
      <c r="A119" s="159"/>
      <c r="B119" s="59"/>
      <c r="C119" s="24">
        <f t="shared" si="23"/>
        <v>1</v>
      </c>
      <c r="D119" s="717"/>
      <c r="E119" s="24">
        <f t="shared" si="24"/>
        <v>0</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4">
        <f t="shared" si="31"/>
        <v>0</v>
      </c>
      <c r="S119" s="361">
        <f t="shared" si="22"/>
        <v>0</v>
      </c>
    </row>
    <row r="120" spans="1:19">
      <c r="A120" s="159"/>
      <c r="B120" s="59"/>
      <c r="C120" s="24">
        <f t="shared" si="23"/>
        <v>1</v>
      </c>
      <c r="D120" s="717"/>
      <c r="E120" s="24">
        <f t="shared" si="24"/>
        <v>0</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4">
        <f t="shared" si="31"/>
        <v>0</v>
      </c>
      <c r="S120" s="361">
        <f t="shared" si="22"/>
        <v>0</v>
      </c>
    </row>
    <row r="121" spans="1:19">
      <c r="A121" s="159"/>
      <c r="B121" s="59"/>
      <c r="C121" s="24">
        <f t="shared" si="23"/>
        <v>1</v>
      </c>
      <c r="D121" s="717"/>
      <c r="E121" s="24">
        <f t="shared" si="24"/>
        <v>0</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4">
        <f t="shared" si="31"/>
        <v>0</v>
      </c>
      <c r="S121" s="361">
        <f t="shared" si="22"/>
        <v>0</v>
      </c>
    </row>
    <row r="122" spans="1:19">
      <c r="A122" s="159"/>
      <c r="B122" s="59"/>
      <c r="C122" s="24">
        <f t="shared" si="23"/>
        <v>1</v>
      </c>
      <c r="D122" s="717"/>
      <c r="E122" s="24">
        <f t="shared" si="24"/>
        <v>0</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4">
        <f t="shared" si="31"/>
        <v>0</v>
      </c>
      <c r="S122" s="361">
        <f t="shared" si="22"/>
        <v>0</v>
      </c>
    </row>
    <row r="123" spans="1:19">
      <c r="A123" s="159"/>
      <c r="B123" s="59"/>
      <c r="C123" s="24">
        <f t="shared" si="23"/>
        <v>1</v>
      </c>
      <c r="D123" s="717"/>
      <c r="E123" s="24">
        <f t="shared" si="24"/>
        <v>0</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4">
        <f t="shared" si="31"/>
        <v>0</v>
      </c>
      <c r="S123" s="361">
        <f t="shared" ref="S123:S186" si="32">ROUND(R123*B123/10000,0)</f>
        <v>0</v>
      </c>
    </row>
    <row r="124" spans="1:19">
      <c r="A124" s="159"/>
      <c r="B124" s="59"/>
      <c r="C124" s="24">
        <f t="shared" si="23"/>
        <v>1</v>
      </c>
      <c r="D124" s="717"/>
      <c r="E124" s="24">
        <f t="shared" si="24"/>
        <v>0</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4">
        <f t="shared" si="31"/>
        <v>0</v>
      </c>
      <c r="S124" s="361">
        <f t="shared" si="32"/>
        <v>0</v>
      </c>
    </row>
    <row r="125" spans="1:19">
      <c r="A125" s="159"/>
      <c r="B125" s="59"/>
      <c r="C125" s="24">
        <f t="shared" si="23"/>
        <v>1</v>
      </c>
      <c r="D125" s="717"/>
      <c r="E125" s="24">
        <f t="shared" si="24"/>
        <v>0</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4">
        <f t="shared" si="31"/>
        <v>0</v>
      </c>
      <c r="S125" s="361">
        <f t="shared" si="32"/>
        <v>0</v>
      </c>
    </row>
    <row r="126" spans="1:19">
      <c r="A126" s="159"/>
      <c r="B126" s="59"/>
      <c r="C126" s="24">
        <f t="shared" si="23"/>
        <v>1</v>
      </c>
      <c r="D126" s="717"/>
      <c r="E126" s="24">
        <f t="shared" si="24"/>
        <v>0</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4">
        <f t="shared" si="31"/>
        <v>0</v>
      </c>
      <c r="S126" s="361">
        <f t="shared" si="32"/>
        <v>0</v>
      </c>
    </row>
    <row r="127" spans="1:19">
      <c r="A127" s="159"/>
      <c r="B127" s="59"/>
      <c r="C127" s="24">
        <f t="shared" si="23"/>
        <v>1</v>
      </c>
      <c r="D127" s="717"/>
      <c r="E127" s="24">
        <f t="shared" si="24"/>
        <v>0</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4">
        <f t="shared" si="31"/>
        <v>0</v>
      </c>
      <c r="S127" s="361">
        <f t="shared" si="32"/>
        <v>0</v>
      </c>
    </row>
    <row r="128" spans="1:19">
      <c r="A128" s="159"/>
      <c r="B128" s="59"/>
      <c r="C128" s="24">
        <f t="shared" si="23"/>
        <v>1</v>
      </c>
      <c r="D128" s="717"/>
      <c r="E128" s="24">
        <f t="shared" si="24"/>
        <v>0</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4">
        <f t="shared" si="31"/>
        <v>0</v>
      </c>
      <c r="S128" s="361">
        <f t="shared" si="32"/>
        <v>0</v>
      </c>
    </row>
    <row r="129" spans="1:19">
      <c r="A129" s="159"/>
      <c r="B129" s="59"/>
      <c r="C129" s="24">
        <f t="shared" si="23"/>
        <v>1</v>
      </c>
      <c r="D129" s="717"/>
      <c r="E129" s="24">
        <f t="shared" si="24"/>
        <v>0</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4">
        <f t="shared" si="31"/>
        <v>0</v>
      </c>
      <c r="S129" s="361">
        <f t="shared" si="32"/>
        <v>0</v>
      </c>
    </row>
    <row r="130" spans="1:19">
      <c r="A130" s="159"/>
      <c r="B130" s="59"/>
      <c r="C130" s="24">
        <f t="shared" si="23"/>
        <v>1</v>
      </c>
      <c r="D130" s="717"/>
      <c r="E130" s="24">
        <f t="shared" si="24"/>
        <v>0</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4">
        <f t="shared" si="31"/>
        <v>0</v>
      </c>
      <c r="S130" s="361">
        <f t="shared" si="32"/>
        <v>0</v>
      </c>
    </row>
    <row r="131" spans="1:19">
      <c r="A131" s="159"/>
      <c r="B131" s="59"/>
      <c r="C131" s="24">
        <f t="shared" si="23"/>
        <v>1</v>
      </c>
      <c r="D131" s="717"/>
      <c r="E131" s="24">
        <f t="shared" si="24"/>
        <v>0</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4">
        <f t="shared" si="31"/>
        <v>0</v>
      </c>
      <c r="S131" s="361">
        <f t="shared" si="32"/>
        <v>0</v>
      </c>
    </row>
    <row r="132" spans="1:19">
      <c r="A132" s="159"/>
      <c r="B132" s="59"/>
      <c r="C132" s="24">
        <f t="shared" si="23"/>
        <v>1</v>
      </c>
      <c r="D132" s="717"/>
      <c r="E132" s="24">
        <f t="shared" si="24"/>
        <v>0</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4">
        <f t="shared" si="31"/>
        <v>0</v>
      </c>
      <c r="S132" s="361">
        <f t="shared" si="32"/>
        <v>0</v>
      </c>
    </row>
    <row r="133" spans="1:19">
      <c r="A133" s="159"/>
      <c r="B133" s="59"/>
      <c r="C133" s="24">
        <f t="shared" si="23"/>
        <v>1</v>
      </c>
      <c r="D133" s="717"/>
      <c r="E133" s="24">
        <f t="shared" si="24"/>
        <v>0</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4">
        <f t="shared" si="31"/>
        <v>0</v>
      </c>
      <c r="S133" s="361">
        <f t="shared" si="32"/>
        <v>0</v>
      </c>
    </row>
    <row r="134" spans="1:19">
      <c r="A134" s="159"/>
      <c r="B134" s="59"/>
      <c r="C134" s="24">
        <f t="shared" si="23"/>
        <v>1</v>
      </c>
      <c r="D134" s="717"/>
      <c r="E134" s="24">
        <f t="shared" si="24"/>
        <v>0</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4">
        <f t="shared" si="31"/>
        <v>0</v>
      </c>
      <c r="S134" s="361">
        <f t="shared" si="32"/>
        <v>0</v>
      </c>
    </row>
    <row r="135" spans="1:19">
      <c r="A135" s="159"/>
      <c r="B135" s="59"/>
      <c r="C135" s="24">
        <f t="shared" si="23"/>
        <v>1</v>
      </c>
      <c r="D135" s="717"/>
      <c r="E135" s="24">
        <f t="shared" si="24"/>
        <v>0</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4">
        <f t="shared" si="31"/>
        <v>0</v>
      </c>
      <c r="S135" s="361">
        <f t="shared" si="32"/>
        <v>0</v>
      </c>
    </row>
    <row r="136" spans="1:19">
      <c r="A136" s="159"/>
      <c r="B136" s="59"/>
      <c r="C136" s="24">
        <f t="shared" si="23"/>
        <v>1</v>
      </c>
      <c r="D136" s="717"/>
      <c r="E136" s="24">
        <f t="shared" si="24"/>
        <v>0</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4">
        <f t="shared" si="31"/>
        <v>0</v>
      </c>
      <c r="S136" s="361">
        <f t="shared" si="32"/>
        <v>0</v>
      </c>
    </row>
    <row r="137" spans="1:19">
      <c r="A137" s="159"/>
      <c r="B137" s="59"/>
      <c r="C137" s="24">
        <f t="shared" si="23"/>
        <v>1</v>
      </c>
      <c r="D137" s="717"/>
      <c r="E137" s="24">
        <f t="shared" si="24"/>
        <v>0</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4">
        <f t="shared" si="31"/>
        <v>0</v>
      </c>
      <c r="S137" s="361">
        <f t="shared" si="32"/>
        <v>0</v>
      </c>
    </row>
    <row r="138" spans="1:19">
      <c r="A138" s="159"/>
      <c r="B138" s="59"/>
      <c r="C138" s="24">
        <f t="shared" si="23"/>
        <v>1</v>
      </c>
      <c r="D138" s="717"/>
      <c r="E138" s="24">
        <f t="shared" si="24"/>
        <v>0</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4">
        <f t="shared" si="31"/>
        <v>0</v>
      </c>
      <c r="S138" s="361">
        <f t="shared" si="32"/>
        <v>0</v>
      </c>
    </row>
    <row r="139" spans="1:19">
      <c r="A139" s="159"/>
      <c r="B139" s="59"/>
      <c r="C139" s="24">
        <f t="shared" si="23"/>
        <v>1</v>
      </c>
      <c r="D139" s="717"/>
      <c r="E139" s="24">
        <f t="shared" si="24"/>
        <v>0</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4">
        <f t="shared" si="31"/>
        <v>0</v>
      </c>
      <c r="S139" s="361">
        <f t="shared" si="32"/>
        <v>0</v>
      </c>
    </row>
    <row r="140" spans="1:19">
      <c r="A140" s="159"/>
      <c r="B140" s="59"/>
      <c r="C140" s="24">
        <f t="shared" si="23"/>
        <v>1</v>
      </c>
      <c r="D140" s="717"/>
      <c r="E140" s="24">
        <f t="shared" si="24"/>
        <v>0</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4">
        <f t="shared" si="31"/>
        <v>0</v>
      </c>
      <c r="S140" s="361">
        <f t="shared" si="32"/>
        <v>0</v>
      </c>
    </row>
    <row r="141" spans="1:19">
      <c r="A141" s="159"/>
      <c r="B141" s="59"/>
      <c r="C141" s="24">
        <f t="shared" si="23"/>
        <v>1</v>
      </c>
      <c r="D141" s="717"/>
      <c r="E141" s="24">
        <f t="shared" si="24"/>
        <v>0</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4">
        <f t="shared" si="31"/>
        <v>0</v>
      </c>
      <c r="S141" s="361">
        <f t="shared" si="32"/>
        <v>0</v>
      </c>
    </row>
    <row r="142" spans="1:19">
      <c r="A142" s="159"/>
      <c r="B142" s="59"/>
      <c r="C142" s="24">
        <f t="shared" si="23"/>
        <v>1</v>
      </c>
      <c r="D142" s="717"/>
      <c r="E142" s="24">
        <f t="shared" si="24"/>
        <v>0</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4">
        <f t="shared" si="31"/>
        <v>0</v>
      </c>
      <c r="S142" s="361">
        <f t="shared" si="32"/>
        <v>0</v>
      </c>
    </row>
    <row r="143" spans="1:19">
      <c r="A143" s="159"/>
      <c r="B143" s="59"/>
      <c r="C143" s="24">
        <f t="shared" si="23"/>
        <v>1</v>
      </c>
      <c r="D143" s="717"/>
      <c r="E143" s="24">
        <f t="shared" si="24"/>
        <v>0</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4">
        <f t="shared" si="31"/>
        <v>0</v>
      </c>
      <c r="S143" s="361">
        <f t="shared" si="32"/>
        <v>0</v>
      </c>
    </row>
    <row r="144" spans="1:19">
      <c r="A144" s="159"/>
      <c r="B144" s="59"/>
      <c r="C144" s="24">
        <f t="shared" si="23"/>
        <v>1</v>
      </c>
      <c r="D144" s="717"/>
      <c r="E144" s="24">
        <f t="shared" si="24"/>
        <v>0</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4">
        <f t="shared" si="31"/>
        <v>0</v>
      </c>
      <c r="S144" s="361">
        <f t="shared" si="32"/>
        <v>0</v>
      </c>
    </row>
    <row r="145" spans="1:19">
      <c r="A145" s="159"/>
      <c r="B145" s="59"/>
      <c r="C145" s="24">
        <f t="shared" si="23"/>
        <v>1</v>
      </c>
      <c r="D145" s="717"/>
      <c r="E145" s="24">
        <f t="shared" si="24"/>
        <v>0</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4">
        <f t="shared" si="31"/>
        <v>0</v>
      </c>
      <c r="S145" s="361">
        <f t="shared" si="32"/>
        <v>0</v>
      </c>
    </row>
    <row r="146" spans="1:19">
      <c r="A146" s="159"/>
      <c r="B146" s="59"/>
      <c r="C146" s="24">
        <f t="shared" si="23"/>
        <v>1</v>
      </c>
      <c r="D146" s="717"/>
      <c r="E146" s="24">
        <f t="shared" si="24"/>
        <v>0</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4">
        <f t="shared" si="31"/>
        <v>0</v>
      </c>
      <c r="S146" s="361">
        <f t="shared" si="32"/>
        <v>0</v>
      </c>
    </row>
    <row r="147" spans="1:19">
      <c r="A147" s="159"/>
      <c r="B147" s="59"/>
      <c r="C147" s="24">
        <f t="shared" si="23"/>
        <v>1</v>
      </c>
      <c r="D147" s="717"/>
      <c r="E147" s="24">
        <f t="shared" si="24"/>
        <v>0</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4">
        <f t="shared" si="31"/>
        <v>0</v>
      </c>
      <c r="S147" s="361">
        <f t="shared" si="32"/>
        <v>0</v>
      </c>
    </row>
    <row r="148" spans="1:19">
      <c r="A148" s="159"/>
      <c r="B148" s="59"/>
      <c r="C148" s="24">
        <f t="shared" si="23"/>
        <v>1</v>
      </c>
      <c r="D148" s="717"/>
      <c r="E148" s="24">
        <f t="shared" si="24"/>
        <v>0</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4">
        <f t="shared" si="31"/>
        <v>0</v>
      </c>
      <c r="S148" s="361">
        <f t="shared" si="32"/>
        <v>0</v>
      </c>
    </row>
    <row r="149" spans="1:19">
      <c r="A149" s="159"/>
      <c r="B149" s="59"/>
      <c r="C149" s="24">
        <f t="shared" si="23"/>
        <v>1</v>
      </c>
      <c r="D149" s="717"/>
      <c r="E149" s="24">
        <f t="shared" si="24"/>
        <v>0</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4">
        <f t="shared" si="31"/>
        <v>0</v>
      </c>
      <c r="S149" s="361">
        <f t="shared" si="32"/>
        <v>0</v>
      </c>
    </row>
    <row r="150" spans="1:19">
      <c r="A150" s="159"/>
      <c r="B150" s="59"/>
      <c r="C150" s="24">
        <f t="shared" si="23"/>
        <v>1</v>
      </c>
      <c r="D150" s="717"/>
      <c r="E150" s="24">
        <f t="shared" si="24"/>
        <v>0</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4">
        <f t="shared" si="31"/>
        <v>0</v>
      </c>
      <c r="S150" s="361">
        <f t="shared" si="32"/>
        <v>0</v>
      </c>
    </row>
    <row r="151" spans="1:19">
      <c r="A151" s="159"/>
      <c r="B151" s="59"/>
      <c r="C151" s="24">
        <f t="shared" si="23"/>
        <v>1</v>
      </c>
      <c r="D151" s="717"/>
      <c r="E151" s="24">
        <f t="shared" si="24"/>
        <v>0</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4">
        <f t="shared" si="31"/>
        <v>0</v>
      </c>
      <c r="S151" s="361">
        <f t="shared" si="32"/>
        <v>0</v>
      </c>
    </row>
    <row r="152" spans="1:19">
      <c r="A152" s="159"/>
      <c r="B152" s="59"/>
      <c r="C152" s="24">
        <f t="shared" si="23"/>
        <v>1</v>
      </c>
      <c r="D152" s="717"/>
      <c r="E152" s="24">
        <f t="shared" si="24"/>
        <v>0</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4">
        <f t="shared" si="31"/>
        <v>0</v>
      </c>
      <c r="S152" s="361">
        <f t="shared" si="32"/>
        <v>0</v>
      </c>
    </row>
    <row r="153" spans="1:19">
      <c r="A153" s="159"/>
      <c r="B153" s="59"/>
      <c r="C153" s="24">
        <f t="shared" si="23"/>
        <v>1</v>
      </c>
      <c r="D153" s="717"/>
      <c r="E153" s="24">
        <f t="shared" si="24"/>
        <v>0</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4">
        <f t="shared" si="31"/>
        <v>0</v>
      </c>
      <c r="S153" s="361">
        <f t="shared" si="32"/>
        <v>0</v>
      </c>
    </row>
    <row r="154" spans="1:19">
      <c r="A154" s="159"/>
      <c r="B154" s="59"/>
      <c r="C154" s="24">
        <f t="shared" ref="C154:C217" si="33">IF(B154="",1,(LOOKUP(B154,$3:$3,$4:$4)-LOOKUP($B$24,$3:$3,$4:$4)+100)/100)</f>
        <v>1</v>
      </c>
      <c r="D154" s="717"/>
      <c r="E154" s="24">
        <f t="shared" ref="E154:E217" si="34">(SUMIF($5:$5,D154,$6:$6)-SUMIF($5:$5,$D$24,$6:$6)+100)/100</f>
        <v>0</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7"/>
      <c r="E155" s="24">
        <f t="shared" si="34"/>
        <v>0</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4">
        <f t="shared" si="41"/>
        <v>0</v>
      </c>
      <c r="S155" s="361">
        <f t="shared" si="32"/>
        <v>0</v>
      </c>
    </row>
    <row r="156" spans="1:19">
      <c r="A156" s="159"/>
      <c r="B156" s="59"/>
      <c r="C156" s="24">
        <f t="shared" si="33"/>
        <v>1</v>
      </c>
      <c r="D156" s="717"/>
      <c r="E156" s="24">
        <f t="shared" si="34"/>
        <v>0</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4">
        <f t="shared" si="41"/>
        <v>0</v>
      </c>
      <c r="S156" s="361">
        <f t="shared" si="32"/>
        <v>0</v>
      </c>
    </row>
    <row r="157" spans="1:19">
      <c r="A157" s="159"/>
      <c r="B157" s="59"/>
      <c r="C157" s="24">
        <f t="shared" si="33"/>
        <v>1</v>
      </c>
      <c r="D157" s="717"/>
      <c r="E157" s="24">
        <f t="shared" si="34"/>
        <v>0</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4">
        <f t="shared" si="41"/>
        <v>0</v>
      </c>
      <c r="S157" s="361">
        <f t="shared" si="32"/>
        <v>0</v>
      </c>
    </row>
    <row r="158" spans="1:19">
      <c r="A158" s="159"/>
      <c r="B158" s="59"/>
      <c r="C158" s="24">
        <f t="shared" si="33"/>
        <v>1</v>
      </c>
      <c r="D158" s="717"/>
      <c r="E158" s="24">
        <f t="shared" si="34"/>
        <v>0</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4">
        <f t="shared" si="41"/>
        <v>0</v>
      </c>
      <c r="S158" s="361">
        <f t="shared" si="32"/>
        <v>0</v>
      </c>
    </row>
    <row r="159" spans="1:19">
      <c r="A159" s="159"/>
      <c r="B159" s="59"/>
      <c r="C159" s="24">
        <f t="shared" si="33"/>
        <v>1</v>
      </c>
      <c r="D159" s="717"/>
      <c r="E159" s="24">
        <f t="shared" si="34"/>
        <v>0</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4">
        <f t="shared" si="41"/>
        <v>0</v>
      </c>
      <c r="S159" s="361">
        <f t="shared" si="32"/>
        <v>0</v>
      </c>
    </row>
    <row r="160" spans="1:19">
      <c r="A160" s="159"/>
      <c r="B160" s="59"/>
      <c r="C160" s="24">
        <f t="shared" si="33"/>
        <v>1</v>
      </c>
      <c r="D160" s="717"/>
      <c r="E160" s="24">
        <f t="shared" si="34"/>
        <v>0</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4">
        <f t="shared" si="41"/>
        <v>0</v>
      </c>
      <c r="S160" s="361">
        <f t="shared" si="32"/>
        <v>0</v>
      </c>
    </row>
    <row r="161" spans="1:19">
      <c r="A161" s="159"/>
      <c r="B161" s="59"/>
      <c r="C161" s="24">
        <f t="shared" si="33"/>
        <v>1</v>
      </c>
      <c r="D161" s="717"/>
      <c r="E161" s="24">
        <f t="shared" si="34"/>
        <v>0</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4">
        <f t="shared" si="41"/>
        <v>0</v>
      </c>
      <c r="S161" s="361">
        <f t="shared" si="32"/>
        <v>0</v>
      </c>
    </row>
    <row r="162" spans="1:19">
      <c r="A162" s="159"/>
      <c r="B162" s="59"/>
      <c r="C162" s="24">
        <f t="shared" si="33"/>
        <v>1</v>
      </c>
      <c r="D162" s="717"/>
      <c r="E162" s="24">
        <f t="shared" si="34"/>
        <v>0</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4">
        <f t="shared" si="41"/>
        <v>0</v>
      </c>
      <c r="S162" s="361">
        <f t="shared" si="32"/>
        <v>0</v>
      </c>
    </row>
    <row r="163" spans="1:19">
      <c r="A163" s="159"/>
      <c r="B163" s="59"/>
      <c r="C163" s="24">
        <f t="shared" si="33"/>
        <v>1</v>
      </c>
      <c r="D163" s="717"/>
      <c r="E163" s="24">
        <f t="shared" si="34"/>
        <v>0</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4">
        <f t="shared" si="41"/>
        <v>0</v>
      </c>
      <c r="S163" s="361">
        <f t="shared" si="32"/>
        <v>0</v>
      </c>
    </row>
    <row r="164" spans="1:19">
      <c r="A164" s="159"/>
      <c r="B164" s="59"/>
      <c r="C164" s="24">
        <f t="shared" si="33"/>
        <v>1</v>
      </c>
      <c r="D164" s="717"/>
      <c r="E164" s="24">
        <f t="shared" si="34"/>
        <v>0</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4">
        <f t="shared" si="41"/>
        <v>0</v>
      </c>
      <c r="S164" s="361">
        <f t="shared" si="32"/>
        <v>0</v>
      </c>
    </row>
    <row r="165" spans="1:19">
      <c r="A165" s="159"/>
      <c r="B165" s="59"/>
      <c r="C165" s="24">
        <f t="shared" si="33"/>
        <v>1</v>
      </c>
      <c r="D165" s="717"/>
      <c r="E165" s="24">
        <f t="shared" si="34"/>
        <v>0</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4">
        <f t="shared" si="41"/>
        <v>0</v>
      </c>
      <c r="S165" s="361">
        <f t="shared" si="32"/>
        <v>0</v>
      </c>
    </row>
    <row r="166" spans="1:19">
      <c r="A166" s="159"/>
      <c r="B166" s="59"/>
      <c r="C166" s="24">
        <f t="shared" si="33"/>
        <v>1</v>
      </c>
      <c r="D166" s="717"/>
      <c r="E166" s="24">
        <f t="shared" si="34"/>
        <v>0</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4">
        <f t="shared" si="41"/>
        <v>0</v>
      </c>
      <c r="S166" s="361">
        <f t="shared" si="32"/>
        <v>0</v>
      </c>
    </row>
    <row r="167" spans="1:19">
      <c r="A167" s="159"/>
      <c r="B167" s="59"/>
      <c r="C167" s="24">
        <f t="shared" si="33"/>
        <v>1</v>
      </c>
      <c r="D167" s="717"/>
      <c r="E167" s="24">
        <f t="shared" si="34"/>
        <v>0</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4">
        <f t="shared" si="41"/>
        <v>0</v>
      </c>
      <c r="S167" s="361">
        <f t="shared" si="32"/>
        <v>0</v>
      </c>
    </row>
    <row r="168" spans="1:19">
      <c r="A168" s="159"/>
      <c r="B168" s="59"/>
      <c r="C168" s="24">
        <f t="shared" si="33"/>
        <v>1</v>
      </c>
      <c r="D168" s="717"/>
      <c r="E168" s="24">
        <f t="shared" si="34"/>
        <v>0</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4">
        <f t="shared" si="41"/>
        <v>0</v>
      </c>
      <c r="S168" s="361">
        <f t="shared" si="32"/>
        <v>0</v>
      </c>
    </row>
    <row r="169" spans="1:19">
      <c r="A169" s="159"/>
      <c r="B169" s="59"/>
      <c r="C169" s="24">
        <f t="shared" si="33"/>
        <v>1</v>
      </c>
      <c r="D169" s="717"/>
      <c r="E169" s="24">
        <f t="shared" si="34"/>
        <v>0</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4">
        <f t="shared" si="41"/>
        <v>0</v>
      </c>
      <c r="S169" s="361">
        <f t="shared" si="32"/>
        <v>0</v>
      </c>
    </row>
    <row r="170" spans="1:19">
      <c r="A170" s="159"/>
      <c r="B170" s="59"/>
      <c r="C170" s="24">
        <f t="shared" si="33"/>
        <v>1</v>
      </c>
      <c r="D170" s="717"/>
      <c r="E170" s="24">
        <f t="shared" si="34"/>
        <v>0</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4">
        <f t="shared" si="41"/>
        <v>0</v>
      </c>
      <c r="S170" s="361">
        <f t="shared" si="32"/>
        <v>0</v>
      </c>
    </row>
    <row r="171" spans="1:19">
      <c r="A171" s="159"/>
      <c r="B171" s="59"/>
      <c r="C171" s="24">
        <f t="shared" si="33"/>
        <v>1</v>
      </c>
      <c r="D171" s="717"/>
      <c r="E171" s="24">
        <f t="shared" si="34"/>
        <v>0</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4">
        <f t="shared" si="41"/>
        <v>0</v>
      </c>
      <c r="S171" s="361">
        <f t="shared" si="32"/>
        <v>0</v>
      </c>
    </row>
    <row r="172" spans="1:19">
      <c r="A172" s="159"/>
      <c r="B172" s="59"/>
      <c r="C172" s="24">
        <f t="shared" si="33"/>
        <v>1</v>
      </c>
      <c r="D172" s="717"/>
      <c r="E172" s="24">
        <f t="shared" si="34"/>
        <v>0</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4">
        <f t="shared" si="41"/>
        <v>0</v>
      </c>
      <c r="S172" s="361">
        <f t="shared" si="32"/>
        <v>0</v>
      </c>
    </row>
    <row r="173" spans="1:19">
      <c r="A173" s="159"/>
      <c r="B173" s="59"/>
      <c r="C173" s="24">
        <f t="shared" si="33"/>
        <v>1</v>
      </c>
      <c r="D173" s="717"/>
      <c r="E173" s="24">
        <f t="shared" si="34"/>
        <v>0</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4">
        <f t="shared" si="41"/>
        <v>0</v>
      </c>
      <c r="S173" s="361">
        <f t="shared" si="32"/>
        <v>0</v>
      </c>
    </row>
    <row r="174" spans="1:19">
      <c r="A174" s="159"/>
      <c r="B174" s="59"/>
      <c r="C174" s="24">
        <f t="shared" si="33"/>
        <v>1</v>
      </c>
      <c r="D174" s="717"/>
      <c r="E174" s="24">
        <f t="shared" si="34"/>
        <v>0</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4">
        <f t="shared" si="41"/>
        <v>0</v>
      </c>
      <c r="S174" s="361">
        <f t="shared" si="32"/>
        <v>0</v>
      </c>
    </row>
    <row r="175" spans="1:19">
      <c r="A175" s="159"/>
      <c r="B175" s="59"/>
      <c r="C175" s="24">
        <f t="shared" si="33"/>
        <v>1</v>
      </c>
      <c r="D175" s="717"/>
      <c r="E175" s="24">
        <f t="shared" si="34"/>
        <v>0</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4">
        <f t="shared" si="41"/>
        <v>0</v>
      </c>
      <c r="S175" s="361">
        <f t="shared" si="32"/>
        <v>0</v>
      </c>
    </row>
    <row r="176" spans="1:19">
      <c r="A176" s="159"/>
      <c r="B176" s="59"/>
      <c r="C176" s="24">
        <f t="shared" si="33"/>
        <v>1</v>
      </c>
      <c r="D176" s="717"/>
      <c r="E176" s="24">
        <f t="shared" si="34"/>
        <v>0</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4">
        <f t="shared" si="41"/>
        <v>0</v>
      </c>
      <c r="S176" s="361">
        <f t="shared" si="32"/>
        <v>0</v>
      </c>
    </row>
    <row r="177" spans="1:19">
      <c r="A177" s="159"/>
      <c r="B177" s="59"/>
      <c r="C177" s="24">
        <f t="shared" si="33"/>
        <v>1</v>
      </c>
      <c r="D177" s="717"/>
      <c r="E177" s="24">
        <f t="shared" si="34"/>
        <v>0</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4">
        <f t="shared" si="41"/>
        <v>0</v>
      </c>
      <c r="S177" s="361">
        <f t="shared" si="32"/>
        <v>0</v>
      </c>
    </row>
    <row r="178" spans="1:19">
      <c r="A178" s="159"/>
      <c r="B178" s="59"/>
      <c r="C178" s="24">
        <f t="shared" si="33"/>
        <v>1</v>
      </c>
      <c r="D178" s="717"/>
      <c r="E178" s="24">
        <f t="shared" si="34"/>
        <v>0</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4">
        <f t="shared" si="41"/>
        <v>0</v>
      </c>
      <c r="S178" s="361">
        <f t="shared" si="32"/>
        <v>0</v>
      </c>
    </row>
    <row r="179" spans="1:19">
      <c r="A179" s="159"/>
      <c r="B179" s="59"/>
      <c r="C179" s="24">
        <f t="shared" si="33"/>
        <v>1</v>
      </c>
      <c r="D179" s="717"/>
      <c r="E179" s="24">
        <f t="shared" si="34"/>
        <v>0</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4">
        <f t="shared" si="41"/>
        <v>0</v>
      </c>
      <c r="S179" s="361">
        <f t="shared" si="32"/>
        <v>0</v>
      </c>
    </row>
    <row r="180" spans="1:19">
      <c r="A180" s="159"/>
      <c r="B180" s="59"/>
      <c r="C180" s="24">
        <f t="shared" si="33"/>
        <v>1</v>
      </c>
      <c r="D180" s="717"/>
      <c r="E180" s="24">
        <f t="shared" si="34"/>
        <v>0</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4">
        <f t="shared" si="41"/>
        <v>0</v>
      </c>
      <c r="S180" s="361">
        <f t="shared" si="32"/>
        <v>0</v>
      </c>
    </row>
    <row r="181" spans="1:19">
      <c r="A181" s="159"/>
      <c r="B181" s="59"/>
      <c r="C181" s="24">
        <f t="shared" si="33"/>
        <v>1</v>
      </c>
      <c r="D181" s="717"/>
      <c r="E181" s="24">
        <f t="shared" si="34"/>
        <v>0</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4">
        <f t="shared" si="41"/>
        <v>0</v>
      </c>
      <c r="S181" s="361">
        <f t="shared" si="32"/>
        <v>0</v>
      </c>
    </row>
    <row r="182" spans="1:19">
      <c r="A182" s="159"/>
      <c r="B182" s="59"/>
      <c r="C182" s="24">
        <f t="shared" si="33"/>
        <v>1</v>
      </c>
      <c r="D182" s="717"/>
      <c r="E182" s="24">
        <f t="shared" si="34"/>
        <v>0</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4">
        <f t="shared" si="41"/>
        <v>0</v>
      </c>
      <c r="S182" s="361">
        <f t="shared" si="32"/>
        <v>0</v>
      </c>
    </row>
    <row r="183" spans="1:19">
      <c r="A183" s="159"/>
      <c r="B183" s="59"/>
      <c r="C183" s="24">
        <f t="shared" si="33"/>
        <v>1</v>
      </c>
      <c r="D183" s="717"/>
      <c r="E183" s="24">
        <f t="shared" si="34"/>
        <v>0</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4">
        <f t="shared" si="41"/>
        <v>0</v>
      </c>
      <c r="S183" s="361">
        <f t="shared" si="32"/>
        <v>0</v>
      </c>
    </row>
    <row r="184" spans="1:19">
      <c r="A184" s="159"/>
      <c r="B184" s="59"/>
      <c r="C184" s="24">
        <f t="shared" si="33"/>
        <v>1</v>
      </c>
      <c r="D184" s="717"/>
      <c r="E184" s="24">
        <f t="shared" si="34"/>
        <v>0</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4">
        <f t="shared" si="41"/>
        <v>0</v>
      </c>
      <c r="S184" s="361">
        <f t="shared" si="32"/>
        <v>0</v>
      </c>
    </row>
    <row r="185" spans="1:19">
      <c r="A185" s="159"/>
      <c r="B185" s="59"/>
      <c r="C185" s="24">
        <f t="shared" si="33"/>
        <v>1</v>
      </c>
      <c r="D185" s="717"/>
      <c r="E185" s="24">
        <f t="shared" si="34"/>
        <v>0</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4">
        <f t="shared" si="41"/>
        <v>0</v>
      </c>
      <c r="S185" s="361">
        <f t="shared" si="32"/>
        <v>0</v>
      </c>
    </row>
    <row r="186" spans="1:19">
      <c r="A186" s="159"/>
      <c r="B186" s="59"/>
      <c r="C186" s="24">
        <f t="shared" si="33"/>
        <v>1</v>
      </c>
      <c r="D186" s="717"/>
      <c r="E186" s="24">
        <f t="shared" si="34"/>
        <v>0</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4">
        <f t="shared" si="41"/>
        <v>0</v>
      </c>
      <c r="S186" s="361">
        <f t="shared" si="32"/>
        <v>0</v>
      </c>
    </row>
    <row r="187" spans="1:19">
      <c r="A187" s="159"/>
      <c r="B187" s="59"/>
      <c r="C187" s="24">
        <f t="shared" si="33"/>
        <v>1</v>
      </c>
      <c r="D187" s="717"/>
      <c r="E187" s="24">
        <f t="shared" si="34"/>
        <v>0</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4">
        <f t="shared" si="41"/>
        <v>0</v>
      </c>
      <c r="S187" s="361">
        <f t="shared" ref="S187:S222" si="42">ROUND(R187*B187/10000,0)</f>
        <v>0</v>
      </c>
    </row>
    <row r="188" spans="1:19">
      <c r="A188" s="159"/>
      <c r="B188" s="59"/>
      <c r="C188" s="24">
        <f t="shared" si="33"/>
        <v>1</v>
      </c>
      <c r="D188" s="717"/>
      <c r="E188" s="24">
        <f t="shared" si="34"/>
        <v>0</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4">
        <f t="shared" si="41"/>
        <v>0</v>
      </c>
      <c r="S188" s="361">
        <f t="shared" si="42"/>
        <v>0</v>
      </c>
    </row>
    <row r="189" spans="1:19">
      <c r="A189" s="159"/>
      <c r="B189" s="59"/>
      <c r="C189" s="24">
        <f t="shared" si="33"/>
        <v>1</v>
      </c>
      <c r="D189" s="717"/>
      <c r="E189" s="24">
        <f t="shared" si="34"/>
        <v>0</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4">
        <f t="shared" si="41"/>
        <v>0</v>
      </c>
      <c r="S189" s="361">
        <f t="shared" si="42"/>
        <v>0</v>
      </c>
    </row>
    <row r="190" spans="1:19">
      <c r="A190" s="159"/>
      <c r="B190" s="59"/>
      <c r="C190" s="24">
        <f t="shared" si="33"/>
        <v>1</v>
      </c>
      <c r="D190" s="717"/>
      <c r="E190" s="24">
        <f t="shared" si="34"/>
        <v>0</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4">
        <f t="shared" si="41"/>
        <v>0</v>
      </c>
      <c r="S190" s="361">
        <f t="shared" si="42"/>
        <v>0</v>
      </c>
    </row>
    <row r="191" spans="1:19">
      <c r="A191" s="159"/>
      <c r="B191" s="59"/>
      <c r="C191" s="24">
        <f t="shared" si="33"/>
        <v>1</v>
      </c>
      <c r="D191" s="717"/>
      <c r="E191" s="24">
        <f t="shared" si="34"/>
        <v>0</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4">
        <f t="shared" si="41"/>
        <v>0</v>
      </c>
      <c r="S191" s="361">
        <f t="shared" si="42"/>
        <v>0</v>
      </c>
    </row>
    <row r="192" spans="1:19">
      <c r="A192" s="159"/>
      <c r="B192" s="59"/>
      <c r="C192" s="24">
        <f t="shared" si="33"/>
        <v>1</v>
      </c>
      <c r="D192" s="717"/>
      <c r="E192" s="24">
        <f t="shared" si="34"/>
        <v>0</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4">
        <f t="shared" si="41"/>
        <v>0</v>
      </c>
      <c r="S192" s="361">
        <f t="shared" si="42"/>
        <v>0</v>
      </c>
    </row>
    <row r="193" spans="1:19">
      <c r="A193" s="159"/>
      <c r="B193" s="59"/>
      <c r="C193" s="24">
        <f t="shared" si="33"/>
        <v>1</v>
      </c>
      <c r="D193" s="717"/>
      <c r="E193" s="24">
        <f t="shared" si="34"/>
        <v>0</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4">
        <f t="shared" si="41"/>
        <v>0</v>
      </c>
      <c r="S193" s="361">
        <f t="shared" si="42"/>
        <v>0</v>
      </c>
    </row>
    <row r="194" spans="1:19">
      <c r="A194" s="159"/>
      <c r="B194" s="59"/>
      <c r="C194" s="24">
        <f t="shared" si="33"/>
        <v>1</v>
      </c>
      <c r="D194" s="717"/>
      <c r="E194" s="24">
        <f t="shared" si="34"/>
        <v>0</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4">
        <f t="shared" si="41"/>
        <v>0</v>
      </c>
      <c r="S194" s="361">
        <f t="shared" si="42"/>
        <v>0</v>
      </c>
    </row>
    <row r="195" spans="1:19">
      <c r="A195" s="159"/>
      <c r="B195" s="59"/>
      <c r="C195" s="24">
        <f t="shared" si="33"/>
        <v>1</v>
      </c>
      <c r="D195" s="717"/>
      <c r="E195" s="24">
        <f t="shared" si="34"/>
        <v>0</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4">
        <f t="shared" si="41"/>
        <v>0</v>
      </c>
      <c r="S195" s="361">
        <f t="shared" si="42"/>
        <v>0</v>
      </c>
    </row>
    <row r="196" spans="1:19">
      <c r="A196" s="159"/>
      <c r="B196" s="59"/>
      <c r="C196" s="24">
        <f t="shared" si="33"/>
        <v>1</v>
      </c>
      <c r="D196" s="717"/>
      <c r="E196" s="24">
        <f t="shared" si="34"/>
        <v>0</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4">
        <f t="shared" si="41"/>
        <v>0</v>
      </c>
      <c r="S196" s="361">
        <f t="shared" si="42"/>
        <v>0</v>
      </c>
    </row>
    <row r="197" spans="1:19">
      <c r="A197" s="159"/>
      <c r="B197" s="59"/>
      <c r="C197" s="24">
        <f t="shared" si="33"/>
        <v>1</v>
      </c>
      <c r="D197" s="717"/>
      <c r="E197" s="24">
        <f t="shared" si="34"/>
        <v>0</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4">
        <f t="shared" si="41"/>
        <v>0</v>
      </c>
      <c r="S197" s="361">
        <f t="shared" si="42"/>
        <v>0</v>
      </c>
    </row>
    <row r="198" spans="1:19">
      <c r="A198" s="159"/>
      <c r="B198" s="59"/>
      <c r="C198" s="24">
        <f t="shared" si="33"/>
        <v>1</v>
      </c>
      <c r="D198" s="717"/>
      <c r="E198" s="24">
        <f t="shared" si="34"/>
        <v>0</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4">
        <f t="shared" si="41"/>
        <v>0</v>
      </c>
      <c r="S198" s="361">
        <f t="shared" si="42"/>
        <v>0</v>
      </c>
    </row>
    <row r="199" spans="1:19">
      <c r="A199" s="159"/>
      <c r="B199" s="59"/>
      <c r="C199" s="24">
        <f t="shared" si="33"/>
        <v>1</v>
      </c>
      <c r="D199" s="717"/>
      <c r="E199" s="24">
        <f t="shared" si="34"/>
        <v>0</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4">
        <f t="shared" si="41"/>
        <v>0</v>
      </c>
      <c r="S199" s="361">
        <f t="shared" si="42"/>
        <v>0</v>
      </c>
    </row>
    <row r="200" spans="1:19">
      <c r="A200" s="159"/>
      <c r="B200" s="59"/>
      <c r="C200" s="24">
        <f t="shared" si="33"/>
        <v>1</v>
      </c>
      <c r="D200" s="717"/>
      <c r="E200" s="24">
        <f t="shared" si="34"/>
        <v>0</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4">
        <f t="shared" si="41"/>
        <v>0</v>
      </c>
      <c r="S200" s="361">
        <f t="shared" si="42"/>
        <v>0</v>
      </c>
    </row>
    <row r="201" spans="1:19">
      <c r="A201" s="159"/>
      <c r="B201" s="59"/>
      <c r="C201" s="24">
        <f t="shared" si="33"/>
        <v>1</v>
      </c>
      <c r="D201" s="717"/>
      <c r="E201" s="24">
        <f t="shared" si="34"/>
        <v>0</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4">
        <f t="shared" si="41"/>
        <v>0</v>
      </c>
      <c r="S201" s="361">
        <f t="shared" si="42"/>
        <v>0</v>
      </c>
    </row>
    <row r="202" spans="1:19">
      <c r="A202" s="159"/>
      <c r="B202" s="59"/>
      <c r="C202" s="24">
        <f t="shared" si="33"/>
        <v>1</v>
      </c>
      <c r="D202" s="717"/>
      <c r="E202" s="24">
        <f t="shared" si="34"/>
        <v>0</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4">
        <f t="shared" si="41"/>
        <v>0</v>
      </c>
      <c r="S202" s="361">
        <f t="shared" si="42"/>
        <v>0</v>
      </c>
    </row>
    <row r="203" spans="1:19">
      <c r="A203" s="159"/>
      <c r="B203" s="59"/>
      <c r="C203" s="24">
        <f t="shared" si="33"/>
        <v>1</v>
      </c>
      <c r="D203" s="717"/>
      <c r="E203" s="24">
        <f t="shared" si="34"/>
        <v>0</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4">
        <f t="shared" si="41"/>
        <v>0</v>
      </c>
      <c r="S203" s="361">
        <f t="shared" si="42"/>
        <v>0</v>
      </c>
    </row>
    <row r="204" spans="1:19">
      <c r="A204" s="159"/>
      <c r="B204" s="59"/>
      <c r="C204" s="24">
        <f t="shared" si="33"/>
        <v>1</v>
      </c>
      <c r="D204" s="717"/>
      <c r="E204" s="24">
        <f t="shared" si="34"/>
        <v>0</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4">
        <f t="shared" si="41"/>
        <v>0</v>
      </c>
      <c r="S204" s="361">
        <f t="shared" si="42"/>
        <v>0</v>
      </c>
    </row>
    <row r="205" spans="1:19">
      <c r="A205" s="159"/>
      <c r="B205" s="59"/>
      <c r="C205" s="24">
        <f t="shared" si="33"/>
        <v>1</v>
      </c>
      <c r="D205" s="717"/>
      <c r="E205" s="24">
        <f t="shared" si="34"/>
        <v>0</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4">
        <f t="shared" si="41"/>
        <v>0</v>
      </c>
      <c r="S205" s="361">
        <f t="shared" si="42"/>
        <v>0</v>
      </c>
    </row>
    <row r="206" spans="1:19">
      <c r="A206" s="159"/>
      <c r="B206" s="59"/>
      <c r="C206" s="24">
        <f t="shared" si="33"/>
        <v>1</v>
      </c>
      <c r="D206" s="717"/>
      <c r="E206" s="24">
        <f t="shared" si="34"/>
        <v>0</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4">
        <f t="shared" si="41"/>
        <v>0</v>
      </c>
      <c r="S206" s="361">
        <f t="shared" si="42"/>
        <v>0</v>
      </c>
    </row>
    <row r="207" spans="1:19">
      <c r="A207" s="159"/>
      <c r="B207" s="59"/>
      <c r="C207" s="24">
        <f t="shared" si="33"/>
        <v>1</v>
      </c>
      <c r="D207" s="717"/>
      <c r="E207" s="24">
        <f t="shared" si="34"/>
        <v>0</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4">
        <f t="shared" si="41"/>
        <v>0</v>
      </c>
      <c r="S207" s="361">
        <f t="shared" si="42"/>
        <v>0</v>
      </c>
    </row>
    <row r="208" spans="1:19">
      <c r="A208" s="159"/>
      <c r="B208" s="59"/>
      <c r="C208" s="24">
        <f t="shared" si="33"/>
        <v>1</v>
      </c>
      <c r="D208" s="717"/>
      <c r="E208" s="24">
        <f t="shared" si="34"/>
        <v>0</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4">
        <f t="shared" si="41"/>
        <v>0</v>
      </c>
      <c r="S208" s="361">
        <f t="shared" si="42"/>
        <v>0</v>
      </c>
    </row>
    <row r="209" spans="1:19">
      <c r="A209" s="159"/>
      <c r="B209" s="59"/>
      <c r="C209" s="24">
        <f t="shared" si="33"/>
        <v>1</v>
      </c>
      <c r="D209" s="717"/>
      <c r="E209" s="24">
        <f t="shared" si="34"/>
        <v>0</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4">
        <f t="shared" si="41"/>
        <v>0</v>
      </c>
      <c r="S209" s="361">
        <f t="shared" si="42"/>
        <v>0</v>
      </c>
    </row>
    <row r="210" spans="1:19">
      <c r="A210" s="159"/>
      <c r="B210" s="59"/>
      <c r="C210" s="24">
        <f t="shared" si="33"/>
        <v>1</v>
      </c>
      <c r="D210" s="717"/>
      <c r="E210" s="24">
        <f t="shared" si="34"/>
        <v>0</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4">
        <f t="shared" si="41"/>
        <v>0</v>
      </c>
      <c r="S210" s="361">
        <f t="shared" si="42"/>
        <v>0</v>
      </c>
    </row>
    <row r="211" spans="1:19">
      <c r="A211" s="159"/>
      <c r="B211" s="59"/>
      <c r="C211" s="24">
        <f t="shared" si="33"/>
        <v>1</v>
      </c>
      <c r="D211" s="717"/>
      <c r="E211" s="24">
        <f t="shared" si="34"/>
        <v>0</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4">
        <f t="shared" si="41"/>
        <v>0</v>
      </c>
      <c r="S211" s="361">
        <f t="shared" si="42"/>
        <v>0</v>
      </c>
    </row>
    <row r="212" spans="1:19">
      <c r="A212" s="159"/>
      <c r="B212" s="59"/>
      <c r="C212" s="24">
        <f t="shared" si="33"/>
        <v>1</v>
      </c>
      <c r="D212" s="717"/>
      <c r="E212" s="24">
        <f t="shared" si="34"/>
        <v>0</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4">
        <f t="shared" si="41"/>
        <v>0</v>
      </c>
      <c r="S212" s="361">
        <f t="shared" si="42"/>
        <v>0</v>
      </c>
    </row>
    <row r="213" spans="1:19">
      <c r="A213" s="159"/>
      <c r="B213" s="59"/>
      <c r="C213" s="24">
        <f t="shared" si="33"/>
        <v>1</v>
      </c>
      <c r="D213" s="717"/>
      <c r="E213" s="24">
        <f t="shared" si="34"/>
        <v>0</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4">
        <f t="shared" si="41"/>
        <v>0</v>
      </c>
      <c r="S213" s="361">
        <f t="shared" si="42"/>
        <v>0</v>
      </c>
    </row>
    <row r="214" spans="1:19">
      <c r="A214" s="159"/>
      <c r="B214" s="59"/>
      <c r="C214" s="24">
        <f t="shared" si="33"/>
        <v>1</v>
      </c>
      <c r="D214" s="717"/>
      <c r="E214" s="24">
        <f t="shared" si="34"/>
        <v>0</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4">
        <f t="shared" si="41"/>
        <v>0</v>
      </c>
      <c r="S214" s="361">
        <f t="shared" si="42"/>
        <v>0</v>
      </c>
    </row>
    <row r="215" spans="1:19">
      <c r="A215" s="159"/>
      <c r="B215" s="59"/>
      <c r="C215" s="24">
        <f t="shared" si="33"/>
        <v>1</v>
      </c>
      <c r="D215" s="717"/>
      <c r="E215" s="24">
        <f t="shared" si="34"/>
        <v>0</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4">
        <f t="shared" si="41"/>
        <v>0</v>
      </c>
      <c r="S215" s="361">
        <f t="shared" si="42"/>
        <v>0</v>
      </c>
    </row>
    <row r="216" spans="1:19">
      <c r="A216" s="159"/>
      <c r="B216" s="59"/>
      <c r="C216" s="24">
        <f t="shared" si="33"/>
        <v>1</v>
      </c>
      <c r="D216" s="717"/>
      <c r="E216" s="24">
        <f t="shared" si="34"/>
        <v>0</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4">
        <f t="shared" si="41"/>
        <v>0</v>
      </c>
      <c r="S216" s="361">
        <f t="shared" si="42"/>
        <v>0</v>
      </c>
    </row>
    <row r="217" spans="1:19">
      <c r="A217" s="159"/>
      <c r="B217" s="59"/>
      <c r="C217" s="24">
        <f t="shared" si="33"/>
        <v>1</v>
      </c>
      <c r="D217" s="717"/>
      <c r="E217" s="24">
        <f t="shared" si="34"/>
        <v>0</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0</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7"/>
      <c r="E219" s="24">
        <f t="shared" si="44"/>
        <v>0</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4">
        <f t="shared" si="51"/>
        <v>0</v>
      </c>
      <c r="S219" s="361">
        <f t="shared" si="42"/>
        <v>0</v>
      </c>
    </row>
    <row r="220" spans="1:19">
      <c r="A220" s="159"/>
      <c r="B220" s="59"/>
      <c r="C220" s="24">
        <f t="shared" si="43"/>
        <v>1</v>
      </c>
      <c r="D220" s="717"/>
      <c r="E220" s="24">
        <f t="shared" si="44"/>
        <v>0</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4">
        <f t="shared" si="51"/>
        <v>0</v>
      </c>
      <c r="S220" s="361">
        <f t="shared" si="42"/>
        <v>0</v>
      </c>
    </row>
    <row r="221" spans="1:19">
      <c r="A221" s="159"/>
      <c r="B221" s="59"/>
      <c r="C221" s="24">
        <f t="shared" si="43"/>
        <v>1</v>
      </c>
      <c r="D221" s="717"/>
      <c r="E221" s="24">
        <f t="shared" si="44"/>
        <v>0</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4">
        <f t="shared" si="51"/>
        <v>0</v>
      </c>
      <c r="S221" s="361">
        <f t="shared" si="42"/>
        <v>0</v>
      </c>
    </row>
    <row r="222" spans="1:19">
      <c r="A222" s="159"/>
      <c r="B222" s="59"/>
      <c r="C222" s="24">
        <f t="shared" si="43"/>
        <v>1</v>
      </c>
      <c r="D222" s="717"/>
      <c r="E222" s="24">
        <f t="shared" si="44"/>
        <v>0</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4">
        <f t="shared" si="51"/>
        <v>0</v>
      </c>
      <c r="S222" s="361">
        <f t="shared" si="42"/>
        <v>0</v>
      </c>
    </row>
    <row r="223" spans="1:19">
      <c r="A223" s="159"/>
      <c r="B223" s="59"/>
      <c r="C223" s="24">
        <f t="shared" si="43"/>
        <v>1</v>
      </c>
      <c r="D223" s="717"/>
      <c r="E223" s="24">
        <f t="shared" si="44"/>
        <v>0</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4">
        <f t="shared" si="51"/>
        <v>0</v>
      </c>
      <c r="S223" s="361">
        <f t="shared" ref="S223:S286" si="52">ROUND(R223*B223/10000,0)</f>
        <v>0</v>
      </c>
    </row>
    <row r="224" spans="1:19">
      <c r="A224" s="159"/>
      <c r="B224" s="59"/>
      <c r="C224" s="24">
        <f t="shared" si="43"/>
        <v>1</v>
      </c>
      <c r="D224" s="717"/>
      <c r="E224" s="24">
        <f t="shared" si="44"/>
        <v>0</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4">
        <f t="shared" si="51"/>
        <v>0</v>
      </c>
      <c r="S224" s="361">
        <f t="shared" si="52"/>
        <v>0</v>
      </c>
    </row>
    <row r="225" spans="1:19">
      <c r="A225" s="159"/>
      <c r="B225" s="59"/>
      <c r="C225" s="24">
        <f t="shared" si="43"/>
        <v>1</v>
      </c>
      <c r="D225" s="717"/>
      <c r="E225" s="24">
        <f t="shared" si="44"/>
        <v>0</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4">
        <f t="shared" si="51"/>
        <v>0</v>
      </c>
      <c r="S225" s="361">
        <f t="shared" si="52"/>
        <v>0</v>
      </c>
    </row>
    <row r="226" spans="1:19">
      <c r="A226" s="159"/>
      <c r="B226" s="59"/>
      <c r="C226" s="24">
        <f t="shared" si="43"/>
        <v>1</v>
      </c>
      <c r="D226" s="717"/>
      <c r="E226" s="24">
        <f t="shared" si="44"/>
        <v>0</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4">
        <f t="shared" si="51"/>
        <v>0</v>
      </c>
      <c r="S226" s="361">
        <f t="shared" si="52"/>
        <v>0</v>
      </c>
    </row>
    <row r="227" spans="1:19">
      <c r="A227" s="159"/>
      <c r="B227" s="59"/>
      <c r="C227" s="24">
        <f t="shared" si="43"/>
        <v>1</v>
      </c>
      <c r="D227" s="717"/>
      <c r="E227" s="24">
        <f t="shared" si="44"/>
        <v>0</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4">
        <f t="shared" si="51"/>
        <v>0</v>
      </c>
      <c r="S227" s="361">
        <f t="shared" si="52"/>
        <v>0</v>
      </c>
    </row>
    <row r="228" spans="1:19">
      <c r="A228" s="159"/>
      <c r="B228" s="59"/>
      <c r="C228" s="24">
        <f t="shared" si="43"/>
        <v>1</v>
      </c>
      <c r="D228" s="717"/>
      <c r="E228" s="24">
        <f t="shared" si="44"/>
        <v>0</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4">
        <f t="shared" si="51"/>
        <v>0</v>
      </c>
      <c r="S228" s="361">
        <f t="shared" si="52"/>
        <v>0</v>
      </c>
    </row>
    <row r="229" spans="1:19">
      <c r="A229" s="159"/>
      <c r="B229" s="59"/>
      <c r="C229" s="24">
        <f t="shared" si="43"/>
        <v>1</v>
      </c>
      <c r="D229" s="717"/>
      <c r="E229" s="24">
        <f t="shared" si="44"/>
        <v>0</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4">
        <f t="shared" si="51"/>
        <v>0</v>
      </c>
      <c r="S229" s="361">
        <f t="shared" si="52"/>
        <v>0</v>
      </c>
    </row>
    <row r="230" spans="1:19">
      <c r="A230" s="159"/>
      <c r="B230" s="59"/>
      <c r="C230" s="24">
        <f t="shared" si="43"/>
        <v>1</v>
      </c>
      <c r="D230" s="717"/>
      <c r="E230" s="24">
        <f t="shared" si="44"/>
        <v>0</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4">
        <f t="shared" si="51"/>
        <v>0</v>
      </c>
      <c r="S230" s="361">
        <f t="shared" si="52"/>
        <v>0</v>
      </c>
    </row>
    <row r="231" spans="1:19">
      <c r="A231" s="159"/>
      <c r="B231" s="59"/>
      <c r="C231" s="24">
        <f t="shared" si="43"/>
        <v>1</v>
      </c>
      <c r="D231" s="717"/>
      <c r="E231" s="24">
        <f t="shared" si="44"/>
        <v>0</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4">
        <f t="shared" si="51"/>
        <v>0</v>
      </c>
      <c r="S231" s="361">
        <f t="shared" si="52"/>
        <v>0</v>
      </c>
    </row>
    <row r="232" spans="1:19">
      <c r="A232" s="159"/>
      <c r="B232" s="59"/>
      <c r="C232" s="24">
        <f t="shared" si="43"/>
        <v>1</v>
      </c>
      <c r="D232" s="717"/>
      <c r="E232" s="24">
        <f t="shared" si="44"/>
        <v>0</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4">
        <f t="shared" si="51"/>
        <v>0</v>
      </c>
      <c r="S232" s="361">
        <f t="shared" si="52"/>
        <v>0</v>
      </c>
    </row>
    <row r="233" spans="1:19">
      <c r="A233" s="159"/>
      <c r="B233" s="59"/>
      <c r="C233" s="24">
        <f t="shared" si="43"/>
        <v>1</v>
      </c>
      <c r="D233" s="717"/>
      <c r="E233" s="24">
        <f t="shared" si="44"/>
        <v>0</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4">
        <f t="shared" si="51"/>
        <v>0</v>
      </c>
      <c r="S233" s="361">
        <f t="shared" si="52"/>
        <v>0</v>
      </c>
    </row>
    <row r="234" spans="1:19">
      <c r="A234" s="159"/>
      <c r="B234" s="59"/>
      <c r="C234" s="24">
        <f t="shared" si="43"/>
        <v>1</v>
      </c>
      <c r="D234" s="717"/>
      <c r="E234" s="24">
        <f t="shared" si="44"/>
        <v>0</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4">
        <f t="shared" si="51"/>
        <v>0</v>
      </c>
      <c r="S234" s="361">
        <f t="shared" si="52"/>
        <v>0</v>
      </c>
    </row>
    <row r="235" spans="1:19">
      <c r="A235" s="159"/>
      <c r="B235" s="59"/>
      <c r="C235" s="24">
        <f t="shared" si="43"/>
        <v>1</v>
      </c>
      <c r="D235" s="717"/>
      <c r="E235" s="24">
        <f t="shared" si="44"/>
        <v>0</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4">
        <f t="shared" si="51"/>
        <v>0</v>
      </c>
      <c r="S235" s="361">
        <f t="shared" si="52"/>
        <v>0</v>
      </c>
    </row>
    <row r="236" spans="1:19">
      <c r="A236" s="159"/>
      <c r="B236" s="59"/>
      <c r="C236" s="24">
        <f t="shared" si="43"/>
        <v>1</v>
      </c>
      <c r="D236" s="717"/>
      <c r="E236" s="24">
        <f t="shared" si="44"/>
        <v>0</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4">
        <f t="shared" si="51"/>
        <v>0</v>
      </c>
      <c r="S236" s="361">
        <f t="shared" si="52"/>
        <v>0</v>
      </c>
    </row>
    <row r="237" spans="1:19">
      <c r="A237" s="159"/>
      <c r="B237" s="59"/>
      <c r="C237" s="24">
        <f t="shared" si="43"/>
        <v>1</v>
      </c>
      <c r="D237" s="717"/>
      <c r="E237" s="24">
        <f t="shared" si="44"/>
        <v>0</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4">
        <f t="shared" si="51"/>
        <v>0</v>
      </c>
      <c r="S237" s="361">
        <f t="shared" si="52"/>
        <v>0</v>
      </c>
    </row>
    <row r="238" spans="1:19">
      <c r="A238" s="159"/>
      <c r="B238" s="59"/>
      <c r="C238" s="24">
        <f t="shared" si="43"/>
        <v>1</v>
      </c>
      <c r="D238" s="717"/>
      <c r="E238" s="24">
        <f t="shared" si="44"/>
        <v>0</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4">
        <f t="shared" si="51"/>
        <v>0</v>
      </c>
      <c r="S238" s="361">
        <f t="shared" si="52"/>
        <v>0</v>
      </c>
    </row>
    <row r="239" spans="1:19">
      <c r="A239" s="159"/>
      <c r="B239" s="59"/>
      <c r="C239" s="24">
        <f t="shared" si="43"/>
        <v>1</v>
      </c>
      <c r="D239" s="717"/>
      <c r="E239" s="24">
        <f t="shared" si="44"/>
        <v>0</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4">
        <f t="shared" si="51"/>
        <v>0</v>
      </c>
      <c r="S239" s="361">
        <f t="shared" si="52"/>
        <v>0</v>
      </c>
    </row>
    <row r="240" spans="1:19">
      <c r="A240" s="159"/>
      <c r="B240" s="59"/>
      <c r="C240" s="24">
        <f t="shared" si="43"/>
        <v>1</v>
      </c>
      <c r="D240" s="717"/>
      <c r="E240" s="24">
        <f t="shared" si="44"/>
        <v>0</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4">
        <f t="shared" si="51"/>
        <v>0</v>
      </c>
      <c r="S240" s="361">
        <f t="shared" si="52"/>
        <v>0</v>
      </c>
    </row>
    <row r="241" spans="1:19">
      <c r="A241" s="159"/>
      <c r="B241" s="59"/>
      <c r="C241" s="24">
        <f t="shared" si="43"/>
        <v>1</v>
      </c>
      <c r="D241" s="717"/>
      <c r="E241" s="24">
        <f t="shared" si="44"/>
        <v>0</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4">
        <f t="shared" si="51"/>
        <v>0</v>
      </c>
      <c r="S241" s="361">
        <f t="shared" si="52"/>
        <v>0</v>
      </c>
    </row>
    <row r="242" spans="1:19">
      <c r="A242" s="159"/>
      <c r="B242" s="59"/>
      <c r="C242" s="24">
        <f t="shared" si="43"/>
        <v>1</v>
      </c>
      <c r="D242" s="717"/>
      <c r="E242" s="24">
        <f t="shared" si="44"/>
        <v>0</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4">
        <f t="shared" si="51"/>
        <v>0</v>
      </c>
      <c r="S242" s="361">
        <f t="shared" si="52"/>
        <v>0</v>
      </c>
    </row>
    <row r="243" spans="1:19">
      <c r="A243" s="159"/>
      <c r="B243" s="59"/>
      <c r="C243" s="24">
        <f t="shared" si="43"/>
        <v>1</v>
      </c>
      <c r="D243" s="717"/>
      <c r="E243" s="24">
        <f t="shared" si="44"/>
        <v>0</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4">
        <f t="shared" si="51"/>
        <v>0</v>
      </c>
      <c r="S243" s="361">
        <f t="shared" si="52"/>
        <v>0</v>
      </c>
    </row>
    <row r="244" spans="1:19">
      <c r="A244" s="159"/>
      <c r="B244" s="59"/>
      <c r="C244" s="24">
        <f t="shared" si="43"/>
        <v>1</v>
      </c>
      <c r="D244" s="717"/>
      <c r="E244" s="24">
        <f t="shared" si="44"/>
        <v>0</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4">
        <f t="shared" si="51"/>
        <v>0</v>
      </c>
      <c r="S244" s="361">
        <f t="shared" si="52"/>
        <v>0</v>
      </c>
    </row>
    <row r="245" spans="1:19">
      <c r="A245" s="159"/>
      <c r="B245" s="59"/>
      <c r="C245" s="24">
        <f t="shared" si="43"/>
        <v>1</v>
      </c>
      <c r="D245" s="717"/>
      <c r="E245" s="24">
        <f t="shared" si="44"/>
        <v>0</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4">
        <f t="shared" si="51"/>
        <v>0</v>
      </c>
      <c r="S245" s="361">
        <f t="shared" si="52"/>
        <v>0</v>
      </c>
    </row>
    <row r="246" spans="1:19">
      <c r="A246" s="159"/>
      <c r="B246" s="59"/>
      <c r="C246" s="24">
        <f t="shared" si="43"/>
        <v>1</v>
      </c>
      <c r="D246" s="717"/>
      <c r="E246" s="24">
        <f t="shared" si="44"/>
        <v>0</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4">
        <f t="shared" si="51"/>
        <v>0</v>
      </c>
      <c r="S246" s="361">
        <f t="shared" si="52"/>
        <v>0</v>
      </c>
    </row>
    <row r="247" spans="1:19">
      <c r="A247" s="159"/>
      <c r="B247" s="59"/>
      <c r="C247" s="24">
        <f t="shared" si="43"/>
        <v>1</v>
      </c>
      <c r="D247" s="717"/>
      <c r="E247" s="24">
        <f t="shared" si="44"/>
        <v>0</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4">
        <f t="shared" si="51"/>
        <v>0</v>
      </c>
      <c r="S247" s="361">
        <f t="shared" si="52"/>
        <v>0</v>
      </c>
    </row>
    <row r="248" spans="1:19">
      <c r="A248" s="159"/>
      <c r="B248" s="59"/>
      <c r="C248" s="24">
        <f t="shared" si="43"/>
        <v>1</v>
      </c>
      <c r="D248" s="717"/>
      <c r="E248" s="24">
        <f t="shared" si="44"/>
        <v>0</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4">
        <f t="shared" si="51"/>
        <v>0</v>
      </c>
      <c r="S248" s="361">
        <f t="shared" si="52"/>
        <v>0</v>
      </c>
    </row>
    <row r="249" spans="1:19">
      <c r="A249" s="159"/>
      <c r="B249" s="59"/>
      <c r="C249" s="24">
        <f t="shared" si="43"/>
        <v>1</v>
      </c>
      <c r="D249" s="717"/>
      <c r="E249" s="24">
        <f t="shared" si="44"/>
        <v>0</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4">
        <f t="shared" si="51"/>
        <v>0</v>
      </c>
      <c r="S249" s="361">
        <f t="shared" si="52"/>
        <v>0</v>
      </c>
    </row>
    <row r="250" spans="1:19">
      <c r="A250" s="159"/>
      <c r="B250" s="59"/>
      <c r="C250" s="24">
        <f t="shared" si="43"/>
        <v>1</v>
      </c>
      <c r="D250" s="717"/>
      <c r="E250" s="24">
        <f t="shared" si="44"/>
        <v>0</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4">
        <f t="shared" si="51"/>
        <v>0</v>
      </c>
      <c r="S250" s="361">
        <f t="shared" si="52"/>
        <v>0</v>
      </c>
    </row>
    <row r="251" spans="1:19">
      <c r="A251" s="159"/>
      <c r="B251" s="59"/>
      <c r="C251" s="24">
        <f t="shared" si="43"/>
        <v>1</v>
      </c>
      <c r="D251" s="717"/>
      <c r="E251" s="24">
        <f t="shared" si="44"/>
        <v>0</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4">
        <f t="shared" si="51"/>
        <v>0</v>
      </c>
      <c r="S251" s="361">
        <f t="shared" si="52"/>
        <v>0</v>
      </c>
    </row>
    <row r="252" spans="1:19">
      <c r="A252" s="159"/>
      <c r="B252" s="59"/>
      <c r="C252" s="24">
        <f t="shared" si="43"/>
        <v>1</v>
      </c>
      <c r="D252" s="717"/>
      <c r="E252" s="24">
        <f t="shared" si="44"/>
        <v>0</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4">
        <f t="shared" si="51"/>
        <v>0</v>
      </c>
      <c r="S252" s="361">
        <f t="shared" si="52"/>
        <v>0</v>
      </c>
    </row>
    <row r="253" spans="1:19">
      <c r="A253" s="159"/>
      <c r="B253" s="59"/>
      <c r="C253" s="24">
        <f t="shared" si="43"/>
        <v>1</v>
      </c>
      <c r="D253" s="717"/>
      <c r="E253" s="24">
        <f t="shared" si="44"/>
        <v>0</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4">
        <f t="shared" si="51"/>
        <v>0</v>
      </c>
      <c r="S253" s="361">
        <f t="shared" si="52"/>
        <v>0</v>
      </c>
    </row>
    <row r="254" spans="1:19">
      <c r="A254" s="159"/>
      <c r="B254" s="59"/>
      <c r="C254" s="24">
        <f t="shared" si="43"/>
        <v>1</v>
      </c>
      <c r="D254" s="717"/>
      <c r="E254" s="24">
        <f t="shared" si="44"/>
        <v>0</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4">
        <f t="shared" si="51"/>
        <v>0</v>
      </c>
      <c r="S254" s="361">
        <f t="shared" si="52"/>
        <v>0</v>
      </c>
    </row>
    <row r="255" spans="1:19">
      <c r="A255" s="159"/>
      <c r="B255" s="59"/>
      <c r="C255" s="24">
        <f t="shared" si="43"/>
        <v>1</v>
      </c>
      <c r="D255" s="717"/>
      <c r="E255" s="24">
        <f t="shared" si="44"/>
        <v>0</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4">
        <f t="shared" si="51"/>
        <v>0</v>
      </c>
      <c r="S255" s="361">
        <f t="shared" si="52"/>
        <v>0</v>
      </c>
    </row>
    <row r="256" spans="1:19">
      <c r="A256" s="159"/>
      <c r="B256" s="59"/>
      <c r="C256" s="24">
        <f t="shared" si="43"/>
        <v>1</v>
      </c>
      <c r="D256" s="717"/>
      <c r="E256" s="24">
        <f t="shared" si="44"/>
        <v>0</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4">
        <f t="shared" si="51"/>
        <v>0</v>
      </c>
      <c r="S256" s="361">
        <f t="shared" si="52"/>
        <v>0</v>
      </c>
    </row>
    <row r="257" spans="1:19">
      <c r="A257" s="159"/>
      <c r="B257" s="59"/>
      <c r="C257" s="24">
        <f t="shared" si="43"/>
        <v>1</v>
      </c>
      <c r="D257" s="717"/>
      <c r="E257" s="24">
        <f t="shared" si="44"/>
        <v>0</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4">
        <f t="shared" si="51"/>
        <v>0</v>
      </c>
      <c r="S257" s="361">
        <f t="shared" si="52"/>
        <v>0</v>
      </c>
    </row>
    <row r="258" spans="1:19">
      <c r="A258" s="159"/>
      <c r="B258" s="59"/>
      <c r="C258" s="24">
        <f t="shared" si="43"/>
        <v>1</v>
      </c>
      <c r="D258" s="717"/>
      <c r="E258" s="24">
        <f t="shared" si="44"/>
        <v>0</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4">
        <f t="shared" si="51"/>
        <v>0</v>
      </c>
      <c r="S258" s="361">
        <f t="shared" si="52"/>
        <v>0</v>
      </c>
    </row>
    <row r="259" spans="1:19">
      <c r="A259" s="159"/>
      <c r="B259" s="59"/>
      <c r="C259" s="24">
        <f t="shared" si="43"/>
        <v>1</v>
      </c>
      <c r="D259" s="717"/>
      <c r="E259" s="24">
        <f t="shared" si="44"/>
        <v>0</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4">
        <f t="shared" si="51"/>
        <v>0</v>
      </c>
      <c r="S259" s="361">
        <f t="shared" si="52"/>
        <v>0</v>
      </c>
    </row>
    <row r="260" spans="1:19">
      <c r="A260" s="159"/>
      <c r="B260" s="59"/>
      <c r="C260" s="24">
        <f t="shared" si="43"/>
        <v>1</v>
      </c>
      <c r="D260" s="717"/>
      <c r="E260" s="24">
        <f t="shared" si="44"/>
        <v>0</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4">
        <f t="shared" si="51"/>
        <v>0</v>
      </c>
      <c r="S260" s="361">
        <f t="shared" si="52"/>
        <v>0</v>
      </c>
    </row>
    <row r="261" spans="1:19">
      <c r="A261" s="159"/>
      <c r="B261" s="59"/>
      <c r="C261" s="24">
        <f t="shared" si="43"/>
        <v>1</v>
      </c>
      <c r="D261" s="717"/>
      <c r="E261" s="24">
        <f t="shared" si="44"/>
        <v>0</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4">
        <f t="shared" si="51"/>
        <v>0</v>
      </c>
      <c r="S261" s="361">
        <f t="shared" si="52"/>
        <v>0</v>
      </c>
    </row>
    <row r="262" spans="1:19">
      <c r="A262" s="159"/>
      <c r="B262" s="59"/>
      <c r="C262" s="24">
        <f t="shared" si="43"/>
        <v>1</v>
      </c>
      <c r="D262" s="717"/>
      <c r="E262" s="24">
        <f t="shared" si="44"/>
        <v>0</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4">
        <f t="shared" si="51"/>
        <v>0</v>
      </c>
      <c r="S262" s="361">
        <f t="shared" si="52"/>
        <v>0</v>
      </c>
    </row>
    <row r="263" spans="1:19">
      <c r="A263" s="159"/>
      <c r="B263" s="59"/>
      <c r="C263" s="24">
        <f t="shared" si="43"/>
        <v>1</v>
      </c>
      <c r="D263" s="717"/>
      <c r="E263" s="24">
        <f t="shared" si="44"/>
        <v>0</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4">
        <f t="shared" si="51"/>
        <v>0</v>
      </c>
      <c r="S263" s="361">
        <f t="shared" si="52"/>
        <v>0</v>
      </c>
    </row>
    <row r="264" spans="1:19">
      <c r="A264" s="159"/>
      <c r="B264" s="59"/>
      <c r="C264" s="24">
        <f t="shared" si="43"/>
        <v>1</v>
      </c>
      <c r="D264" s="717"/>
      <c r="E264" s="24">
        <f t="shared" si="44"/>
        <v>0</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4">
        <f t="shared" si="51"/>
        <v>0</v>
      </c>
      <c r="S264" s="361">
        <f t="shared" si="52"/>
        <v>0</v>
      </c>
    </row>
    <row r="265" spans="1:19">
      <c r="A265" s="159"/>
      <c r="B265" s="59"/>
      <c r="C265" s="24">
        <f t="shared" si="43"/>
        <v>1</v>
      </c>
      <c r="D265" s="717"/>
      <c r="E265" s="24">
        <f t="shared" si="44"/>
        <v>0</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4">
        <f t="shared" si="51"/>
        <v>0</v>
      </c>
      <c r="S265" s="361">
        <f t="shared" si="52"/>
        <v>0</v>
      </c>
    </row>
    <row r="266" spans="1:19">
      <c r="A266" s="159"/>
      <c r="B266" s="59"/>
      <c r="C266" s="24">
        <f t="shared" si="43"/>
        <v>1</v>
      </c>
      <c r="D266" s="717"/>
      <c r="E266" s="24">
        <f t="shared" si="44"/>
        <v>0</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4">
        <f t="shared" si="51"/>
        <v>0</v>
      </c>
      <c r="S266" s="361">
        <f t="shared" si="52"/>
        <v>0</v>
      </c>
    </row>
    <row r="267" spans="1:19">
      <c r="A267" s="159"/>
      <c r="B267" s="59"/>
      <c r="C267" s="24">
        <f t="shared" si="43"/>
        <v>1</v>
      </c>
      <c r="D267" s="717"/>
      <c r="E267" s="24">
        <f t="shared" si="44"/>
        <v>0</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4">
        <f t="shared" si="51"/>
        <v>0</v>
      </c>
      <c r="S267" s="361">
        <f t="shared" si="52"/>
        <v>0</v>
      </c>
    </row>
    <row r="268" spans="1:19">
      <c r="A268" s="159"/>
      <c r="B268" s="59"/>
      <c r="C268" s="24">
        <f t="shared" si="43"/>
        <v>1</v>
      </c>
      <c r="D268" s="717"/>
      <c r="E268" s="24">
        <f t="shared" si="44"/>
        <v>0</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4">
        <f t="shared" si="51"/>
        <v>0</v>
      </c>
      <c r="S268" s="361">
        <f t="shared" si="52"/>
        <v>0</v>
      </c>
    </row>
    <row r="269" spans="1:19">
      <c r="A269" s="159"/>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4">
        <f t="shared" si="51"/>
        <v>0</v>
      </c>
      <c r="S269" s="361">
        <f t="shared" si="52"/>
        <v>0</v>
      </c>
    </row>
    <row r="270" spans="1:19">
      <c r="A270" s="159"/>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4">
        <f t="shared" si="51"/>
        <v>0</v>
      </c>
      <c r="S270" s="361">
        <f t="shared" si="52"/>
        <v>0</v>
      </c>
    </row>
    <row r="271" spans="1:19">
      <c r="A271" s="159"/>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4">
        <f t="shared" si="51"/>
        <v>0</v>
      </c>
      <c r="S271" s="361">
        <f t="shared" si="52"/>
        <v>0</v>
      </c>
    </row>
    <row r="272" spans="1:19">
      <c r="A272" s="159"/>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4">
        <f t="shared" si="51"/>
        <v>0</v>
      </c>
      <c r="S272" s="361">
        <f t="shared" si="52"/>
        <v>0</v>
      </c>
    </row>
    <row r="273" spans="1:19">
      <c r="A273" s="159"/>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4">
        <f t="shared" si="51"/>
        <v>0</v>
      </c>
      <c r="S273" s="361">
        <f t="shared" si="52"/>
        <v>0</v>
      </c>
    </row>
    <row r="274" spans="1:19">
      <c r="A274" s="159"/>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4">
        <f t="shared" si="51"/>
        <v>0</v>
      </c>
      <c r="S274" s="361">
        <f t="shared" si="52"/>
        <v>0</v>
      </c>
    </row>
    <row r="275" spans="1:19">
      <c r="A275" s="159"/>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4">
        <f t="shared" si="51"/>
        <v>0</v>
      </c>
      <c r="S275" s="361">
        <f t="shared" si="52"/>
        <v>0</v>
      </c>
    </row>
    <row r="276" spans="1:19">
      <c r="A276" s="159"/>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4">
        <f t="shared" si="51"/>
        <v>0</v>
      </c>
      <c r="S276" s="361">
        <f t="shared" si="52"/>
        <v>0</v>
      </c>
    </row>
    <row r="277" spans="1:19">
      <c r="A277" s="159"/>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4">
        <f t="shared" si="51"/>
        <v>0</v>
      </c>
      <c r="S277" s="361">
        <f t="shared" si="52"/>
        <v>0</v>
      </c>
    </row>
    <row r="278" spans="1:19">
      <c r="A278" s="159"/>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4">
        <f t="shared" si="51"/>
        <v>0</v>
      </c>
      <c r="S278" s="361">
        <f t="shared" si="52"/>
        <v>0</v>
      </c>
    </row>
    <row r="279" spans="1:19">
      <c r="A279" s="159"/>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4">
        <f t="shared" si="51"/>
        <v>0</v>
      </c>
      <c r="S279" s="361">
        <f t="shared" si="52"/>
        <v>0</v>
      </c>
    </row>
    <row r="280" spans="1:19">
      <c r="A280" s="159"/>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4">
        <f t="shared" si="51"/>
        <v>0</v>
      </c>
      <c r="S280" s="361">
        <f t="shared" si="52"/>
        <v>0</v>
      </c>
    </row>
    <row r="281" spans="1:19">
      <c r="A281" s="159"/>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4">
        <f t="shared" si="61"/>
        <v>0</v>
      </c>
      <c r="S283" s="361">
        <f t="shared" si="52"/>
        <v>0</v>
      </c>
    </row>
    <row r="284" spans="1:19">
      <c r="A284" s="159"/>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4">
        <f t="shared" si="61"/>
        <v>0</v>
      </c>
      <c r="S284" s="361">
        <f t="shared" si="52"/>
        <v>0</v>
      </c>
    </row>
    <row r="285" spans="1:19">
      <c r="A285" s="159"/>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4">
        <f t="shared" si="61"/>
        <v>0</v>
      </c>
      <c r="S285" s="361">
        <f t="shared" si="52"/>
        <v>0</v>
      </c>
    </row>
    <row r="286" spans="1:19">
      <c r="A286" s="159"/>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4">
        <f t="shared" si="61"/>
        <v>0</v>
      </c>
      <c r="S286" s="361">
        <f t="shared" si="52"/>
        <v>0</v>
      </c>
    </row>
    <row r="287" spans="1:19">
      <c r="A287" s="159"/>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4">
        <f t="shared" si="61"/>
        <v>0</v>
      </c>
      <c r="S287" s="361">
        <f t="shared" ref="S287:S320" si="62">ROUND(R287*B287/10000,0)</f>
        <v>0</v>
      </c>
    </row>
    <row r="288" spans="1:19">
      <c r="A288" s="159"/>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4">
        <f t="shared" si="61"/>
        <v>0</v>
      </c>
      <c r="S288" s="361">
        <f t="shared" si="62"/>
        <v>0</v>
      </c>
    </row>
    <row r="289" spans="1:19">
      <c r="A289" s="159"/>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4">
        <f t="shared" si="61"/>
        <v>0</v>
      </c>
      <c r="S289" s="361">
        <f t="shared" si="62"/>
        <v>0</v>
      </c>
    </row>
    <row r="290" spans="1:19">
      <c r="A290" s="159"/>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4">
        <f t="shared" si="61"/>
        <v>0</v>
      </c>
      <c r="S290" s="361">
        <f t="shared" si="62"/>
        <v>0</v>
      </c>
    </row>
    <row r="291" spans="1:19">
      <c r="A291" s="159"/>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4">
        <f t="shared" si="61"/>
        <v>0</v>
      </c>
      <c r="S291" s="361">
        <f t="shared" si="62"/>
        <v>0</v>
      </c>
    </row>
    <row r="292" spans="1:19">
      <c r="A292" s="159"/>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4">
        <f t="shared" si="61"/>
        <v>0</v>
      </c>
      <c r="S292" s="361">
        <f t="shared" si="62"/>
        <v>0</v>
      </c>
    </row>
    <row r="293" spans="1:19">
      <c r="A293" s="159"/>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4">
        <f t="shared" si="61"/>
        <v>0</v>
      </c>
      <c r="S293" s="361">
        <f t="shared" si="62"/>
        <v>0</v>
      </c>
    </row>
    <row r="294" spans="1:19">
      <c r="A294" s="159"/>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4">
        <f t="shared" si="61"/>
        <v>0</v>
      </c>
      <c r="S294" s="361">
        <f t="shared" si="62"/>
        <v>0</v>
      </c>
    </row>
    <row r="295" spans="1:19">
      <c r="A295" s="159"/>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4">
        <f t="shared" si="61"/>
        <v>0</v>
      </c>
      <c r="S295" s="361">
        <f t="shared" si="62"/>
        <v>0</v>
      </c>
    </row>
    <row r="296" spans="1:19">
      <c r="A296" s="159"/>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4">
        <f t="shared" si="61"/>
        <v>0</v>
      </c>
      <c r="S296" s="361">
        <f t="shared" si="62"/>
        <v>0</v>
      </c>
    </row>
    <row r="297" spans="1:19">
      <c r="A297" s="159"/>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4">
        <f t="shared" si="61"/>
        <v>0</v>
      </c>
      <c r="S297" s="361">
        <f t="shared" si="62"/>
        <v>0</v>
      </c>
    </row>
    <row r="298" spans="1:19">
      <c r="A298" s="159"/>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4">
        <f t="shared" si="61"/>
        <v>0</v>
      </c>
      <c r="S298" s="361">
        <f t="shared" si="62"/>
        <v>0</v>
      </c>
    </row>
    <row r="299" spans="1:19">
      <c r="A299" s="159"/>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4">
        <f t="shared" si="61"/>
        <v>0</v>
      </c>
      <c r="S299" s="361">
        <f t="shared" si="62"/>
        <v>0</v>
      </c>
    </row>
    <row r="300" spans="1:19">
      <c r="A300" s="159"/>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4">
        <f t="shared" si="61"/>
        <v>0</v>
      </c>
      <c r="S300" s="361">
        <f t="shared" si="62"/>
        <v>0</v>
      </c>
    </row>
    <row r="301" spans="1:19">
      <c r="A301" s="159"/>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4">
        <f t="shared" si="61"/>
        <v>0</v>
      </c>
      <c r="S301" s="361">
        <f t="shared" si="62"/>
        <v>0</v>
      </c>
    </row>
    <row r="302" spans="1:19">
      <c r="A302" s="159"/>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4">
        <f t="shared" si="61"/>
        <v>0</v>
      </c>
      <c r="S302" s="361">
        <f t="shared" si="62"/>
        <v>0</v>
      </c>
    </row>
    <row r="303" spans="1:19">
      <c r="A303" s="159"/>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4">
        <f t="shared" si="61"/>
        <v>0</v>
      </c>
      <c r="S303" s="361">
        <f t="shared" si="62"/>
        <v>0</v>
      </c>
    </row>
    <row r="304" spans="1:19">
      <c r="A304" s="159"/>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4">
        <f t="shared" si="61"/>
        <v>0</v>
      </c>
      <c r="S304" s="361">
        <f t="shared" si="62"/>
        <v>0</v>
      </c>
    </row>
    <row r="305" spans="1:19">
      <c r="A305" s="159"/>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4">
        <f t="shared" si="61"/>
        <v>0</v>
      </c>
      <c r="S305" s="361">
        <f t="shared" si="62"/>
        <v>0</v>
      </c>
    </row>
    <row r="306" spans="1:19">
      <c r="A306" s="159"/>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4">
        <f t="shared" si="61"/>
        <v>0</v>
      </c>
      <c r="S306" s="361">
        <f t="shared" si="62"/>
        <v>0</v>
      </c>
    </row>
    <row r="307" spans="1:19">
      <c r="A307" s="159"/>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4">
        <f t="shared" si="61"/>
        <v>0</v>
      </c>
      <c r="S307" s="361">
        <f t="shared" si="62"/>
        <v>0</v>
      </c>
    </row>
    <row r="308" spans="1:19">
      <c r="A308" s="159"/>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4">
        <f t="shared" si="61"/>
        <v>0</v>
      </c>
      <c r="S308" s="361">
        <f t="shared" si="62"/>
        <v>0</v>
      </c>
    </row>
    <row r="309" spans="1:19">
      <c r="A309" s="159"/>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4">
        <f t="shared" si="61"/>
        <v>0</v>
      </c>
      <c r="S309" s="361">
        <f t="shared" si="62"/>
        <v>0</v>
      </c>
    </row>
    <row r="310" spans="1:19">
      <c r="A310" s="159"/>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4">
        <f t="shared" si="61"/>
        <v>0</v>
      </c>
      <c r="S310" s="361">
        <f t="shared" si="62"/>
        <v>0</v>
      </c>
    </row>
    <row r="311" spans="1:19">
      <c r="A311" s="159"/>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4">
        <f t="shared" si="61"/>
        <v>0</v>
      </c>
      <c r="S311" s="361">
        <f t="shared" si="62"/>
        <v>0</v>
      </c>
    </row>
    <row r="312" spans="1:19">
      <c r="A312" s="159"/>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4">
        <f t="shared" si="61"/>
        <v>0</v>
      </c>
      <c r="S312" s="361">
        <f t="shared" si="62"/>
        <v>0</v>
      </c>
    </row>
    <row r="313" spans="1:19">
      <c r="A313" s="159"/>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4">
        <f t="shared" si="61"/>
        <v>0</v>
      </c>
      <c r="S313" s="361">
        <f t="shared" si="62"/>
        <v>0</v>
      </c>
    </row>
    <row r="314" spans="1:19">
      <c r="A314" s="159"/>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4">
        <f t="shared" si="61"/>
        <v>0</v>
      </c>
      <c r="S314" s="361">
        <f t="shared" si="62"/>
        <v>0</v>
      </c>
    </row>
    <row r="315" spans="1:19">
      <c r="A315" s="159"/>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4">
        <f t="shared" si="61"/>
        <v>0</v>
      </c>
      <c r="S315" s="361">
        <f t="shared" si="62"/>
        <v>0</v>
      </c>
    </row>
    <row r="316" spans="1:19">
      <c r="A316" s="159"/>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4">
        <f t="shared" si="61"/>
        <v>0</v>
      </c>
      <c r="S316" s="361">
        <f t="shared" si="62"/>
        <v>0</v>
      </c>
    </row>
    <row r="317" spans="1:19">
      <c r="A317" s="159"/>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4">
        <f t="shared" si="61"/>
        <v>0</v>
      </c>
      <c r="S317" s="361">
        <f t="shared" si="62"/>
        <v>0</v>
      </c>
    </row>
    <row r="318" spans="1:19">
      <c r="A318" s="159"/>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4">
        <f t="shared" si="61"/>
        <v>0</v>
      </c>
      <c r="S318" s="361">
        <f t="shared" si="62"/>
        <v>0</v>
      </c>
    </row>
    <row r="319" spans="1:19">
      <c r="A319" s="159"/>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4">
        <f t="shared" si="61"/>
        <v>0</v>
      </c>
      <c r="S319" s="361">
        <f t="shared" si="62"/>
        <v>0</v>
      </c>
    </row>
    <row r="320" spans="1:19">
      <c r="A320" s="159"/>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4">
        <f t="shared" si="61"/>
        <v>0</v>
      </c>
      <c r="S320" s="361">
        <f t="shared" si="62"/>
        <v>0</v>
      </c>
    </row>
    <row r="321" spans="1:19">
      <c r="A321" s="159"/>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4">
        <f t="shared" si="61"/>
        <v>0</v>
      </c>
      <c r="S321" s="361">
        <f t="shared" ref="S321:S384" si="63">ROUND(R321*B321/10000,0)</f>
        <v>0</v>
      </c>
    </row>
    <row r="322" spans="1:19">
      <c r="A322" s="159"/>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4">
        <f t="shared" si="61"/>
        <v>0</v>
      </c>
      <c r="S322" s="361">
        <f t="shared" si="63"/>
        <v>0</v>
      </c>
    </row>
    <row r="323" spans="1:19">
      <c r="A323" s="159"/>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4">
        <f t="shared" si="61"/>
        <v>0</v>
      </c>
      <c r="S323" s="361">
        <f t="shared" si="63"/>
        <v>0</v>
      </c>
    </row>
    <row r="324" spans="1:19">
      <c r="A324" s="159"/>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4">
        <f t="shared" si="61"/>
        <v>0</v>
      </c>
      <c r="S324" s="361">
        <f t="shared" si="63"/>
        <v>0</v>
      </c>
    </row>
    <row r="325" spans="1:19">
      <c r="A325" s="159"/>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4">
        <f t="shared" si="61"/>
        <v>0</v>
      </c>
      <c r="S325" s="361">
        <f t="shared" si="63"/>
        <v>0</v>
      </c>
    </row>
    <row r="326" spans="1:19">
      <c r="A326" s="159"/>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4">
        <f t="shared" si="61"/>
        <v>0</v>
      </c>
      <c r="S326" s="361">
        <f t="shared" si="63"/>
        <v>0</v>
      </c>
    </row>
    <row r="327" spans="1:19">
      <c r="A327" s="159"/>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4">
        <f t="shared" si="61"/>
        <v>0</v>
      </c>
      <c r="S327" s="361">
        <f t="shared" si="63"/>
        <v>0</v>
      </c>
    </row>
    <row r="328" spans="1:19">
      <c r="A328" s="159"/>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4">
        <f t="shared" si="61"/>
        <v>0</v>
      </c>
      <c r="S328" s="361">
        <f t="shared" si="63"/>
        <v>0</v>
      </c>
    </row>
    <row r="329" spans="1:19">
      <c r="A329" s="159"/>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4">
        <f t="shared" si="61"/>
        <v>0</v>
      </c>
      <c r="S329" s="361">
        <f t="shared" si="63"/>
        <v>0</v>
      </c>
    </row>
    <row r="330" spans="1:19">
      <c r="A330" s="159"/>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4">
        <f t="shared" si="61"/>
        <v>0</v>
      </c>
      <c r="S330" s="361">
        <f t="shared" si="63"/>
        <v>0</v>
      </c>
    </row>
    <row r="331" spans="1:19">
      <c r="A331" s="159"/>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4">
        <f t="shared" si="61"/>
        <v>0</v>
      </c>
      <c r="S331" s="361">
        <f t="shared" si="63"/>
        <v>0</v>
      </c>
    </row>
    <row r="332" spans="1:19">
      <c r="A332" s="159"/>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4">
        <f t="shared" si="61"/>
        <v>0</v>
      </c>
      <c r="S332" s="361">
        <f t="shared" si="63"/>
        <v>0</v>
      </c>
    </row>
    <row r="333" spans="1:19">
      <c r="A333" s="159"/>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4">
        <f t="shared" si="61"/>
        <v>0</v>
      </c>
      <c r="S333" s="361">
        <f t="shared" si="63"/>
        <v>0</v>
      </c>
    </row>
    <row r="334" spans="1:19">
      <c r="A334" s="159"/>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4">
        <f t="shared" si="61"/>
        <v>0</v>
      </c>
      <c r="S334" s="361">
        <f t="shared" si="63"/>
        <v>0</v>
      </c>
    </row>
    <row r="335" spans="1:19">
      <c r="A335" s="159"/>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4">
        <f t="shared" si="61"/>
        <v>0</v>
      </c>
      <c r="S335" s="361">
        <f t="shared" si="63"/>
        <v>0</v>
      </c>
    </row>
    <row r="336" spans="1:19">
      <c r="A336" s="159"/>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4">
        <f t="shared" si="61"/>
        <v>0</v>
      </c>
      <c r="S336" s="361">
        <f t="shared" si="63"/>
        <v>0</v>
      </c>
    </row>
    <row r="337" spans="1:19">
      <c r="A337" s="159"/>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4">
        <f t="shared" si="61"/>
        <v>0</v>
      </c>
      <c r="S337" s="361">
        <f t="shared" si="63"/>
        <v>0</v>
      </c>
    </row>
    <row r="338" spans="1:19">
      <c r="A338" s="159"/>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4">
        <f t="shared" si="61"/>
        <v>0</v>
      </c>
      <c r="S338" s="361">
        <f t="shared" si="63"/>
        <v>0</v>
      </c>
    </row>
    <row r="339" spans="1:19">
      <c r="A339" s="159"/>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4">
        <f t="shared" si="61"/>
        <v>0</v>
      </c>
      <c r="S339" s="361">
        <f t="shared" si="63"/>
        <v>0</v>
      </c>
    </row>
    <row r="340" spans="1:19">
      <c r="A340" s="159"/>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4">
        <f t="shared" si="61"/>
        <v>0</v>
      </c>
      <c r="S340" s="361">
        <f t="shared" si="63"/>
        <v>0</v>
      </c>
    </row>
    <row r="341" spans="1:19">
      <c r="A341" s="159"/>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4">
        <f t="shared" si="61"/>
        <v>0</v>
      </c>
      <c r="S341" s="361">
        <f t="shared" si="63"/>
        <v>0</v>
      </c>
    </row>
    <row r="342" spans="1:19">
      <c r="A342" s="159"/>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4">
        <f t="shared" si="61"/>
        <v>0</v>
      </c>
      <c r="S342" s="361">
        <f t="shared" si="63"/>
        <v>0</v>
      </c>
    </row>
    <row r="343" spans="1:19">
      <c r="A343" s="159"/>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4">
        <f t="shared" si="61"/>
        <v>0</v>
      </c>
      <c r="S343" s="361">
        <f t="shared" si="63"/>
        <v>0</v>
      </c>
    </row>
    <row r="344" spans="1:19">
      <c r="A344" s="159"/>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4">
        <f t="shared" si="61"/>
        <v>0</v>
      </c>
      <c r="S344" s="361">
        <f t="shared" si="63"/>
        <v>0</v>
      </c>
    </row>
    <row r="345" spans="1:19">
      <c r="A345" s="159"/>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4">
        <f t="shared" si="72"/>
        <v>0</v>
      </c>
      <c r="S347" s="361">
        <f t="shared" si="63"/>
        <v>0</v>
      </c>
    </row>
    <row r="348" spans="1:19">
      <c r="A348" s="159"/>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4">
        <f t="shared" si="72"/>
        <v>0</v>
      </c>
      <c r="S348" s="361">
        <f t="shared" si="63"/>
        <v>0</v>
      </c>
    </row>
    <row r="349" spans="1:19">
      <c r="A349" s="159"/>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4">
        <f t="shared" si="72"/>
        <v>0</v>
      </c>
      <c r="S349" s="361">
        <f t="shared" si="63"/>
        <v>0</v>
      </c>
    </row>
    <row r="350" spans="1:19">
      <c r="A350" s="159"/>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4">
        <f t="shared" si="72"/>
        <v>0</v>
      </c>
      <c r="S350" s="361">
        <f t="shared" si="63"/>
        <v>0</v>
      </c>
    </row>
    <row r="351" spans="1:19">
      <c r="A351" s="159"/>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4">
        <f t="shared" si="72"/>
        <v>0</v>
      </c>
      <c r="S351" s="361">
        <f t="shared" si="63"/>
        <v>0</v>
      </c>
    </row>
    <row r="352" spans="1:19">
      <c r="A352" s="159"/>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4">
        <f t="shared" si="72"/>
        <v>0</v>
      </c>
      <c r="S352" s="361">
        <f t="shared" si="63"/>
        <v>0</v>
      </c>
    </row>
    <row r="353" spans="1:19">
      <c r="A353" s="159"/>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4">
        <f t="shared" si="72"/>
        <v>0</v>
      </c>
      <c r="S353" s="361">
        <f t="shared" si="63"/>
        <v>0</v>
      </c>
    </row>
    <row r="354" spans="1:19">
      <c r="A354" s="159"/>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4">
        <f t="shared" si="72"/>
        <v>0</v>
      </c>
      <c r="S354" s="361">
        <f t="shared" si="63"/>
        <v>0</v>
      </c>
    </row>
    <row r="355" spans="1:19">
      <c r="A355" s="159"/>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4">
        <f t="shared" si="72"/>
        <v>0</v>
      </c>
      <c r="S355" s="361">
        <f t="shared" si="63"/>
        <v>0</v>
      </c>
    </row>
    <row r="356" spans="1:19">
      <c r="A356" s="159"/>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4">
        <f t="shared" si="72"/>
        <v>0</v>
      </c>
      <c r="S356" s="361">
        <f t="shared" si="63"/>
        <v>0</v>
      </c>
    </row>
    <row r="357" spans="1:19">
      <c r="A357" s="159"/>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4">
        <f t="shared" si="72"/>
        <v>0</v>
      </c>
      <c r="S357" s="361">
        <f t="shared" si="63"/>
        <v>0</v>
      </c>
    </row>
    <row r="358" spans="1:19">
      <c r="A358" s="159"/>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4">
        <f t="shared" si="72"/>
        <v>0</v>
      </c>
      <c r="S358" s="361">
        <f t="shared" si="63"/>
        <v>0</v>
      </c>
    </row>
    <row r="359" spans="1:19">
      <c r="A359" s="159"/>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4">
        <f t="shared" si="72"/>
        <v>0</v>
      </c>
      <c r="S359" s="361">
        <f t="shared" si="63"/>
        <v>0</v>
      </c>
    </row>
    <row r="360" spans="1:19">
      <c r="A360" s="159"/>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4">
        <f t="shared" si="72"/>
        <v>0</v>
      </c>
      <c r="S360" s="361">
        <f t="shared" si="63"/>
        <v>0</v>
      </c>
    </row>
    <row r="361" spans="1:19">
      <c r="A361" s="159"/>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4">
        <f t="shared" si="72"/>
        <v>0</v>
      </c>
      <c r="S361" s="361">
        <f t="shared" si="63"/>
        <v>0</v>
      </c>
    </row>
    <row r="362" spans="1:19">
      <c r="A362" s="159"/>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4">
        <f t="shared" si="72"/>
        <v>0</v>
      </c>
      <c r="S362" s="361">
        <f t="shared" si="63"/>
        <v>0</v>
      </c>
    </row>
    <row r="363" spans="1:19">
      <c r="A363" s="159"/>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4">
        <f t="shared" si="72"/>
        <v>0</v>
      </c>
      <c r="S363" s="361">
        <f t="shared" si="63"/>
        <v>0</v>
      </c>
    </row>
    <row r="364" spans="1:19">
      <c r="A364" s="159"/>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4">
        <f t="shared" si="72"/>
        <v>0</v>
      </c>
      <c r="S364" s="361">
        <f t="shared" si="63"/>
        <v>0</v>
      </c>
    </row>
    <row r="365" spans="1:19">
      <c r="A365" s="159"/>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4">
        <f t="shared" si="72"/>
        <v>0</v>
      </c>
      <c r="S365" s="361">
        <f t="shared" si="63"/>
        <v>0</v>
      </c>
    </row>
    <row r="366" spans="1:19">
      <c r="A366" s="159"/>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4">
        <f t="shared" si="72"/>
        <v>0</v>
      </c>
      <c r="S366" s="361">
        <f t="shared" si="63"/>
        <v>0</v>
      </c>
    </row>
    <row r="367" spans="1:19">
      <c r="A367" s="159"/>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4">
        <f t="shared" si="72"/>
        <v>0</v>
      </c>
      <c r="S367" s="361">
        <f t="shared" si="63"/>
        <v>0</v>
      </c>
    </row>
    <row r="368" spans="1:19">
      <c r="A368" s="159"/>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4">
        <f t="shared" si="72"/>
        <v>0</v>
      </c>
      <c r="S368" s="361">
        <f t="shared" si="63"/>
        <v>0</v>
      </c>
    </row>
    <row r="369" spans="1:19">
      <c r="A369" s="159"/>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4">
        <f t="shared" si="72"/>
        <v>0</v>
      </c>
      <c r="S369" s="361">
        <f t="shared" si="63"/>
        <v>0</v>
      </c>
    </row>
    <row r="370" spans="1:19">
      <c r="A370" s="159"/>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4">
        <f t="shared" si="72"/>
        <v>0</v>
      </c>
      <c r="S370" s="361">
        <f t="shared" si="63"/>
        <v>0</v>
      </c>
    </row>
    <row r="371" spans="1:19">
      <c r="A371" s="159"/>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4">
        <f t="shared" si="72"/>
        <v>0</v>
      </c>
      <c r="S371" s="361">
        <f t="shared" si="63"/>
        <v>0</v>
      </c>
    </row>
    <row r="372" spans="1:19">
      <c r="A372" s="159"/>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4">
        <f t="shared" si="72"/>
        <v>0</v>
      </c>
      <c r="S372" s="361">
        <f t="shared" si="63"/>
        <v>0</v>
      </c>
    </row>
    <row r="373" spans="1:19">
      <c r="A373" s="159"/>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4">
        <f t="shared" si="72"/>
        <v>0</v>
      </c>
      <c r="S373" s="361">
        <f t="shared" si="63"/>
        <v>0</v>
      </c>
    </row>
    <row r="374" spans="1:19">
      <c r="A374" s="159"/>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4">
        <f t="shared" si="72"/>
        <v>0</v>
      </c>
      <c r="S374" s="361">
        <f t="shared" si="63"/>
        <v>0</v>
      </c>
    </row>
    <row r="375" spans="1:19">
      <c r="A375" s="159"/>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4">
        <f t="shared" si="72"/>
        <v>0</v>
      </c>
      <c r="S375" s="361">
        <f t="shared" si="63"/>
        <v>0</v>
      </c>
    </row>
    <row r="376" spans="1:19">
      <c r="A376" s="159"/>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4">
        <f t="shared" si="72"/>
        <v>0</v>
      </c>
      <c r="S376" s="361">
        <f t="shared" si="63"/>
        <v>0</v>
      </c>
    </row>
    <row r="377" spans="1:19">
      <c r="A377" s="159"/>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4">
        <f t="shared" si="72"/>
        <v>0</v>
      </c>
      <c r="S377" s="361">
        <f t="shared" si="63"/>
        <v>0</v>
      </c>
    </row>
    <row r="378" spans="1:19">
      <c r="A378" s="159"/>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4">
        <f t="shared" si="72"/>
        <v>0</v>
      </c>
      <c r="S378" s="361">
        <f t="shared" si="63"/>
        <v>0</v>
      </c>
    </row>
    <row r="379" spans="1:19">
      <c r="A379" s="159"/>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4">
        <f t="shared" si="72"/>
        <v>0</v>
      </c>
      <c r="S379" s="361">
        <f t="shared" si="63"/>
        <v>0</v>
      </c>
    </row>
    <row r="380" spans="1:19">
      <c r="A380" s="159"/>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4">
        <f t="shared" si="72"/>
        <v>0</v>
      </c>
      <c r="S380" s="361">
        <f t="shared" si="63"/>
        <v>0</v>
      </c>
    </row>
    <row r="381" spans="1:19">
      <c r="A381" s="159"/>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4">
        <f t="shared" si="72"/>
        <v>0</v>
      </c>
      <c r="S381" s="361">
        <f t="shared" si="63"/>
        <v>0</v>
      </c>
    </row>
    <row r="382" spans="1:19">
      <c r="A382" s="159"/>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4">
        <f t="shared" si="72"/>
        <v>0</v>
      </c>
      <c r="S382" s="361">
        <f t="shared" si="63"/>
        <v>0</v>
      </c>
    </row>
    <row r="383" spans="1:19">
      <c r="A383" s="159"/>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4">
        <f t="shared" si="72"/>
        <v>0</v>
      </c>
      <c r="S383" s="361">
        <f t="shared" si="63"/>
        <v>0</v>
      </c>
    </row>
    <row r="384" spans="1:19">
      <c r="A384" s="159"/>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4">
        <f t="shared" si="72"/>
        <v>0</v>
      </c>
      <c r="S384" s="361">
        <f t="shared" si="63"/>
        <v>0</v>
      </c>
    </row>
    <row r="385" spans="1:19">
      <c r="A385" s="159"/>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4">
        <f t="shared" si="72"/>
        <v>0</v>
      </c>
      <c r="S385" s="361">
        <f t="shared" ref="S385:S422" si="73">ROUND(R385*B385/10000,0)</f>
        <v>0</v>
      </c>
    </row>
    <row r="386" spans="1:19">
      <c r="A386" s="159"/>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4">
        <f t="shared" si="72"/>
        <v>0</v>
      </c>
      <c r="S386" s="361">
        <f t="shared" si="73"/>
        <v>0</v>
      </c>
    </row>
    <row r="387" spans="1:19">
      <c r="A387" s="159"/>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4">
        <f t="shared" si="72"/>
        <v>0</v>
      </c>
      <c r="S387" s="361">
        <f t="shared" si="73"/>
        <v>0</v>
      </c>
    </row>
    <row r="388" spans="1:19">
      <c r="A388" s="159"/>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4">
        <f t="shared" si="72"/>
        <v>0</v>
      </c>
      <c r="S388" s="361">
        <f t="shared" si="73"/>
        <v>0</v>
      </c>
    </row>
    <row r="389" spans="1:19">
      <c r="A389" s="159"/>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4">
        <f t="shared" si="72"/>
        <v>0</v>
      </c>
      <c r="S389" s="361">
        <f t="shared" si="73"/>
        <v>0</v>
      </c>
    </row>
    <row r="390" spans="1:19">
      <c r="A390" s="159"/>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4">
        <f t="shared" si="72"/>
        <v>0</v>
      </c>
      <c r="S390" s="361">
        <f t="shared" si="73"/>
        <v>0</v>
      </c>
    </row>
    <row r="391" spans="1:19">
      <c r="A391" s="159"/>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4">
        <f t="shared" si="72"/>
        <v>0</v>
      </c>
      <c r="S391" s="361">
        <f t="shared" si="73"/>
        <v>0</v>
      </c>
    </row>
    <row r="392" spans="1:19">
      <c r="A392" s="159"/>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4">
        <f t="shared" si="72"/>
        <v>0</v>
      </c>
      <c r="S392" s="361">
        <f t="shared" si="73"/>
        <v>0</v>
      </c>
    </row>
    <row r="393" spans="1:19">
      <c r="A393" s="159"/>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4">
        <f t="shared" si="72"/>
        <v>0</v>
      </c>
      <c r="S393" s="361">
        <f t="shared" si="73"/>
        <v>0</v>
      </c>
    </row>
    <row r="394" spans="1:19">
      <c r="A394" s="159"/>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4">
        <f t="shared" si="72"/>
        <v>0</v>
      </c>
      <c r="S394" s="361">
        <f t="shared" si="73"/>
        <v>0</v>
      </c>
    </row>
    <row r="395" spans="1:19">
      <c r="A395" s="159"/>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4">
        <f t="shared" si="72"/>
        <v>0</v>
      </c>
      <c r="S395" s="361">
        <f t="shared" si="73"/>
        <v>0</v>
      </c>
    </row>
    <row r="396" spans="1:19">
      <c r="A396" s="159"/>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4">
        <f t="shared" si="72"/>
        <v>0</v>
      </c>
      <c r="S396" s="361">
        <f t="shared" si="73"/>
        <v>0</v>
      </c>
    </row>
    <row r="397" spans="1:19">
      <c r="A397" s="159"/>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4">
        <f t="shared" si="72"/>
        <v>0</v>
      </c>
      <c r="S397" s="361">
        <f t="shared" si="73"/>
        <v>0</v>
      </c>
    </row>
    <row r="398" spans="1:19">
      <c r="A398" s="159"/>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4">
        <f t="shared" si="72"/>
        <v>0</v>
      </c>
      <c r="S398" s="361">
        <f t="shared" si="73"/>
        <v>0</v>
      </c>
    </row>
    <row r="399" spans="1:19">
      <c r="A399" s="159"/>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4">
        <f t="shared" si="72"/>
        <v>0</v>
      </c>
      <c r="S399" s="361">
        <f t="shared" si="73"/>
        <v>0</v>
      </c>
    </row>
    <row r="400" spans="1:19">
      <c r="A400" s="159"/>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4">
        <f t="shared" si="72"/>
        <v>0</v>
      </c>
      <c r="S400" s="361">
        <f t="shared" si="73"/>
        <v>0</v>
      </c>
    </row>
    <row r="401" spans="1:19">
      <c r="A401" s="159"/>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4">
        <f t="shared" si="72"/>
        <v>0</v>
      </c>
      <c r="S401" s="361">
        <f t="shared" si="73"/>
        <v>0</v>
      </c>
    </row>
    <row r="402" spans="1:19">
      <c r="A402" s="159"/>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4">
        <f t="shared" si="72"/>
        <v>0</v>
      </c>
      <c r="S402" s="361">
        <f t="shared" si="73"/>
        <v>0</v>
      </c>
    </row>
    <row r="403" spans="1:19">
      <c r="A403" s="159"/>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4">
        <f t="shared" si="72"/>
        <v>0</v>
      </c>
      <c r="S403" s="361">
        <f t="shared" si="73"/>
        <v>0</v>
      </c>
    </row>
    <row r="404" spans="1:19">
      <c r="A404" s="159"/>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4">
        <f t="shared" si="72"/>
        <v>0</v>
      </c>
      <c r="S404" s="361">
        <f t="shared" si="73"/>
        <v>0</v>
      </c>
    </row>
    <row r="405" spans="1:19">
      <c r="A405" s="159"/>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4">
        <f t="shared" si="72"/>
        <v>0</v>
      </c>
      <c r="S405" s="361">
        <f t="shared" si="73"/>
        <v>0</v>
      </c>
    </row>
    <row r="406" spans="1:19">
      <c r="A406" s="159"/>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4">
        <f t="shared" si="72"/>
        <v>0</v>
      </c>
      <c r="S406" s="361">
        <f t="shared" si="73"/>
        <v>0</v>
      </c>
    </row>
    <row r="407" spans="1:19">
      <c r="A407" s="159"/>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4">
        <f t="shared" si="72"/>
        <v>0</v>
      </c>
      <c r="S407" s="361">
        <f t="shared" si="73"/>
        <v>0</v>
      </c>
    </row>
    <row r="408" spans="1:19">
      <c r="A408" s="159"/>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4">
        <f t="shared" si="72"/>
        <v>0</v>
      </c>
      <c r="S408" s="361">
        <f t="shared" si="73"/>
        <v>0</v>
      </c>
    </row>
    <row r="409" spans="1:19">
      <c r="A409" s="159"/>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4">
        <f t="shared" si="82"/>
        <v>0</v>
      </c>
      <c r="S411" s="361">
        <f t="shared" si="73"/>
        <v>0</v>
      </c>
    </row>
    <row r="412" spans="1:19">
      <c r="A412" s="159"/>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4">
        <f t="shared" si="82"/>
        <v>0</v>
      </c>
      <c r="S412" s="361">
        <f t="shared" si="73"/>
        <v>0</v>
      </c>
    </row>
    <row r="413" spans="1:19">
      <c r="A413" s="159"/>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4">
        <f t="shared" si="82"/>
        <v>0</v>
      </c>
      <c r="S413" s="361">
        <f t="shared" si="73"/>
        <v>0</v>
      </c>
    </row>
    <row r="414" spans="1:19">
      <c r="A414" s="159"/>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4">
        <f t="shared" si="82"/>
        <v>0</v>
      </c>
      <c r="S414" s="361">
        <f t="shared" si="73"/>
        <v>0</v>
      </c>
    </row>
    <row r="415" spans="1:19">
      <c r="A415" s="159"/>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4">
        <f t="shared" si="82"/>
        <v>0</v>
      </c>
      <c r="S415" s="361">
        <f t="shared" si="73"/>
        <v>0</v>
      </c>
    </row>
    <row r="416" spans="1:19">
      <c r="A416" s="159"/>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4">
        <f t="shared" si="82"/>
        <v>0</v>
      </c>
      <c r="S416" s="361">
        <f t="shared" si="73"/>
        <v>0</v>
      </c>
    </row>
    <row r="417" spans="1:19">
      <c r="A417" s="159"/>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4">
        <f t="shared" si="82"/>
        <v>0</v>
      </c>
      <c r="S417" s="361">
        <f t="shared" si="73"/>
        <v>0</v>
      </c>
    </row>
    <row r="418" spans="1:19">
      <c r="A418" s="159"/>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4">
        <f t="shared" si="82"/>
        <v>0</v>
      </c>
      <c r="S418" s="361">
        <f t="shared" si="73"/>
        <v>0</v>
      </c>
    </row>
    <row r="419" spans="1:19">
      <c r="A419" s="159"/>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4">
        <f t="shared" si="82"/>
        <v>0</v>
      </c>
      <c r="S419" s="361">
        <f t="shared" si="73"/>
        <v>0</v>
      </c>
    </row>
    <row r="420" spans="1:19">
      <c r="A420" s="159"/>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4">
        <f t="shared" si="82"/>
        <v>0</v>
      </c>
      <c r="S420" s="361">
        <f t="shared" si="73"/>
        <v>0</v>
      </c>
    </row>
    <row r="421" spans="1:19">
      <c r="A421" s="159"/>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4">
        <f t="shared" si="82"/>
        <v>0</v>
      </c>
      <c r="S421" s="361">
        <f t="shared" si="73"/>
        <v>0</v>
      </c>
    </row>
    <row r="422" spans="1:19">
      <c r="A422" s="159"/>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4">
        <f t="shared" si="82"/>
        <v>0</v>
      </c>
      <c r="S422" s="361">
        <f t="shared" si="73"/>
        <v>0</v>
      </c>
    </row>
    <row r="423" spans="1:19">
      <c r="A423" s="159"/>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4">
        <f t="shared" si="82"/>
        <v>0</v>
      </c>
      <c r="S423" s="361">
        <f t="shared" ref="S423:S467" si="83">ROUND(R423*B423/10000,0)</f>
        <v>0</v>
      </c>
    </row>
    <row r="424" spans="1:19">
      <c r="A424" s="159"/>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4">
        <f t="shared" si="82"/>
        <v>0</v>
      </c>
      <c r="S424" s="361">
        <f t="shared" si="83"/>
        <v>0</v>
      </c>
    </row>
    <row r="425" spans="1:19">
      <c r="A425" s="159"/>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4">
        <f t="shared" si="82"/>
        <v>0</v>
      </c>
      <c r="S425" s="361">
        <f t="shared" si="83"/>
        <v>0</v>
      </c>
    </row>
    <row r="426" spans="1:19">
      <c r="A426" s="159"/>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4">
        <f t="shared" si="82"/>
        <v>0</v>
      </c>
      <c r="S426" s="361">
        <f t="shared" si="83"/>
        <v>0</v>
      </c>
    </row>
    <row r="427" spans="1:19">
      <c r="A427" s="159"/>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4">
        <f t="shared" si="82"/>
        <v>0</v>
      </c>
      <c r="S427" s="361">
        <f t="shared" si="83"/>
        <v>0</v>
      </c>
    </row>
    <row r="428" spans="1:19">
      <c r="A428" s="159"/>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4">
        <f t="shared" si="82"/>
        <v>0</v>
      </c>
      <c r="S428" s="361">
        <f t="shared" si="83"/>
        <v>0</v>
      </c>
    </row>
    <row r="429" spans="1:19">
      <c r="A429" s="159"/>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4">
        <f t="shared" si="82"/>
        <v>0</v>
      </c>
      <c r="S429" s="361">
        <f t="shared" si="83"/>
        <v>0</v>
      </c>
    </row>
    <row r="430" spans="1:19">
      <c r="A430" s="159"/>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4">
        <f t="shared" si="82"/>
        <v>0</v>
      </c>
      <c r="S430" s="361">
        <f t="shared" si="83"/>
        <v>0</v>
      </c>
    </row>
    <row r="431" spans="1:19">
      <c r="A431" s="159"/>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4">
        <f t="shared" si="82"/>
        <v>0</v>
      </c>
      <c r="S431" s="361">
        <f t="shared" si="83"/>
        <v>0</v>
      </c>
    </row>
    <row r="432" spans="1:19">
      <c r="A432" s="159"/>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4">
        <f t="shared" si="82"/>
        <v>0</v>
      </c>
      <c r="S432" s="361">
        <f t="shared" si="83"/>
        <v>0</v>
      </c>
    </row>
    <row r="433" spans="1:19">
      <c r="A433" s="159"/>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4">
        <f t="shared" si="82"/>
        <v>0</v>
      </c>
      <c r="S433" s="361">
        <f t="shared" si="83"/>
        <v>0</v>
      </c>
    </row>
    <row r="434" spans="1:19">
      <c r="A434" s="159"/>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4">
        <f t="shared" si="82"/>
        <v>0</v>
      </c>
      <c r="S434" s="361">
        <f t="shared" si="83"/>
        <v>0</v>
      </c>
    </row>
    <row r="435" spans="1:19">
      <c r="A435" s="159"/>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4">
        <f t="shared" si="82"/>
        <v>0</v>
      </c>
      <c r="S435" s="361">
        <f t="shared" si="83"/>
        <v>0</v>
      </c>
    </row>
    <row r="436" spans="1:19">
      <c r="A436" s="159"/>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4">
        <f t="shared" si="82"/>
        <v>0</v>
      </c>
      <c r="S436" s="361">
        <f t="shared" si="83"/>
        <v>0</v>
      </c>
    </row>
    <row r="437" spans="1:19">
      <c r="A437" s="159"/>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4">
        <f t="shared" si="82"/>
        <v>0</v>
      </c>
      <c r="S437" s="361">
        <f t="shared" si="83"/>
        <v>0</v>
      </c>
    </row>
    <row r="438" spans="1:19">
      <c r="A438" s="159"/>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4">
        <f t="shared" si="82"/>
        <v>0</v>
      </c>
      <c r="S438" s="361">
        <f t="shared" si="83"/>
        <v>0</v>
      </c>
    </row>
    <row r="439" spans="1:19">
      <c r="A439" s="159"/>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4">
        <f t="shared" si="82"/>
        <v>0</v>
      </c>
      <c r="S439" s="361">
        <f t="shared" si="83"/>
        <v>0</v>
      </c>
    </row>
    <row r="440" spans="1:19">
      <c r="A440" s="159"/>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4">
        <f t="shared" si="82"/>
        <v>0</v>
      </c>
      <c r="S440" s="361">
        <f t="shared" si="83"/>
        <v>0</v>
      </c>
    </row>
    <row r="441" spans="1:19">
      <c r="A441" s="159"/>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4">
        <f t="shared" si="82"/>
        <v>0</v>
      </c>
      <c r="S441" s="361">
        <f t="shared" si="83"/>
        <v>0</v>
      </c>
    </row>
    <row r="442" spans="1:19">
      <c r="A442" s="159"/>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4">
        <f t="shared" si="82"/>
        <v>0</v>
      </c>
      <c r="S442" s="361">
        <f t="shared" si="83"/>
        <v>0</v>
      </c>
    </row>
    <row r="443" spans="1:19">
      <c r="A443" s="159"/>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4">
        <f t="shared" si="82"/>
        <v>0</v>
      </c>
      <c r="S443" s="361">
        <f t="shared" si="83"/>
        <v>0</v>
      </c>
    </row>
    <row r="444" spans="1:19">
      <c r="A444" s="159"/>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4">
        <f t="shared" si="82"/>
        <v>0</v>
      </c>
      <c r="S444" s="361">
        <f t="shared" si="83"/>
        <v>0</v>
      </c>
    </row>
    <row r="445" spans="1:19">
      <c r="A445" s="159"/>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4">
        <f t="shared" si="82"/>
        <v>0</v>
      </c>
      <c r="S445" s="361">
        <f t="shared" si="83"/>
        <v>0</v>
      </c>
    </row>
    <row r="446" spans="1:19">
      <c r="A446" s="159"/>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4">
        <f t="shared" si="82"/>
        <v>0</v>
      </c>
      <c r="S446" s="361">
        <f t="shared" si="83"/>
        <v>0</v>
      </c>
    </row>
    <row r="447" spans="1:19">
      <c r="A447" s="159"/>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4">
        <f t="shared" si="82"/>
        <v>0</v>
      </c>
      <c r="S447" s="361">
        <f t="shared" si="83"/>
        <v>0</v>
      </c>
    </row>
    <row r="448" spans="1:19">
      <c r="A448" s="159"/>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4">
        <f t="shared" si="82"/>
        <v>0</v>
      </c>
      <c r="S448" s="361">
        <f t="shared" si="83"/>
        <v>0</v>
      </c>
    </row>
    <row r="449" spans="1:19">
      <c r="A449" s="159"/>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4">
        <f t="shared" si="82"/>
        <v>0</v>
      </c>
      <c r="S449" s="361">
        <f t="shared" si="83"/>
        <v>0</v>
      </c>
    </row>
    <row r="450" spans="1:19">
      <c r="A450" s="159"/>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4">
        <f t="shared" si="82"/>
        <v>0</v>
      </c>
      <c r="S450" s="361">
        <f t="shared" si="83"/>
        <v>0</v>
      </c>
    </row>
    <row r="451" spans="1:19">
      <c r="A451" s="159"/>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4">
        <f t="shared" si="82"/>
        <v>0</v>
      </c>
      <c r="S451" s="361">
        <f t="shared" si="83"/>
        <v>0</v>
      </c>
    </row>
    <row r="452" spans="1:19">
      <c r="A452" s="159"/>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4">
        <f t="shared" si="82"/>
        <v>0</v>
      </c>
      <c r="S452" s="361">
        <f t="shared" si="83"/>
        <v>0</v>
      </c>
    </row>
    <row r="453" spans="1:19">
      <c r="A453" s="159"/>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4">
        <f t="shared" si="82"/>
        <v>0</v>
      </c>
      <c r="S453" s="361">
        <f t="shared" si="83"/>
        <v>0</v>
      </c>
    </row>
    <row r="454" spans="1:19">
      <c r="A454" s="159"/>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4">
        <f t="shared" si="82"/>
        <v>0</v>
      </c>
      <c r="S454" s="361">
        <f t="shared" si="83"/>
        <v>0</v>
      </c>
    </row>
    <row r="455" spans="1:19">
      <c r="A455" s="159"/>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4">
        <f t="shared" si="82"/>
        <v>0</v>
      </c>
      <c r="S455" s="361">
        <f t="shared" si="83"/>
        <v>0</v>
      </c>
    </row>
    <row r="456" spans="1:19">
      <c r="A456" s="159"/>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4">
        <f t="shared" si="82"/>
        <v>0</v>
      </c>
      <c r="S456" s="361">
        <f t="shared" si="83"/>
        <v>0</v>
      </c>
    </row>
    <row r="457" spans="1:19">
      <c r="A457" s="159"/>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4">
        <f t="shared" si="82"/>
        <v>0</v>
      </c>
      <c r="S457" s="361">
        <f t="shared" si="83"/>
        <v>0</v>
      </c>
    </row>
    <row r="458" spans="1:19">
      <c r="A458" s="159"/>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4">
        <f t="shared" si="82"/>
        <v>0</v>
      </c>
      <c r="S458" s="361">
        <f t="shared" si="83"/>
        <v>0</v>
      </c>
    </row>
    <row r="459" spans="1:19">
      <c r="A459" s="159"/>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4">
        <f t="shared" si="82"/>
        <v>0</v>
      </c>
      <c r="S459" s="361">
        <f t="shared" si="83"/>
        <v>0</v>
      </c>
    </row>
    <row r="460" spans="1:19">
      <c r="A460" s="159"/>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4">
        <f t="shared" si="82"/>
        <v>0</v>
      </c>
      <c r="S460" s="361">
        <f t="shared" si="83"/>
        <v>0</v>
      </c>
    </row>
    <row r="461" spans="1:19">
      <c r="A461" s="159"/>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4">
        <f t="shared" si="82"/>
        <v>0</v>
      </c>
      <c r="S461" s="361">
        <f t="shared" si="83"/>
        <v>0</v>
      </c>
    </row>
    <row r="462" spans="1:19">
      <c r="A462" s="159"/>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4">
        <f t="shared" si="82"/>
        <v>0</v>
      </c>
      <c r="S462" s="361">
        <f t="shared" si="83"/>
        <v>0</v>
      </c>
    </row>
    <row r="463" spans="1:19">
      <c r="A463" s="159"/>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4">
        <f t="shared" si="82"/>
        <v>0</v>
      </c>
      <c r="S463" s="361">
        <f t="shared" si="83"/>
        <v>0</v>
      </c>
    </row>
    <row r="464" spans="1:19">
      <c r="A464" s="159"/>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4">
        <f t="shared" si="82"/>
        <v>0</v>
      </c>
      <c r="S464" s="361">
        <f t="shared" si="83"/>
        <v>0</v>
      </c>
    </row>
    <row r="465" spans="1:19">
      <c r="A465" s="159"/>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4">
        <f t="shared" si="82"/>
        <v>0</v>
      </c>
      <c r="S465" s="361">
        <f t="shared" si="83"/>
        <v>0</v>
      </c>
    </row>
    <row r="466" spans="1:19">
      <c r="A466" s="159"/>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4">
        <f t="shared" si="82"/>
        <v>0</v>
      </c>
      <c r="S466" s="361">
        <f t="shared" si="83"/>
        <v>0</v>
      </c>
    </row>
    <row r="467" spans="1:19">
      <c r="A467" s="159"/>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4">
        <f t="shared" si="82"/>
        <v>0</v>
      </c>
      <c r="S467" s="361">
        <f t="shared" si="83"/>
        <v>0</v>
      </c>
    </row>
    <row r="468" spans="1:19">
      <c r="A468" s="159"/>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4">
        <f t="shared" si="82"/>
        <v>0</v>
      </c>
      <c r="S468" s="361">
        <f t="shared" ref="S468:S497" si="84">ROUND(R468*B468/10000,0)</f>
        <v>0</v>
      </c>
    </row>
    <row r="469" spans="1:19">
      <c r="A469" s="159"/>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4">
        <f t="shared" si="82"/>
        <v>0</v>
      </c>
      <c r="S469" s="361">
        <f t="shared" si="84"/>
        <v>0</v>
      </c>
    </row>
    <row r="470" spans="1:19">
      <c r="A470" s="159"/>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4">
        <f t="shared" si="82"/>
        <v>0</v>
      </c>
      <c r="S470" s="361">
        <f t="shared" si="84"/>
        <v>0</v>
      </c>
    </row>
    <row r="471" spans="1:19">
      <c r="A471" s="159"/>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4">
        <f t="shared" si="82"/>
        <v>0</v>
      </c>
      <c r="S471" s="361">
        <f t="shared" si="84"/>
        <v>0</v>
      </c>
    </row>
    <row r="472" spans="1:19">
      <c r="A472" s="159"/>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4">
        <f t="shared" si="82"/>
        <v>0</v>
      </c>
      <c r="S472" s="361">
        <f t="shared" si="84"/>
        <v>0</v>
      </c>
    </row>
    <row r="473" spans="1:19">
      <c r="A473" s="159"/>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4">
        <f t="shared" si="93"/>
        <v>0</v>
      </c>
      <c r="S475" s="361">
        <f t="shared" si="84"/>
        <v>0</v>
      </c>
    </row>
    <row r="476" spans="1:19">
      <c r="A476" s="159"/>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4">
        <f t="shared" si="93"/>
        <v>0</v>
      </c>
      <c r="S476" s="361">
        <f t="shared" si="84"/>
        <v>0</v>
      </c>
    </row>
    <row r="477" spans="1:19">
      <c r="A477" s="159"/>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4">
        <f t="shared" si="93"/>
        <v>0</v>
      </c>
      <c r="S477" s="361">
        <f t="shared" si="84"/>
        <v>0</v>
      </c>
    </row>
    <row r="478" spans="1:19">
      <c r="A478" s="159"/>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4">
        <f t="shared" si="93"/>
        <v>0</v>
      </c>
      <c r="S478" s="361">
        <f t="shared" si="84"/>
        <v>0</v>
      </c>
    </row>
    <row r="479" spans="1:19">
      <c r="A479" s="159"/>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4">
        <f t="shared" si="93"/>
        <v>0</v>
      </c>
      <c r="S479" s="361">
        <f t="shared" si="84"/>
        <v>0</v>
      </c>
    </row>
    <row r="480" spans="1:19">
      <c r="A480" s="159"/>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4">
        <f t="shared" si="93"/>
        <v>0</v>
      </c>
      <c r="S480" s="361">
        <f t="shared" si="84"/>
        <v>0</v>
      </c>
    </row>
    <row r="481" spans="1:19">
      <c r="A481" s="159"/>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4">
        <f t="shared" si="93"/>
        <v>0</v>
      </c>
      <c r="S481" s="361">
        <f t="shared" si="84"/>
        <v>0</v>
      </c>
    </row>
    <row r="482" spans="1:19">
      <c r="A482" s="159"/>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4">
        <f t="shared" si="93"/>
        <v>0</v>
      </c>
      <c r="S482" s="361">
        <f t="shared" si="84"/>
        <v>0</v>
      </c>
    </row>
    <row r="483" spans="1:19">
      <c r="A483" s="159"/>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4">
        <f t="shared" si="93"/>
        <v>0</v>
      </c>
      <c r="S483" s="361">
        <f t="shared" si="84"/>
        <v>0</v>
      </c>
    </row>
    <row r="484" spans="1:19">
      <c r="A484" s="159"/>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4">
        <f t="shared" si="93"/>
        <v>0</v>
      </c>
      <c r="S484" s="361">
        <f t="shared" si="84"/>
        <v>0</v>
      </c>
    </row>
    <row r="485" spans="1:19">
      <c r="A485" s="159"/>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4">
        <f t="shared" si="93"/>
        <v>0</v>
      </c>
      <c r="S485" s="361">
        <f t="shared" si="84"/>
        <v>0</v>
      </c>
    </row>
    <row r="486" spans="1:19">
      <c r="A486" s="159"/>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4">
        <f t="shared" si="93"/>
        <v>0</v>
      </c>
      <c r="S486" s="361">
        <f t="shared" si="84"/>
        <v>0</v>
      </c>
    </row>
    <row r="487" spans="1:19">
      <c r="A487" s="159"/>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4">
        <f t="shared" si="93"/>
        <v>0</v>
      </c>
      <c r="S487" s="361">
        <f t="shared" si="84"/>
        <v>0</v>
      </c>
    </row>
    <row r="488" spans="1:19">
      <c r="A488" s="159"/>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4">
        <f t="shared" si="93"/>
        <v>0</v>
      </c>
      <c r="S488" s="361">
        <f t="shared" si="84"/>
        <v>0</v>
      </c>
    </row>
    <row r="489" spans="1:19">
      <c r="A489" s="159"/>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4">
        <f t="shared" si="93"/>
        <v>0</v>
      </c>
      <c r="S489" s="361">
        <f t="shared" si="84"/>
        <v>0</v>
      </c>
    </row>
    <row r="490" spans="1:19">
      <c r="A490" s="159"/>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4">
        <f t="shared" si="93"/>
        <v>0</v>
      </c>
      <c r="S490" s="361">
        <f t="shared" si="84"/>
        <v>0</v>
      </c>
    </row>
    <row r="491" spans="1:19">
      <c r="A491" s="159"/>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4">
        <f t="shared" si="93"/>
        <v>0</v>
      </c>
      <c r="S491" s="361">
        <f t="shared" si="84"/>
        <v>0</v>
      </c>
    </row>
    <row r="492" spans="1:19">
      <c r="A492" s="159"/>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4">
        <f t="shared" si="93"/>
        <v>0</v>
      </c>
      <c r="S492" s="361">
        <f t="shared" si="84"/>
        <v>0</v>
      </c>
    </row>
    <row r="493" spans="1:19">
      <c r="A493" s="159"/>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4">
        <f t="shared" si="93"/>
        <v>0</v>
      </c>
      <c r="S493" s="361">
        <f t="shared" si="84"/>
        <v>0</v>
      </c>
    </row>
    <row r="494" spans="1:19">
      <c r="A494" s="159"/>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4">
        <f t="shared" si="93"/>
        <v>0</v>
      </c>
      <c r="S494" s="361">
        <f t="shared" si="84"/>
        <v>0</v>
      </c>
    </row>
    <row r="495" spans="1:19">
      <c r="A495" s="159"/>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4">
        <f t="shared" si="93"/>
        <v>0</v>
      </c>
      <c r="S495" s="361">
        <f t="shared" si="84"/>
        <v>0</v>
      </c>
    </row>
    <row r="496" spans="1:19">
      <c r="A496" s="159"/>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4">
        <f t="shared" si="93"/>
        <v>0</v>
      </c>
      <c r="S496" s="361">
        <f t="shared" si="84"/>
        <v>0</v>
      </c>
    </row>
    <row r="497" spans="1:19">
      <c r="A497" s="159"/>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4">
        <f t="shared" si="93"/>
        <v>0</v>
      </c>
      <c r="S497" s="361">
        <f t="shared" si="84"/>
        <v>0</v>
      </c>
    </row>
    <row r="498" spans="1:19">
      <c r="A498" s="159"/>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4">
        <f t="shared" si="93"/>
        <v>0</v>
      </c>
      <c r="S498" s="361">
        <f t="shared" ref="S498:S524" si="94">ROUND(R498*B498/10000,0)</f>
        <v>0</v>
      </c>
    </row>
    <row r="499" spans="1:19">
      <c r="A499" s="159"/>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4">
        <f t="shared" si="93"/>
        <v>0</v>
      </c>
      <c r="S499" s="361">
        <f t="shared" si="94"/>
        <v>0</v>
      </c>
    </row>
    <row r="500" spans="1:19">
      <c r="A500" s="159"/>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4">
        <f t="shared" si="93"/>
        <v>0</v>
      </c>
      <c r="S500" s="361">
        <f t="shared" si="94"/>
        <v>0</v>
      </c>
    </row>
    <row r="501" spans="1:19">
      <c r="A501" s="159"/>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4">
        <f t="shared" si="93"/>
        <v>0</v>
      </c>
      <c r="S501" s="361">
        <f t="shared" si="94"/>
        <v>0</v>
      </c>
    </row>
    <row r="502" spans="1:19">
      <c r="A502" s="159"/>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4">
        <f t="shared" si="93"/>
        <v>0</v>
      </c>
      <c r="S502" s="361">
        <f t="shared" si="94"/>
        <v>0</v>
      </c>
    </row>
    <row r="503" spans="1:19">
      <c r="A503" s="159"/>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4">
        <f t="shared" si="93"/>
        <v>0</v>
      </c>
      <c r="S503" s="361">
        <f t="shared" si="94"/>
        <v>0</v>
      </c>
    </row>
    <row r="504" spans="1:19">
      <c r="A504" s="159"/>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4">
        <f t="shared" si="93"/>
        <v>0</v>
      </c>
      <c r="S504" s="361">
        <f t="shared" si="94"/>
        <v>0</v>
      </c>
    </row>
    <row r="505" spans="1:19">
      <c r="A505" s="159"/>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4">
        <f t="shared" si="93"/>
        <v>0</v>
      </c>
      <c r="S505" s="361">
        <f t="shared" si="94"/>
        <v>0</v>
      </c>
    </row>
    <row r="506" spans="1:19">
      <c r="A506" s="159"/>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4">
        <f t="shared" si="93"/>
        <v>0</v>
      </c>
      <c r="S506" s="361">
        <f t="shared" si="94"/>
        <v>0</v>
      </c>
    </row>
    <row r="507" spans="1:19">
      <c r="A507" s="159"/>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4">
        <f t="shared" si="93"/>
        <v>0</v>
      </c>
      <c r="S507" s="361">
        <f t="shared" si="94"/>
        <v>0</v>
      </c>
    </row>
    <row r="508" spans="1:19">
      <c r="A508" s="159"/>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4">
        <f t="shared" si="93"/>
        <v>0</v>
      </c>
      <c r="S508" s="361">
        <f t="shared" si="94"/>
        <v>0</v>
      </c>
    </row>
    <row r="509" spans="1:19">
      <c r="A509" s="159"/>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4">
        <f t="shared" si="93"/>
        <v>0</v>
      </c>
      <c r="S509" s="361">
        <f t="shared" si="94"/>
        <v>0</v>
      </c>
    </row>
    <row r="510" spans="1:19">
      <c r="A510" s="159"/>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4">
        <f t="shared" si="93"/>
        <v>0</v>
      </c>
      <c r="S510" s="361">
        <f t="shared" si="94"/>
        <v>0</v>
      </c>
    </row>
    <row r="511" spans="1:19">
      <c r="A511" s="159"/>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4">
        <f t="shared" si="93"/>
        <v>0</v>
      </c>
      <c r="S511" s="361">
        <f t="shared" si="94"/>
        <v>0</v>
      </c>
    </row>
    <row r="512" spans="1:19">
      <c r="A512" s="159"/>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4">
        <f t="shared" si="93"/>
        <v>0</v>
      </c>
      <c r="S512" s="361">
        <f t="shared" si="94"/>
        <v>0</v>
      </c>
    </row>
    <row r="513" spans="1:19">
      <c r="A513" s="159"/>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4">
        <f t="shared" si="93"/>
        <v>0</v>
      </c>
      <c r="S513" s="361">
        <f t="shared" si="94"/>
        <v>0</v>
      </c>
    </row>
    <row r="514" spans="1:19">
      <c r="A514" s="159"/>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4">
        <f t="shared" si="93"/>
        <v>0</v>
      </c>
      <c r="S514" s="361">
        <f t="shared" si="94"/>
        <v>0</v>
      </c>
    </row>
    <row r="515" spans="1:19">
      <c r="A515" s="159"/>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4">
        <f t="shared" si="93"/>
        <v>0</v>
      </c>
      <c r="S515" s="361">
        <f t="shared" si="94"/>
        <v>0</v>
      </c>
    </row>
    <row r="516" spans="1:19">
      <c r="A516" s="159"/>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4">
        <f t="shared" si="93"/>
        <v>0</v>
      </c>
      <c r="S516" s="361">
        <f t="shared" si="94"/>
        <v>0</v>
      </c>
    </row>
    <row r="517" spans="1:19">
      <c r="A517" s="159"/>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4">
        <f t="shared" si="93"/>
        <v>0</v>
      </c>
      <c r="S517" s="361">
        <f t="shared" si="94"/>
        <v>0</v>
      </c>
    </row>
    <row r="518" spans="1:19">
      <c r="A518" s="159"/>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4">
        <f t="shared" si="93"/>
        <v>0</v>
      </c>
      <c r="S518" s="361">
        <f t="shared" si="94"/>
        <v>0</v>
      </c>
    </row>
    <row r="519" spans="1:19">
      <c r="A519" s="159"/>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4">
        <f t="shared" si="93"/>
        <v>0</v>
      </c>
      <c r="S519" s="361">
        <f t="shared" si="94"/>
        <v>0</v>
      </c>
    </row>
    <row r="520" spans="1:19">
      <c r="A520" s="159"/>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4">
        <f t="shared" si="93"/>
        <v>0</v>
      </c>
      <c r="S520" s="361">
        <f t="shared" si="94"/>
        <v>0</v>
      </c>
    </row>
    <row r="521" spans="1:19">
      <c r="A521" s="159"/>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4">
        <f t="shared" si="93"/>
        <v>0</v>
      </c>
      <c r="S521" s="361">
        <f t="shared" si="94"/>
        <v>0</v>
      </c>
    </row>
    <row r="522" spans="1:19">
      <c r="A522" s="159"/>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4">
        <f t="shared" si="93"/>
        <v>0</v>
      </c>
      <c r="S522" s="361">
        <f t="shared" si="94"/>
        <v>0</v>
      </c>
    </row>
    <row r="523" spans="1:19">
      <c r="A523" s="159"/>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4">
        <f t="shared" si="93"/>
        <v>0</v>
      </c>
      <c r="S523" s="361">
        <f t="shared" si="94"/>
        <v>0</v>
      </c>
    </row>
    <row r="524" spans="1:19">
      <c r="A524" s="159"/>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88" sqref="J88"/>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1" t="s">
        <v>2117</v>
      </c>
      <c r="B1" s="2413"/>
      <c r="C1" s="2414" t="s">
        <v>48</v>
      </c>
      <c r="D1" s="2413"/>
      <c r="E1" s="2413"/>
      <c r="F1" s="2415" t="s">
        <v>2118</v>
      </c>
      <c r="G1" s="2066" t="s">
        <v>3110</v>
      </c>
      <c r="H1" s="2416" t="str">
        <f>IF(G1="现房","——","估价对象范围")</f>
        <v>——</v>
      </c>
      <c r="I1" s="2417"/>
    </row>
    <row r="2" spans="1:12" ht="21.75" customHeight="1" thickBot="1">
      <c r="A2" s="3106" t="str">
        <f>项目基本情况!S2</f>
        <v>北京市房地产</v>
      </c>
      <c r="B2" s="3107"/>
      <c r="C2" s="3107"/>
      <c r="D2" s="3107"/>
      <c r="E2" s="3107"/>
      <c r="F2" s="3107"/>
      <c r="G2" s="3107"/>
      <c r="H2" s="3107"/>
      <c r="I2" s="3108"/>
    </row>
    <row r="3" spans="1:12" ht="12.75">
      <c r="A3" s="3110" t="s">
        <v>2119</v>
      </c>
      <c r="B3" s="3111"/>
      <c r="C3" s="3111"/>
      <c r="D3" s="3111"/>
      <c r="E3" s="3111"/>
      <c r="F3" s="3111"/>
      <c r="G3" s="3111"/>
      <c r="H3" s="3111"/>
      <c r="I3" s="3111"/>
    </row>
    <row r="4" spans="1:12" ht="14.25">
      <c r="A4" s="2420" t="s">
        <v>2120</v>
      </c>
      <c r="B4" s="2421" t="s">
        <v>2121</v>
      </c>
      <c r="C4" s="2422" t="s">
        <v>3133</v>
      </c>
      <c r="D4" s="2422" t="s">
        <v>3130</v>
      </c>
      <c r="E4" s="3103" t="s">
        <v>2122</v>
      </c>
      <c r="F4" s="3104"/>
      <c r="G4" s="3104"/>
      <c r="H4" s="3104"/>
      <c r="I4" s="3112"/>
      <c r="K4" s="2423" t="str">
        <f>IF(ISNUMBER(FIND("比较法",'结果表-车库'!C4)),"比较法",IF(ISNUMBER(FIND("成本法",'结果表-车库'!C4)),"成本法",IF(ISNUMBER(FIND("假设开发法",'结果表-车库'!C4)),"假设开发法",IF(ISNUMBER(FIND("收益法",'结果表-车库'!C4)),"收益法","基准地价系数修正法"))))</f>
        <v>成本法</v>
      </c>
      <c r="L4" s="2423"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86" t="s">
        <v>2123</v>
      </c>
      <c r="B5" s="3024">
        <v>25</v>
      </c>
      <c r="C5" s="3089"/>
      <c r="D5" s="3109"/>
      <c r="E5" s="140" t="s">
        <v>2124</v>
      </c>
      <c r="F5" s="2424"/>
      <c r="G5" s="2424"/>
      <c r="H5" s="2424"/>
      <c r="I5" s="1827"/>
    </row>
    <row r="6" spans="1:12" ht="12.75">
      <c r="A6" s="3086"/>
      <c r="B6" s="3024"/>
      <c r="C6" s="3090"/>
      <c r="D6" s="3109"/>
      <c r="E6" s="140" t="s">
        <v>2125</v>
      </c>
      <c r="F6" s="2424"/>
      <c r="G6" s="2424"/>
      <c r="H6" s="2424"/>
      <c r="I6" s="1827"/>
    </row>
    <row r="7" spans="1:12" ht="12.75">
      <c r="A7" s="3086"/>
      <c r="B7" s="3024"/>
      <c r="C7" s="3091"/>
      <c r="D7" s="3109"/>
      <c r="E7" s="140" t="s">
        <v>2126</v>
      </c>
      <c r="F7" s="2424"/>
      <c r="G7" s="2424"/>
      <c r="H7" s="2424"/>
      <c r="I7" s="1827"/>
    </row>
    <row r="8" spans="1:12" ht="12.75">
      <c r="A8" s="3086" t="s">
        <v>2127</v>
      </c>
      <c r="B8" s="3024">
        <v>15</v>
      </c>
      <c r="C8" s="3089"/>
      <c r="D8" s="3109"/>
      <c r="E8" s="140" t="s">
        <v>2128</v>
      </c>
      <c r="F8" s="2424"/>
      <c r="G8" s="2424"/>
      <c r="H8" s="2424"/>
      <c r="I8" s="1827"/>
    </row>
    <row r="9" spans="1:12" ht="12.75">
      <c r="A9" s="3086"/>
      <c r="B9" s="3024"/>
      <c r="C9" s="3091"/>
      <c r="D9" s="3109"/>
      <c r="E9" s="140" t="s">
        <v>2129</v>
      </c>
      <c r="F9" s="2424"/>
      <c r="G9" s="2424"/>
      <c r="H9" s="2424"/>
      <c r="I9" s="1827"/>
    </row>
    <row r="10" spans="1:12" ht="12.75">
      <c r="A10" s="3086" t="s">
        <v>2130</v>
      </c>
      <c r="B10" s="3024">
        <v>15</v>
      </c>
      <c r="C10" s="3089"/>
      <c r="D10" s="3109"/>
      <c r="E10" s="140" t="s">
        <v>2131</v>
      </c>
      <c r="F10" s="2424"/>
      <c r="G10" s="2424"/>
      <c r="H10" s="2424"/>
      <c r="I10" s="1827"/>
    </row>
    <row r="11" spans="1:12" ht="12.75">
      <c r="A11" s="3086"/>
      <c r="B11" s="3024"/>
      <c r="C11" s="3091"/>
      <c r="D11" s="3109"/>
      <c r="E11" s="140" t="s">
        <v>2132</v>
      </c>
      <c r="F11" s="2424"/>
      <c r="G11" s="2424"/>
      <c r="H11" s="2424"/>
      <c r="I11" s="1827"/>
    </row>
    <row r="12" spans="1:12" ht="12.75">
      <c r="A12" s="3086" t="s">
        <v>2133</v>
      </c>
      <c r="B12" s="3024">
        <v>15</v>
      </c>
      <c r="C12" s="3089"/>
      <c r="D12" s="3109"/>
      <c r="E12" s="140" t="s">
        <v>2134</v>
      </c>
      <c r="F12" s="2424"/>
      <c r="G12" s="2424"/>
      <c r="H12" s="2424"/>
      <c r="I12" s="1827"/>
    </row>
    <row r="13" spans="1:12" ht="12.75">
      <c r="A13" s="3086"/>
      <c r="B13" s="3024"/>
      <c r="C13" s="3091"/>
      <c r="D13" s="3109"/>
      <c r="E13" s="140" t="s">
        <v>2135</v>
      </c>
      <c r="F13" s="2424"/>
      <c r="G13" s="2424"/>
      <c r="H13" s="2424"/>
      <c r="I13" s="1827"/>
    </row>
    <row r="14" spans="1:12" ht="12.75">
      <c r="A14" s="3086" t="s">
        <v>2136</v>
      </c>
      <c r="B14" s="3024">
        <v>30</v>
      </c>
      <c r="C14" s="3089">
        <v>4</v>
      </c>
      <c r="D14" s="3109">
        <v>6</v>
      </c>
      <c r="E14" s="140" t="s">
        <v>2137</v>
      </c>
      <c r="F14" s="2424"/>
      <c r="G14" s="2424"/>
      <c r="H14" s="2424"/>
      <c r="I14" s="1827"/>
    </row>
    <row r="15" spans="1:12" ht="12.75">
      <c r="A15" s="3086"/>
      <c r="B15" s="3024"/>
      <c r="C15" s="3090"/>
      <c r="D15" s="3109"/>
      <c r="E15" s="140" t="s">
        <v>2138</v>
      </c>
      <c r="F15" s="2424"/>
      <c r="G15" s="2424"/>
      <c r="H15" s="2424"/>
      <c r="I15" s="1827"/>
    </row>
    <row r="16" spans="1:12" ht="12.75">
      <c r="A16" s="3086"/>
      <c r="B16" s="3024"/>
      <c r="C16" s="3091"/>
      <c r="D16" s="3109"/>
      <c r="E16" s="140" t="s">
        <v>2139</v>
      </c>
      <c r="F16" s="2424"/>
      <c r="G16" s="2424"/>
      <c r="H16" s="2424"/>
      <c r="I16" s="1827"/>
    </row>
    <row r="17" spans="1:35" ht="15">
      <c r="A17" s="2425" t="s">
        <v>2140</v>
      </c>
      <c r="B17" s="64"/>
      <c r="C17" s="141">
        <f>SUM(C5:C16)</f>
        <v>4</v>
      </c>
      <c r="D17" s="141">
        <f>SUM(D5:D16)</f>
        <v>6</v>
      </c>
      <c r="E17" s="138"/>
      <c r="F17" s="138"/>
      <c r="G17" s="138"/>
      <c r="H17" s="138"/>
      <c r="I17" s="138"/>
      <c r="K17" s="2423"/>
      <c r="L17" s="2426" t="s">
        <v>2141</v>
      </c>
      <c r="M17" s="2426" t="s">
        <v>2142</v>
      </c>
    </row>
    <row r="18" spans="1:35" ht="15.75" thickBot="1">
      <c r="A18" s="2427" t="s">
        <v>2143</v>
      </c>
      <c r="B18" s="2428"/>
      <c r="C18" s="142">
        <f>ROUND(C17/SUM(C17:D17),2)</f>
        <v>0.4</v>
      </c>
      <c r="D18" s="142">
        <f>1-C18</f>
        <v>0.6</v>
      </c>
      <c r="E18" s="138"/>
      <c r="F18" s="138"/>
      <c r="G18" s="138"/>
      <c r="H18" s="138"/>
      <c r="I18" s="138"/>
      <c r="K18" s="2423" t="s">
        <v>2144</v>
      </c>
      <c r="L18" s="2423">
        <f>IF(C1="",'数据-汇总表'!E3,SUMIF(项目类型,C1,'数据-汇总表'!E17:E26)+SUMIF(项目类型,C1,'数据-汇总表'!I17:I26))</f>
        <v>2252.83</v>
      </c>
      <c r="M18" s="2423">
        <f>IF(C1="",'数据-汇总表'!E3,SUMIF(项目类型,C1,'数据-汇总表'!E17:E26))</f>
        <v>2252.83</v>
      </c>
    </row>
    <row r="19" spans="1:35" ht="15">
      <c r="A19" s="2429" t="s">
        <v>2145</v>
      </c>
      <c r="B19" s="2430" t="s">
        <v>2146</v>
      </c>
      <c r="C19" s="143">
        <f ca="1">SUMIF(INDIRECT("'"&amp;C4&amp;"'"&amp;"!A:A"),'结果表-车库'!B19,INDIRECT("'"&amp;C4&amp;"'"&amp;"!B:B"))</f>
        <v>675</v>
      </c>
      <c r="D19" s="144">
        <f ca="1">SUMIF(INDIRECT("'"&amp;D4&amp;"'"&amp;"!A:A"),'结果表-车库'!B19,INDIRECT("'"&amp;D4&amp;"'"&amp;"!B:B"))</f>
        <v>898</v>
      </c>
      <c r="E19" s="2429" t="s">
        <v>2147</v>
      </c>
      <c r="F19" s="2430" t="s">
        <v>2146</v>
      </c>
      <c r="G19" s="145">
        <f ca="1">ROUND(C19*$C$18+D19*$D$18,0)</f>
        <v>809</v>
      </c>
      <c r="H19" s="2431" t="s">
        <v>2148</v>
      </c>
      <c r="I19" s="138"/>
      <c r="K19" s="2423" t="s">
        <v>2149</v>
      </c>
      <c r="L19" s="2423">
        <f>IF(C1="",'数据-汇总表'!D3,SUMIF(项目类型,C1,'数据-汇总表'!D17:D26)+SUMIF(项目类型,C1,'数据-汇总表'!H17:H27))</f>
        <v>610.36</v>
      </c>
      <c r="M19" s="2423">
        <f>IF(C1="",'数据-汇总表'!D3,SUMIF(项目类型,C1,'数据-汇总表'!D17:D26))</f>
        <v>610.36</v>
      </c>
    </row>
    <row r="20" spans="1:35" ht="15">
      <c r="A20" s="2432"/>
      <c r="B20" s="1243" t="s">
        <v>2150</v>
      </c>
      <c r="C20" s="146">
        <f ca="1">SUMIF(INDIRECT("'"&amp;C4&amp;"'"&amp;"!A:A"),'结果表-车库'!B20,INDIRECT("'"&amp;C4&amp;"'"&amp;"!B:B"))</f>
        <v>2996</v>
      </c>
      <c r="D20" s="147">
        <f ca="1">SUMIF(INDIRECT("'"&amp;D4&amp;"'"&amp;"!A:A"),'结果表-车库'!B20,INDIRECT("'"&amp;D4&amp;"'"&amp;"!B:B"))</f>
        <v>3986</v>
      </c>
      <c r="E20" s="2432"/>
      <c r="F20" s="1243" t="s">
        <v>2150</v>
      </c>
      <c r="G20" s="148">
        <f ca="1">ROUND(C20*$C$18+D20*$D$18,0)</f>
        <v>3590</v>
      </c>
      <c r="H20" s="977" t="s">
        <v>2151</v>
      </c>
      <c r="I20" s="138"/>
    </row>
    <row r="21" spans="1:35" ht="15" customHeight="1" thickBot="1">
      <c r="A21" s="997"/>
      <c r="B21" s="2433" t="s">
        <v>2152</v>
      </c>
      <c r="C21" s="786">
        <f ca="1">ROUND(C19*10000/L19,0)</f>
        <v>11059</v>
      </c>
      <c r="D21" s="787">
        <f ca="1">ROUND(D19*10000/L19,0)</f>
        <v>14713</v>
      </c>
      <c r="E21" s="997"/>
      <c r="F21" s="2433" t="s">
        <v>2152</v>
      </c>
      <c r="G21" s="149">
        <f ca="1">ROUND(G19*10000/L19,0)</f>
        <v>13254</v>
      </c>
      <c r="H21" s="2434" t="s">
        <v>2151</v>
      </c>
      <c r="I21" s="138"/>
    </row>
    <row r="22" spans="1:35" ht="15" thickBot="1">
      <c r="A22" s="2276" t="s">
        <v>2153</v>
      </c>
      <c r="B22" s="2435"/>
      <c r="C22" s="2436"/>
      <c r="D22" s="788">
        <f ca="1">IF(C19&lt;D19,D19/C19-1,C19/D19-1)</f>
        <v>0.33037037037037043</v>
      </c>
      <c r="E22" s="138"/>
      <c r="F22" s="138"/>
      <c r="G22" s="138"/>
      <c r="H22" s="138"/>
      <c r="I22" s="138"/>
    </row>
    <row r="23" spans="1:35" ht="13.5" thickBot="1">
      <c r="A23" s="2413"/>
      <c r="B23" s="2413"/>
      <c r="C23" s="2413"/>
      <c r="D23" s="2413"/>
      <c r="E23" s="138"/>
      <c r="F23" s="138"/>
      <c r="G23" s="138"/>
      <c r="H23" s="138"/>
      <c r="I23" s="138"/>
    </row>
    <row r="24" spans="1:35" ht="14.25">
      <c r="A24" s="3080" t="s">
        <v>2154</v>
      </c>
      <c r="B24" s="2430" t="s">
        <v>2146</v>
      </c>
      <c r="C24" s="145">
        <f>IF(B30=0,0,D30)</f>
        <v>0</v>
      </c>
      <c r="D24" s="2437"/>
      <c r="E24" s="138"/>
      <c r="F24" s="138"/>
      <c r="G24" s="138"/>
      <c r="H24" s="138"/>
      <c r="I24" s="138"/>
    </row>
    <row r="25" spans="1:35" ht="14.25">
      <c r="A25" s="3081"/>
      <c r="B25" s="1243"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12" t="s">
        <v>3032</v>
      </c>
      <c r="F30" s="138"/>
      <c r="G30" s="138"/>
      <c r="H30" s="138"/>
      <c r="I30" s="138"/>
    </row>
    <row r="31" spans="1:35" s="2441" customFormat="1" ht="15" thickBot="1">
      <c r="A31" s="2440"/>
      <c r="B31" s="2440"/>
      <c r="C31" s="2440"/>
      <c r="D31" s="2440"/>
      <c r="E31" s="138"/>
      <c r="F31" s="138"/>
      <c r="G31" s="138"/>
      <c r="H31" s="138"/>
      <c r="I31" s="138"/>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2160</v>
      </c>
      <c r="B32" s="2443"/>
      <c r="C32" s="153">
        <f ca="1">IF(D32="总价",G19-C24,G20-C25)</f>
        <v>809</v>
      </c>
      <c r="D32" s="2444" t="s">
        <v>2161</v>
      </c>
      <c r="E32" s="138"/>
      <c r="F32" s="138"/>
      <c r="G32" s="138"/>
      <c r="H32" s="138"/>
      <c r="I32" s="138"/>
    </row>
    <row r="33" spans="1:15" ht="15">
      <c r="A33" s="954" t="s">
        <v>2162</v>
      </c>
      <c r="B33" s="2445"/>
      <c r="C33" s="2446"/>
      <c r="D33" s="2447"/>
      <c r="E33" s="2448" t="s">
        <v>2163</v>
      </c>
      <c r="F33" s="2950" t="str">
        <f>IF(D32="楼面单价","取值（单价）","取值（总价）")</f>
        <v>取值（总价）</v>
      </c>
      <c r="G33" s="138"/>
      <c r="H33" s="138"/>
      <c r="I33" s="138"/>
    </row>
    <row r="34" spans="1:15" ht="15">
      <c r="A34" s="2450"/>
      <c r="B34" s="2451" t="s">
        <v>2164</v>
      </c>
      <c r="C34" s="157" t="e">
        <f ca="1">IF(C33="自定义",F34,C32-C35)</f>
        <v>#REF!</v>
      </c>
      <c r="D34" s="1052" t="e">
        <f ca="1">IF(C33="自定义",ROUND(C34/C32,3),IF(C33="收益比率",SUMIF(INDIRECT("'"&amp;D33&amp;"'"&amp;"!b:b"),"土地收益比率",INDIRECT("'"&amp;D33&amp;"'"&amp;"!c:c")),SUMIF(INDIRECT("'"&amp;D33&amp;"'"&amp;"!b:b"),"土地成本比率",INDIRECT("'"&amp;D33&amp;"'"&amp;"!c:c"))))</f>
        <v>#REF!</v>
      </c>
      <c r="E34" s="2452" t="s">
        <v>2165</v>
      </c>
      <c r="F34" s="1732"/>
      <c r="G34" s="138"/>
      <c r="H34" s="138"/>
      <c r="I34" s="138"/>
    </row>
    <row r="35" spans="1:15" ht="15.75" thickBot="1">
      <c r="A35" s="2453"/>
      <c r="B35" s="2454" t="s">
        <v>2166</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2167</v>
      </c>
      <c r="F35" s="163"/>
      <c r="G35" s="138"/>
      <c r="H35" s="138"/>
      <c r="I35" s="138"/>
    </row>
    <row r="36" spans="1:15" ht="15.75" thickBot="1">
      <c r="A36" s="3098" t="s">
        <v>2168</v>
      </c>
      <c r="B36" s="2456" t="s">
        <v>2169</v>
      </c>
      <c r="C36" s="154"/>
      <c r="D36" s="2457"/>
      <c r="E36" s="2458"/>
      <c r="F36" s="2459"/>
      <c r="G36" s="138"/>
      <c r="H36" s="138"/>
      <c r="I36" s="138"/>
    </row>
    <row r="37" spans="1:15" ht="15.75" thickBot="1">
      <c r="A37" s="3099"/>
      <c r="B37" s="2262" t="s">
        <v>2170</v>
      </c>
      <c r="C37" s="156"/>
      <c r="D37" s="1388"/>
      <c r="E37" s="1388"/>
      <c r="F37" s="2459"/>
      <c r="G37" s="138"/>
      <c r="H37" s="138"/>
      <c r="I37" s="138"/>
    </row>
    <row r="38" spans="1:15" ht="15.75" thickBot="1">
      <c r="A38" s="3100"/>
      <c r="B38" s="2460" t="s">
        <v>2171</v>
      </c>
      <c r="C38" s="724"/>
      <c r="D38" s="2461" t="s">
        <v>2172</v>
      </c>
      <c r="E38" s="1388"/>
      <c r="F38" s="2459"/>
      <c r="G38" s="138"/>
      <c r="H38" s="138"/>
      <c r="I38" s="138"/>
    </row>
    <row r="39" spans="1:15" ht="15">
      <c r="A39" s="2432" t="s">
        <v>2173</v>
      </c>
      <c r="B39" s="2462" t="s">
        <v>2156</v>
      </c>
      <c r="C39" s="2463" t="s">
        <v>2157</v>
      </c>
      <c r="D39" s="2463" t="s">
        <v>2176</v>
      </c>
      <c r="E39" s="2464" t="s">
        <v>2158</v>
      </c>
      <c r="F39" s="2459"/>
      <c r="G39" s="138"/>
      <c r="H39" s="138"/>
      <c r="I39" s="138"/>
    </row>
    <row r="40" spans="1:15" ht="14.25">
      <c r="A40" s="2465" t="s">
        <v>2178</v>
      </c>
      <c r="B40" s="158"/>
      <c r="C40" s="159"/>
      <c r="D40" s="159"/>
      <c r="E40" s="160"/>
      <c r="F40" s="2459"/>
      <c r="G40" s="138"/>
      <c r="H40" s="138"/>
      <c r="I40" s="138"/>
    </row>
    <row r="41" spans="1:15" ht="14.25">
      <c r="A41" s="2465" t="s">
        <v>2179</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077" t="s">
        <v>2182</v>
      </c>
      <c r="B45" s="3078"/>
      <c r="C45" s="3079"/>
      <c r="D45" s="164">
        <f ca="1">ROUND(H101*F45,0)</f>
        <v>809</v>
      </c>
      <c r="E45" s="165" t="s">
        <v>2183</v>
      </c>
      <c r="F45" s="166">
        <v>1</v>
      </c>
      <c r="G45" s="167" t="s">
        <v>2184</v>
      </c>
      <c r="H45" s="138"/>
      <c r="I45" s="138"/>
      <c r="J45" s="3137" t="s">
        <v>2185</v>
      </c>
      <c r="K45" s="3137"/>
      <c r="L45" s="3137"/>
      <c r="M45" s="3137"/>
      <c r="N45" s="3137"/>
      <c r="O45" s="3137"/>
    </row>
    <row r="46" spans="1:15" ht="14.25" customHeight="1">
      <c r="A46" s="3074" t="s">
        <v>2186</v>
      </c>
      <c r="B46" s="3075"/>
      <c r="C46" s="3075"/>
      <c r="D46" s="3075"/>
      <c r="E46" s="3075"/>
      <c r="F46" s="3075"/>
      <c r="G46" s="3076"/>
      <c r="H46" s="2475"/>
      <c r="I46" s="168"/>
      <c r="J46" s="2962">
        <v>1</v>
      </c>
      <c r="K46" s="3137" t="s">
        <v>2187</v>
      </c>
      <c r="L46" s="3137"/>
      <c r="M46" s="3157"/>
      <c r="N46" s="3157"/>
      <c r="O46" s="3157"/>
    </row>
    <row r="47" spans="1:15" ht="12" customHeight="1">
      <c r="A47" s="169" t="s">
        <v>2188</v>
      </c>
      <c r="B47" s="170"/>
      <c r="C47" s="171"/>
      <c r="D47" s="172" t="s">
        <v>2189</v>
      </c>
      <c r="E47" s="24" t="s">
        <v>2190</v>
      </c>
      <c r="F47" s="173" t="s">
        <v>2191</v>
      </c>
      <c r="G47" s="174" t="s">
        <v>2192</v>
      </c>
      <c r="H47" s="2475"/>
      <c r="I47" s="168"/>
      <c r="J47" s="2962">
        <v>2</v>
      </c>
      <c r="K47" s="3137" t="s">
        <v>2193</v>
      </c>
      <c r="L47" s="3137"/>
      <c r="M47" s="3158">
        <f>'数据-取费表'!B2</f>
        <v>43790</v>
      </c>
      <c r="N47" s="3158"/>
      <c r="O47" s="3158"/>
    </row>
    <row r="48" spans="1:15" ht="25.5">
      <c r="A48" s="3105" t="s">
        <v>2194</v>
      </c>
      <c r="B48" s="3088"/>
      <c r="C48" s="3088"/>
      <c r="D48" s="140">
        <f ca="1">IF(H48="情况1",0,IF(H48="情况2",D52,IF(H48="情况3",D53,IF(H48="情况4",D54))))</f>
        <v>43</v>
      </c>
      <c r="E48" s="2954" t="str">
        <f>IF(H48="情况4","(销售额-原购置价)×税（费）率","销售额×税（费）率")</f>
        <v>销售额×税（费）率</v>
      </c>
      <c r="F48" s="175">
        <f>IF(H48="情况1","免征",'数据-取费表'!B41)</f>
        <v>5.6000000000000001E-2</v>
      </c>
      <c r="G48" s="2476" t="s">
        <v>2195</v>
      </c>
      <c r="H48" s="2477" t="s">
        <v>3139</v>
      </c>
      <c r="I48" s="2475"/>
      <c r="J48" s="2962">
        <v>3</v>
      </c>
      <c r="K48" s="3137" t="s">
        <v>2196</v>
      </c>
      <c r="L48" s="3137"/>
      <c r="M48" s="3159">
        <f ca="1">H101</f>
        <v>809</v>
      </c>
      <c r="N48" s="3159"/>
      <c r="O48" s="3159"/>
    </row>
    <row r="49" spans="1:35" ht="25.5" customHeight="1">
      <c r="A49" s="176" t="s">
        <v>2197</v>
      </c>
      <c r="B49" s="3073" t="s">
        <v>2198</v>
      </c>
      <c r="C49" s="3073"/>
      <c r="D49" s="177">
        <v>0</v>
      </c>
      <c r="E49" s="23" t="s">
        <v>2199</v>
      </c>
      <c r="F49" s="28" t="s">
        <v>34</v>
      </c>
      <c r="G49" s="3143"/>
      <c r="H49" s="138"/>
      <c r="I49" s="2478"/>
      <c r="J49" s="2962">
        <v>4</v>
      </c>
      <c r="K49" s="3137" t="str">
        <f>IF(项目基本情况!E8="房地产抵押价值","房地产抵押价值","抵押担保权已注销时的房地产抵押价值")</f>
        <v>房地产抵押价值</v>
      </c>
      <c r="L49" s="3137"/>
      <c r="M49" s="3159">
        <f ca="1">IF(项目基本情况!E8="房地产抵押价值",H107,H109)</f>
        <v>809</v>
      </c>
      <c r="N49" s="3159"/>
      <c r="O49" s="3159"/>
    </row>
    <row r="50" spans="1:35" ht="25.5" customHeight="1">
      <c r="A50" s="178"/>
      <c r="B50" s="3073" t="s">
        <v>2200</v>
      </c>
      <c r="C50" s="3073"/>
      <c r="D50" s="179"/>
      <c r="E50" s="31"/>
      <c r="F50" s="180"/>
      <c r="G50" s="3144"/>
      <c r="H50" s="138"/>
      <c r="I50" s="2478"/>
      <c r="J50" s="3137" t="s">
        <v>2201</v>
      </c>
      <c r="K50" s="3137"/>
      <c r="L50" s="3137"/>
      <c r="M50" s="3137"/>
      <c r="N50" s="3137"/>
      <c r="O50" s="3137"/>
    </row>
    <row r="51" spans="1:35" ht="12" customHeight="1">
      <c r="A51" s="181"/>
      <c r="B51" s="3073" t="s">
        <v>2202</v>
      </c>
      <c r="C51" s="3073"/>
      <c r="D51" s="182"/>
      <c r="E51" s="30"/>
      <c r="F51" s="180"/>
      <c r="G51" s="3145"/>
      <c r="H51" s="138"/>
      <c r="I51" s="2478"/>
      <c r="J51" s="2961" t="s">
        <v>2203</v>
      </c>
      <c r="K51" s="3137" t="s">
        <v>2204</v>
      </c>
      <c r="L51" s="3137"/>
      <c r="M51" s="2961" t="s">
        <v>2205</v>
      </c>
      <c r="N51" s="2961" t="s">
        <v>2206</v>
      </c>
      <c r="O51" s="2961" t="s">
        <v>2207</v>
      </c>
    </row>
    <row r="52" spans="1:35" ht="24" customHeight="1">
      <c r="A52" s="183" t="s">
        <v>2208</v>
      </c>
      <c r="B52" s="3073" t="s">
        <v>2209</v>
      </c>
      <c r="C52" s="3073"/>
      <c r="D52" s="182">
        <f ca="1">ROUND(D45*'数据-取费表'!B41/(1+'数据-取费表'!C42),0)</f>
        <v>43</v>
      </c>
      <c r="E52" s="11" t="s">
        <v>2210</v>
      </c>
      <c r="F52" s="184">
        <f>'数据-取费表'!B41</f>
        <v>5.6000000000000001E-2</v>
      </c>
      <c r="G52" s="2480"/>
      <c r="H52" s="138"/>
      <c r="I52" s="2478"/>
      <c r="J52" s="2962">
        <v>1</v>
      </c>
      <c r="K52" s="3138" t="s">
        <v>2211</v>
      </c>
      <c r="L52" s="3138"/>
      <c r="M52" s="1747">
        <f ca="1">D48</f>
        <v>43</v>
      </c>
      <c r="N52" s="2962" t="str">
        <f>E48</f>
        <v>销售额×税（费）率</v>
      </c>
      <c r="O52" s="1748">
        <f>F48</f>
        <v>5.6000000000000001E-2</v>
      </c>
    </row>
    <row r="53" spans="1:35" ht="12" customHeight="1">
      <c r="A53" s="183" t="s">
        <v>2212</v>
      </c>
      <c r="B53" s="3096" t="s">
        <v>2213</v>
      </c>
      <c r="C53" s="3097"/>
      <c r="D53" s="182">
        <f ca="1">ROUND(D45*'数据-取费表'!B41/(1+'数据-取费表'!C42),0)</f>
        <v>43</v>
      </c>
      <c r="E53" s="11" t="s">
        <v>2210</v>
      </c>
      <c r="F53" s="184">
        <f>'数据-取费表'!B41</f>
        <v>5.6000000000000001E-2</v>
      </c>
      <c r="G53" s="2480"/>
      <c r="H53" s="138"/>
      <c r="I53" s="2478"/>
      <c r="J53" s="2962">
        <v>2</v>
      </c>
      <c r="K53" s="3138" t="s">
        <v>2214</v>
      </c>
      <c r="L53" s="3138"/>
      <c r="M53" s="1747">
        <f t="shared" ref="M53:O54" ca="1" si="0">D55</f>
        <v>0</v>
      </c>
      <c r="N53" s="2962" t="str">
        <f t="shared" si="0"/>
        <v>销售额×税（费）率</v>
      </c>
      <c r="O53" s="1748">
        <f t="shared" si="0"/>
        <v>5.0000000000000001E-4</v>
      </c>
    </row>
    <row r="54" spans="1:35" ht="12" customHeight="1">
      <c r="A54" s="183" t="s">
        <v>2215</v>
      </c>
      <c r="B54" s="3096" t="s">
        <v>2216</v>
      </c>
      <c r="C54" s="3097"/>
      <c r="D54" s="182">
        <f ca="1">C68</f>
        <v>43</v>
      </c>
      <c r="E54" s="30" t="s">
        <v>2217</v>
      </c>
      <c r="F54" s="184">
        <f>'数据-取费表'!B41</f>
        <v>5.6000000000000001E-2</v>
      </c>
      <c r="G54" s="2480"/>
      <c r="H54" s="2481"/>
      <c r="I54" s="2478"/>
      <c r="J54" s="2962">
        <v>3</v>
      </c>
      <c r="K54" s="3138" t="s">
        <v>2218</v>
      </c>
      <c r="L54" s="3138"/>
      <c r="M54" s="1747">
        <f t="shared" ca="1" si="0"/>
        <v>457</v>
      </c>
      <c r="N54" s="2962" t="str">
        <f t="shared" si="0"/>
        <v>增值额×税（费）率</v>
      </c>
      <c r="O54" s="1749" t="str">
        <f t="shared" si="0"/>
        <v>——</v>
      </c>
    </row>
    <row r="55" spans="1:35" ht="24" customHeight="1">
      <c r="A55" s="3087" t="s">
        <v>2219</v>
      </c>
      <c r="B55" s="3088"/>
      <c r="C55" s="3088"/>
      <c r="D55" s="185">
        <f ca="1">IF(H55="个人住宅",0,ROUND(D45*I55,0))</f>
        <v>0</v>
      </c>
      <c r="E55" s="11" t="s">
        <v>2220</v>
      </c>
      <c r="F55" s="184">
        <f>IF(H55="正常",I55,"免征")</f>
        <v>5.0000000000000001E-4</v>
      </c>
      <c r="G55" s="2480"/>
      <c r="H55" s="2477" t="s">
        <v>2221</v>
      </c>
      <c r="I55" s="186">
        <f>'数据-取费表'!B49</f>
        <v>5.0000000000000001E-4</v>
      </c>
      <c r="J55" s="2962" t="str">
        <f>IF(H59="非个人房产","",4)</f>
        <v/>
      </c>
      <c r="K55" s="3138" t="str">
        <f>IF(H59="非个人房产","——","个人所得税")</f>
        <v>——</v>
      </c>
      <c r="L55" s="3138"/>
      <c r="M55" s="1750" t="str">
        <f>D59</f>
        <v>——</v>
      </c>
      <c r="N55" s="2963" t="str">
        <f>E59</f>
        <v>——</v>
      </c>
      <c r="O55" s="1751" t="str">
        <f>F59</f>
        <v>——</v>
      </c>
    </row>
    <row r="56" spans="1:35" ht="24.75">
      <c r="A56" s="3087" t="s">
        <v>2222</v>
      </c>
      <c r="B56" s="3088"/>
      <c r="C56" s="3088"/>
      <c r="D56" s="185">
        <f ca="1">IF(H56="个人住宅",D57,D58)</f>
        <v>457</v>
      </c>
      <c r="E56" s="11" t="s">
        <v>2223</v>
      </c>
      <c r="F56" s="184" t="str">
        <f>IF(H56="正常",F58,"免征")</f>
        <v>——</v>
      </c>
      <c r="G56" s="2482" t="s">
        <v>2224</v>
      </c>
      <c r="H56" s="2483" t="s">
        <v>2221</v>
      </c>
      <c r="I56" s="2484"/>
      <c r="J56" s="2962" t="str">
        <f>IF(项目基本情况!K6="上海银行",IF(J55="",4,J55+1),"")</f>
        <v/>
      </c>
      <c r="K56" s="3161" t="str">
        <f>IF(项目基本情况!K6="上海银行","其他处置费用","")</f>
        <v/>
      </c>
      <c r="L56" s="3162"/>
      <c r="M56" s="1747" t="str">
        <f>IF(项目基本情况!K6="上海银行",M69,"")</f>
        <v/>
      </c>
      <c r="N56" s="3164" t="str">
        <f>IF(项目基本情况!K6="上海银行","包含处置中涉及的律师、诉讼、拍卖、评估等费用","")</f>
        <v/>
      </c>
      <c r="O56" s="3165"/>
    </row>
    <row r="57" spans="1:35" ht="12.75">
      <c r="A57" s="183" t="s">
        <v>2197</v>
      </c>
      <c r="B57" s="3103" t="s">
        <v>2225</v>
      </c>
      <c r="C57" s="3112"/>
      <c r="D57" s="187">
        <v>0</v>
      </c>
      <c r="E57" s="23" t="s">
        <v>2199</v>
      </c>
      <c r="F57" s="155"/>
      <c r="G57" s="2480"/>
      <c r="H57" s="2484"/>
      <c r="I57" s="2484"/>
      <c r="J57" s="3138">
        <f>IF(AND(J55="",J56=""),4,IF(项目基本情况!K6="上海银行",'结果表-车库'!J56+1,'结果表-车库'!J55+1))</f>
        <v>4</v>
      </c>
      <c r="K57" s="3138" t="s">
        <v>2226</v>
      </c>
      <c r="L57" s="2485" t="s">
        <v>2227</v>
      </c>
      <c r="M57" s="1752"/>
      <c r="N57" s="1753">
        <f ca="1">SUMIF(M52:M56,"&lt;9e307")</f>
        <v>500</v>
      </c>
      <c r="O57" s="2486"/>
      <c r="P57" s="1746">
        <f ca="1">N57/M49</f>
        <v>0.61804697156983934</v>
      </c>
    </row>
    <row r="58" spans="1:35" ht="24.75">
      <c r="A58" s="183" t="s">
        <v>2208</v>
      </c>
      <c r="B58" s="3103" t="s">
        <v>2228</v>
      </c>
      <c r="C58" s="3104"/>
      <c r="D58" s="185">
        <f ca="1">IF(H58="转让取得",C81,C97)</f>
        <v>457</v>
      </c>
      <c r="E58" s="11" t="s">
        <v>2223</v>
      </c>
      <c r="F58" s="24" t="s">
        <v>34</v>
      </c>
      <c r="G58" s="2480"/>
      <c r="H58" s="2483" t="s">
        <v>2229</v>
      </c>
      <c r="I58" s="2484"/>
      <c r="J58" s="3138"/>
      <c r="K58" s="3138"/>
      <c r="L58" s="2485" t="s">
        <v>2230</v>
      </c>
      <c r="M58" s="1754"/>
      <c r="N58" s="2487" t="str">
        <f ca="1">NUMBERSTRING(INT(N57*10000),2)&amp;"元整"</f>
        <v>伍佰万元整</v>
      </c>
      <c r="O58" s="2488"/>
    </row>
    <row r="59" spans="1:35" ht="24.75" thickBot="1">
      <c r="A59" s="3141" t="s">
        <v>2231</v>
      </c>
      <c r="B59" s="3142"/>
      <c r="C59" s="3142"/>
      <c r="D59" s="188" t="str">
        <f>IF(H59="非个人房产","——",IF(H59="个人住宅",0,ROUND(D45*I59,0)))</f>
        <v>——</v>
      </c>
      <c r="E59" s="189" t="str">
        <f>IF(H59="非个人房产","——","销售额×税（费）率")</f>
        <v>——</v>
      </c>
      <c r="F59" s="190" t="str">
        <f>IF(H59="非个人房产","——",IF(H59="个人住宅","免征",I59))</f>
        <v>——</v>
      </c>
      <c r="G59" s="2489" t="s">
        <v>2224</v>
      </c>
      <c r="H59" s="2483" t="s">
        <v>2232</v>
      </c>
      <c r="I59" s="191">
        <v>0.01</v>
      </c>
      <c r="J59" s="3139">
        <f>J57+1</f>
        <v>5</v>
      </c>
      <c r="K59" s="3138" t="s">
        <v>2233</v>
      </c>
      <c r="L59" s="2962" t="s">
        <v>2227</v>
      </c>
      <c r="M59" s="1755"/>
      <c r="N59" s="1756">
        <f ca="1">M49-N57</f>
        <v>309</v>
      </c>
      <c r="O59" s="2490"/>
    </row>
    <row r="60" spans="1:35" ht="12" customHeight="1">
      <c r="A60" s="2491"/>
      <c r="B60" s="2413"/>
      <c r="C60" s="2413"/>
      <c r="D60" s="2413"/>
      <c r="E60" s="2162"/>
      <c r="F60" s="2484"/>
      <c r="G60" s="2484"/>
      <c r="H60" s="2492"/>
      <c r="I60" s="138"/>
      <c r="J60" s="3140"/>
      <c r="K60" s="3138"/>
      <c r="L60" s="2485" t="s">
        <v>2230</v>
      </c>
      <c r="M60" s="1754"/>
      <c r="N60" s="2487" t="str">
        <f ca="1">NUMBERSTRING(INT(N59*10000),2)&amp;"元整"</f>
        <v>叁佰零玖万元整</v>
      </c>
      <c r="O60" s="2488"/>
    </row>
    <row r="61" spans="1:35" ht="13.5" thickBot="1">
      <c r="A61" s="3085" t="s">
        <v>2234</v>
      </c>
      <c r="B61" s="3085"/>
      <c r="C61" s="3085"/>
      <c r="D61" s="3085"/>
      <c r="E61" s="3085"/>
      <c r="F61" s="2484"/>
      <c r="G61" s="2484"/>
      <c r="H61" s="2492"/>
      <c r="I61" s="138"/>
      <c r="J61" s="2962">
        <f>J59+1</f>
        <v>6</v>
      </c>
      <c r="K61" s="3138" t="s">
        <v>2235</v>
      </c>
      <c r="L61" s="3138"/>
      <c r="M61" s="1757"/>
      <c r="N61" s="1758">
        <f ca="1">ROUND(N59*10000/'数据-汇总表'!E3,0)</f>
        <v>95</v>
      </c>
      <c r="O61" s="2493"/>
    </row>
    <row r="62" spans="1:35" ht="12.75">
      <c r="A62" s="3101" t="s">
        <v>2236</v>
      </c>
      <c r="B62" s="3102"/>
      <c r="C62" s="2957"/>
      <c r="D62" s="2957" t="s">
        <v>2237</v>
      </c>
      <c r="E62" s="192" t="s">
        <v>2238</v>
      </c>
      <c r="F62" s="2484"/>
      <c r="G62" s="2484"/>
      <c r="H62" s="2492"/>
      <c r="I62" s="138"/>
    </row>
    <row r="63" spans="1:35" ht="12.75">
      <c r="A63" s="203" t="s">
        <v>775</v>
      </c>
      <c r="B63" s="193" t="s">
        <v>2239</v>
      </c>
      <c r="C63" s="194">
        <f ca="1">ROUND((C64+C65)/(1+'数据-取费表'!C42),0)</f>
        <v>770</v>
      </c>
      <c r="D63" s="195"/>
      <c r="E63" s="196"/>
      <c r="F63" s="2484"/>
      <c r="G63" s="2484"/>
      <c r="H63" s="2492"/>
      <c r="I63" s="138"/>
      <c r="J63" s="3163" t="s">
        <v>2240</v>
      </c>
      <c r="K63" s="2966" t="s">
        <v>2241</v>
      </c>
      <c r="L63" s="1745">
        <f ca="1">IF(M49&gt;10000,M49*0.5%,IF(AND(M49&gt;1000,M49&lt;=10000),M49*1%,IF(AND(M49&gt;100,M49&lt;=1000),M49*3%,IF(AND(M49&gt;10,M49&lt;=100),M49*5%,M49*8%))))</f>
        <v>24.27</v>
      </c>
      <c r="M63" s="24">
        <f ca="1">ROUND(L63,1)</f>
        <v>24.3</v>
      </c>
      <c r="Z63" s="2418"/>
      <c r="AI63" s="2419"/>
    </row>
    <row r="64" spans="1:35" ht="14.25" customHeight="1">
      <c r="A64" s="197" t="s">
        <v>770</v>
      </c>
      <c r="B64" s="198" t="s">
        <v>2242</v>
      </c>
      <c r="C64" s="199">
        <f ca="1">D45</f>
        <v>809</v>
      </c>
      <c r="D64" s="200" t="s">
        <v>32</v>
      </c>
      <c r="E64" s="201"/>
      <c r="F64" s="2484"/>
      <c r="G64" s="2484"/>
      <c r="H64" s="2492"/>
      <c r="I64" s="138"/>
      <c r="J64" s="3163"/>
      <c r="K64" s="2966" t="s">
        <v>2243</v>
      </c>
      <c r="L64" s="1745">
        <f ca="1">IF(M49&gt;2000,M49*0.5%,IF(AND(M49&gt;1000,M49&lt;=2000),M49*0.6%,IF(AND(M49&gt;500,M49&lt;=1000),M49*0.7%,IF(AND(M49&gt;200,M49&lt;=500),M49*0.8%,IF(AND(M49&gt;100,M49&lt;=200),M49*0.9%,IF(AND(M49&gt;50,M49&lt;=100),M49*1%,IF(AND(M49&gt;20,M49&lt;=50),M49*1.5%,IF(AND(M49&gt;10,M49&lt;=20),M49*2%,IF(AND(M49&gt;1,M49&lt;=10),M49*2.5%)))))))))</f>
        <v>5.6629999999999994</v>
      </c>
      <c r="M64" s="24">
        <f t="shared" ref="M64:M65" ca="1" si="1">ROUND(L64,1)</f>
        <v>5.7</v>
      </c>
      <c r="N64" s="138" t="s">
        <v>2244</v>
      </c>
      <c r="Z64" s="2418"/>
      <c r="AI64" s="2419"/>
    </row>
    <row r="65" spans="1:35" ht="14.25" customHeight="1">
      <c r="A65" s="197" t="s">
        <v>771</v>
      </c>
      <c r="B65" s="198" t="s">
        <v>2245</v>
      </c>
      <c r="C65" s="202"/>
      <c r="D65" s="200"/>
      <c r="E65" s="201"/>
      <c r="F65" s="2484"/>
      <c r="G65" s="2484"/>
      <c r="H65" s="2492"/>
      <c r="I65" s="138"/>
      <c r="J65" s="3163"/>
      <c r="K65" s="2966" t="s">
        <v>2246</v>
      </c>
      <c r="L65" s="1745">
        <f ca="1">IF(M49&gt;1000,M49*0.1%,IF(AND(M49&gt;500,M49&lt;=1000),M49*0.5%,IF(AND(M49&gt;50,M49&lt;=500),M49*1%,IF(AND(M49&gt;1,M49&lt;=50),M49*1.5%))))</f>
        <v>4.0449999999999999</v>
      </c>
      <c r="M65" s="24">
        <f t="shared" ca="1" si="1"/>
        <v>4</v>
      </c>
      <c r="N65" s="138" t="s">
        <v>2244</v>
      </c>
      <c r="Z65" s="2418"/>
      <c r="AI65" s="2419"/>
    </row>
    <row r="66" spans="1:35" ht="14.25" customHeight="1">
      <c r="A66" s="203" t="s">
        <v>772</v>
      </c>
      <c r="B66" s="204" t="s">
        <v>2247</v>
      </c>
      <c r="C66" s="205"/>
      <c r="D66" s="206" t="s">
        <v>32</v>
      </c>
      <c r="E66" s="1769" t="s">
        <v>1367</v>
      </c>
      <c r="F66" s="2484"/>
      <c r="G66" s="2484"/>
      <c r="H66" s="2492"/>
      <c r="I66" s="138"/>
      <c r="J66" s="3163"/>
      <c r="K66" s="2966" t="s">
        <v>2248</v>
      </c>
      <c r="L66" s="1745">
        <f ca="1">M49*0.5%</f>
        <v>4.0449999999999999</v>
      </c>
      <c r="M66" s="24">
        <f ca="1">IF(L66&gt;0.5,0.5,ROUND(L66,0))</f>
        <v>0.5</v>
      </c>
      <c r="N66" s="138" t="s">
        <v>2249</v>
      </c>
      <c r="Z66" s="2418"/>
      <c r="AI66" s="2419"/>
    </row>
    <row r="67" spans="1:35" ht="14.25" customHeight="1">
      <c r="A67" s="203" t="s">
        <v>773</v>
      </c>
      <c r="B67" s="204" t="s">
        <v>2250</v>
      </c>
      <c r="C67" s="207">
        <f ca="1">C63-C66</f>
        <v>770</v>
      </c>
      <c r="D67" s="200" t="s">
        <v>32</v>
      </c>
      <c r="E67" s="201"/>
      <c r="F67" s="2484"/>
      <c r="G67" s="2484"/>
      <c r="H67" s="2492"/>
      <c r="I67" s="138"/>
      <c r="J67" s="3163"/>
      <c r="K67" s="2966" t="s">
        <v>2251</v>
      </c>
      <c r="L67" s="1745">
        <f ca="1">IF(M49&gt;=10000,(8.25+(M49-10000)*0.01%),IF(AND(M49&gt;=8000,M49&lt;10000),(7.85+(M49-8000)*0.02%),IF(AND(M49&gt;=5000,M49&lt;8000),(6.65+(M49-5000)*0.04%),IF(AND(M49&gt;=2000,M49&lt;5000),(4.25+(PM49-2000)*0.08%),IF(AND(M49&gt;=1000,M49&lt;2000),(2.75+(M49-1000)*0.15%),IF(AND(M49&gt;=100,M49&lt;1000),(0.5+(M49-100)*0.25%),IF(AND(M49&gt;0,M49&lt;100),M49*0.5%)))))))</f>
        <v>2.2725</v>
      </c>
      <c r="M67" s="24">
        <f ca="1">ROUND(L67*0.9,1)</f>
        <v>2</v>
      </c>
      <c r="Z67" s="2418"/>
      <c r="AI67" s="2419"/>
    </row>
    <row r="68" spans="1:35" ht="14.25" customHeight="1" thickBot="1">
      <c r="A68" s="208" t="s">
        <v>774</v>
      </c>
      <c r="B68" s="209" t="s">
        <v>2252</v>
      </c>
      <c r="C68" s="210">
        <f ca="1">IF(C67&lt;=0,0,ROUND(C67*D68,0))</f>
        <v>43</v>
      </c>
      <c r="D68" s="211">
        <f>'数据-取费表'!B41</f>
        <v>5.6000000000000001E-2</v>
      </c>
      <c r="E68" s="212"/>
      <c r="F68" s="2484"/>
      <c r="G68" s="2484"/>
      <c r="H68" s="2492"/>
      <c r="I68" s="138"/>
      <c r="J68" s="3163"/>
      <c r="K68" s="2966" t="s">
        <v>2253</v>
      </c>
      <c r="L68" s="1745">
        <f ca="1">IF(M49&gt;10000,M49*0.5%,IF(AND(M49&gt;5000,M49&lt;=10000),M49*1%,IF(AND(M49&gt;1000,M49&lt;=5000),M49*2%,IF(AND(M49&gt;200,M49&lt;=1000),M49*3%,M49*5%))))</f>
        <v>24.27</v>
      </c>
      <c r="M68" s="24">
        <f ca="1">ROUND(L68,1)</f>
        <v>24.3</v>
      </c>
      <c r="Z68" s="2418"/>
      <c r="AI68" s="2419"/>
    </row>
    <row r="69" spans="1:35" s="2441" customFormat="1" ht="16.5" customHeight="1">
      <c r="A69" s="2495"/>
      <c r="B69" s="2496"/>
      <c r="C69" s="2497"/>
      <c r="D69" s="2498"/>
      <c r="E69" s="2499"/>
      <c r="F69" s="2162"/>
      <c r="G69" s="2162"/>
      <c r="H69" s="2161"/>
      <c r="I69" s="2413"/>
      <c r="J69" s="3163"/>
      <c r="K69" s="2966" t="s">
        <v>2254</v>
      </c>
      <c r="L69" s="2500"/>
      <c r="M69" s="24">
        <f ca="1">ROUND(SUM(M63:M68),0)</f>
        <v>61</v>
      </c>
      <c r="N69" s="1746">
        <f ca="1">M69/M49</f>
        <v>7.5401730531520397E-2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122" t="s">
        <v>2255</v>
      </c>
      <c r="B70" s="3123"/>
      <c r="C70" s="3123"/>
      <c r="D70" s="3123"/>
      <c r="E70" s="3123"/>
      <c r="F70" s="3123"/>
      <c r="G70" s="3123"/>
      <c r="H70" s="312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1" t="s">
        <v>2236</v>
      </c>
      <c r="B71" s="3102"/>
      <c r="C71" s="2957"/>
      <c r="D71" s="2957" t="s">
        <v>2237</v>
      </c>
      <c r="E71" s="213" t="s">
        <v>2238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2256</v>
      </c>
      <c r="C72" s="207">
        <f ca="1">ROUND(D45/(1+'数据-取费表'!C42),0)</f>
        <v>770</v>
      </c>
      <c r="D72" s="200" t="s">
        <v>32</v>
      </c>
      <c r="E72" s="2956"/>
      <c r="F72" s="2951"/>
      <c r="G72" s="295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2257</v>
      </c>
      <c r="C73" s="207">
        <f ca="1">C74+C78</f>
        <v>5</v>
      </c>
      <c r="D73" s="200" t="s">
        <v>32</v>
      </c>
      <c r="E73" s="2956"/>
      <c r="F73" s="2951"/>
      <c r="G73" s="295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2258</v>
      </c>
      <c r="C74" s="200">
        <f>ROUND(IF(G77="2016年5月1日后购买",C75/(1+'数据-取费表'!C42)+C76+C77,C75+C76+C77),0)</f>
        <v>0</v>
      </c>
      <c r="D74" s="200" t="s">
        <v>32</v>
      </c>
      <c r="E74" s="2956"/>
      <c r="F74" s="2951"/>
      <c r="G74" s="295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2259</v>
      </c>
      <c r="C75" s="218"/>
      <c r="D75" s="200" t="s">
        <v>32</v>
      </c>
      <c r="E75" s="219" t="s">
        <v>2260</v>
      </c>
      <c r="F75" s="2506" t="s">
        <v>2261</v>
      </c>
      <c r="G75" s="219" t="s">
        <v>2262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2263</v>
      </c>
      <c r="C76" s="200">
        <f>IF(F75="购房发票",ROUND(C75*H75*D76,0),0)</f>
        <v>0</v>
      </c>
      <c r="D76" s="222">
        <v>0.05</v>
      </c>
      <c r="E76" s="3096" t="s">
        <v>2264</v>
      </c>
      <c r="F76" s="3073"/>
      <c r="G76" s="3073"/>
      <c r="H76" s="312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2265</v>
      </c>
      <c r="C77" s="200">
        <f>ROUND(IF(G77="个人住宅",0,IF(G77="2016年5月1日前购买",C75*D77,C75*D77/(1+'数据-取费表'!C42))),0)</f>
        <v>0</v>
      </c>
      <c r="D77" s="223">
        <f>'数据-取费表'!B48+'数据-取费表'!B49</f>
        <v>3.0499999999999999E-2</v>
      </c>
      <c r="E77" s="2967" t="s">
        <v>2266</v>
      </c>
      <c r="F77" s="224"/>
      <c r="G77" s="2508" t="s">
        <v>2267</v>
      </c>
      <c r="H77" s="2959"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2268</v>
      </c>
      <c r="C78" s="225">
        <f ca="1">ROUND(D45*D78/(1+'数据-取费表'!C42),0)</f>
        <v>5</v>
      </c>
      <c r="D78" s="226">
        <f>'数据-取费表'!B43</f>
        <v>6.000000000000001E-3</v>
      </c>
      <c r="E78" s="3082" t="s">
        <v>2269</v>
      </c>
      <c r="F78" s="3083"/>
      <c r="G78" s="3083"/>
      <c r="H78" s="309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2270</v>
      </c>
      <c r="C79" s="207">
        <f ca="1">C72-C73</f>
        <v>765</v>
      </c>
      <c r="D79" s="200" t="s">
        <v>32</v>
      </c>
      <c r="E79" s="2956"/>
      <c r="F79" s="2951"/>
      <c r="G79" s="295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2271</v>
      </c>
      <c r="C80" s="227">
        <f ca="1">IF(C79&lt;=0,0,C79/C73)</f>
        <v>153</v>
      </c>
      <c r="D80" s="200" t="s">
        <v>32</v>
      </c>
      <c r="E80" s="2967" t="str">
        <f ca="1">IF(C80&gt;=200%,"增值额超过扣除项目金额200%",IF(C80&gt;=100%,"增值额超过扣除项目金额100%，未超过200%",IF(C80&gt;=50%,"增值额超过扣除项目金额50%，未超过100%",IF(C80&lt;50%,"增值额未超过扣除项目金额50%"))))</f>
        <v>增值额超过扣除项目金额200%</v>
      </c>
      <c r="F80" s="2951"/>
      <c r="G80" s="295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2272</v>
      </c>
      <c r="C81" s="228">
        <f ca="1">ROUND(IF(C79&lt;=0,0,IF(C80&gt;=200%,C79*60%-C73*35%,IF(C80&gt;=100%,C79*50%-C73*15%,IF(C80&gt;=50%,C79*40%-C73*5%,IF(C80&lt;50%,C79*30%,0))))),0)</f>
        <v>457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2" t="s">
        <v>2273</v>
      </c>
      <c r="B83" s="3123"/>
      <c r="C83" s="3123"/>
      <c r="D83" s="3123"/>
      <c r="E83" s="3123"/>
      <c r="F83" s="3123"/>
      <c r="G83" s="3123"/>
      <c r="H83" s="312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1" t="s">
        <v>2236</v>
      </c>
      <c r="B84" s="3102"/>
      <c r="C84" s="2957"/>
      <c r="D84" s="2957" t="s">
        <v>2237</v>
      </c>
      <c r="E84" s="213" t="s">
        <v>2238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2256</v>
      </c>
      <c r="C85" s="207">
        <f ca="1">ROUND(D45/(1+'数据-取费表'!C42),0)</f>
        <v>770</v>
      </c>
      <c r="D85" s="200" t="s">
        <v>32</v>
      </c>
      <c r="E85" s="2956"/>
      <c r="F85" s="2951"/>
      <c r="G85" s="295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2257</v>
      </c>
      <c r="C86" s="207">
        <f ca="1">IF(H88="仅含出让金",C87+C90+C91+C92+C93+C94,C87+C91+C92+C93+C94)</f>
        <v>5</v>
      </c>
      <c r="D86" s="235"/>
      <c r="E86" s="2956"/>
      <c r="F86" s="2951"/>
      <c r="G86" s="295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2274</v>
      </c>
      <c r="C87" s="225">
        <f>C88+C89</f>
        <v>0</v>
      </c>
      <c r="D87" s="226"/>
      <c r="E87" s="2952"/>
      <c r="F87" s="2953"/>
      <c r="G87" s="2953"/>
      <c r="H87" s="295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2275</v>
      </c>
      <c r="C88" s="236"/>
      <c r="D88" s="226"/>
      <c r="E88" s="237" t="s">
        <v>2276</v>
      </c>
      <c r="F88" s="2953"/>
      <c r="G88" s="238"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2265</v>
      </c>
      <c r="C89" s="225">
        <f>ROUND(C88*D89,0)</f>
        <v>0</v>
      </c>
      <c r="D89" s="226">
        <f>'数据-取费表'!B48+'数据-取费表'!B49</f>
        <v>3.0499999999999999E-2</v>
      </c>
      <c r="E89" s="237" t="s">
        <v>2278</v>
      </c>
      <c r="F89" s="2953"/>
      <c r="G89" s="2953"/>
      <c r="H89" s="295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2279</v>
      </c>
      <c r="C90" s="236"/>
      <c r="D90" s="226"/>
      <c r="E90" s="237" t="str">
        <f>IF(H88="-","土地取得成本中已包含该笔费用"," ")</f>
        <v xml:space="preserve"> </v>
      </c>
      <c r="F90" s="2953"/>
      <c r="G90" s="2953"/>
      <c r="H90" s="295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2280</v>
      </c>
      <c r="B91" s="198" t="s">
        <v>2281</v>
      </c>
      <c r="C91" s="225">
        <f>IF(H91="——",成本法!C33,I91)</f>
        <v>0</v>
      </c>
      <c r="D91" s="226"/>
      <c r="E91" s="3082" t="s">
        <v>2282</v>
      </c>
      <c r="F91" s="3083"/>
      <c r="G91" s="3083"/>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2284</v>
      </c>
      <c r="B92" s="198" t="s">
        <v>2285</v>
      </c>
      <c r="C92" s="225">
        <f>ROUND((C87+C90+C91)*D92,0)</f>
        <v>0</v>
      </c>
      <c r="D92" s="226">
        <v>0.1</v>
      </c>
      <c r="E92" s="3082" t="s">
        <v>2286</v>
      </c>
      <c r="F92" s="3083"/>
      <c r="G92" s="3083"/>
      <c r="H92" s="309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2287</v>
      </c>
      <c r="B93" s="198" t="s">
        <v>2268</v>
      </c>
      <c r="C93" s="225">
        <f ca="1">ROUND(D45*D93/(1+'数据-取费表'!C42),0)</f>
        <v>5</v>
      </c>
      <c r="D93" s="226">
        <f>'数据-取费表'!B43</f>
        <v>6.000000000000001E-3</v>
      </c>
      <c r="E93" s="3082" t="s">
        <v>2269</v>
      </c>
      <c r="F93" s="3083"/>
      <c r="G93" s="3083"/>
      <c r="H93" s="309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2288</v>
      </c>
      <c r="B94" s="198" t="s">
        <v>2289</v>
      </c>
      <c r="C94" s="236">
        <f>ROUND((C87+C90+C91)*D94,0)</f>
        <v>0</v>
      </c>
      <c r="D94" s="226">
        <v>0.2</v>
      </c>
      <c r="E94" s="3093" t="s">
        <v>2290</v>
      </c>
      <c r="F94" s="3094"/>
      <c r="G94" s="3094"/>
      <c r="H94" s="309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2270</v>
      </c>
      <c r="C95" s="207">
        <f ca="1">ROUND(C85-C86,0)</f>
        <v>765</v>
      </c>
      <c r="D95" s="200" t="s">
        <v>32</v>
      </c>
      <c r="E95" s="2956"/>
      <c r="F95" s="2951"/>
      <c r="G95" s="295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2271</v>
      </c>
      <c r="C96" s="227">
        <f ca="1">IF(C95&lt;=0,0,C95/C86)</f>
        <v>153</v>
      </c>
      <c r="D96" s="200" t="s">
        <v>32</v>
      </c>
      <c r="E96" s="2967" t="str">
        <f ca="1">IF(C96&gt;=200%,"增值额超过扣除项目金额200%",IF(C96&gt;=100%,"增值额超过扣除项目金额100%，未超过200%",IF(C96&gt;=50%,"增值额超过扣除项目金额50%，未超过100%",IF(C96&lt;50%,"增值额未超过扣除项目金额50%"))))</f>
        <v>增值额超过扣除项目金额200%</v>
      </c>
      <c r="F96" s="2951"/>
      <c r="G96" s="295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2272</v>
      </c>
      <c r="C97" s="228">
        <f ca="1">ROUND(IF(C95&lt;=0,0,IF(C96&gt;=200%,C95*60%-C86*35%,IF(C96&gt;=100%,C95*50%-C86*15%,IF(C96&gt;=50%,C95*40%-C86*5%,IF(C96&lt;50%,C95*30%,0))))),0)</f>
        <v>457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2291</v>
      </c>
      <c r="B99" s="2413"/>
      <c r="C99" s="2413"/>
      <c r="D99" s="2413"/>
      <c r="E99" s="2162"/>
      <c r="F99" s="2162"/>
      <c r="G99" s="2162"/>
      <c r="H99" s="2161"/>
      <c r="I99" s="138"/>
    </row>
    <row r="100" spans="1:35" ht="18.75" customHeight="1">
      <c r="A100" s="3067" t="s">
        <v>2292</v>
      </c>
      <c r="B100" s="3068"/>
      <c r="C100" s="3068"/>
      <c r="D100" s="3084"/>
      <c r="E100" s="3068" t="s">
        <v>2293</v>
      </c>
      <c r="F100" s="3068"/>
      <c r="G100" s="3068"/>
      <c r="H100" s="3084"/>
      <c r="I100" s="138"/>
    </row>
    <row r="101" spans="1:35" ht="18.75" customHeight="1">
      <c r="A101" s="3146" t="s">
        <v>2294</v>
      </c>
      <c r="B101" s="3147"/>
      <c r="C101" s="733" t="str">
        <f>C4</f>
        <v>成本法 (元)</v>
      </c>
      <c r="D101" s="734" t="str">
        <f>D4</f>
        <v>收益法-车库（元）</v>
      </c>
      <c r="E101" s="3160" t="s">
        <v>2295</v>
      </c>
      <c r="F101" s="3114"/>
      <c r="G101" s="2515" t="s">
        <v>2296</v>
      </c>
      <c r="H101" s="1042">
        <f ca="1">H118</f>
        <v>809</v>
      </c>
      <c r="I101" s="138"/>
    </row>
    <row r="102" spans="1:35" ht="18.75" customHeight="1">
      <c r="A102" s="3116" t="s">
        <v>2297</v>
      </c>
      <c r="B102" s="2515" t="s">
        <v>2296</v>
      </c>
      <c r="C102" s="733">
        <f ca="1">C19</f>
        <v>675</v>
      </c>
      <c r="D102" s="734">
        <f ca="1">D19</f>
        <v>898</v>
      </c>
      <c r="E102" s="3160"/>
      <c r="F102" s="3114"/>
      <c r="G102" s="2515" t="s">
        <v>2298</v>
      </c>
      <c r="H102" s="371">
        <f ca="1">I118</f>
        <v>3591</v>
      </c>
      <c r="I102" s="138"/>
    </row>
    <row r="103" spans="1:35" ht="42.75" customHeight="1">
      <c r="A103" s="3116"/>
      <c r="B103" s="2515" t="s">
        <v>2298</v>
      </c>
      <c r="C103" s="735">
        <f ca="1">C20</f>
        <v>2996</v>
      </c>
      <c r="D103" s="736">
        <f ca="1">D20</f>
        <v>3986</v>
      </c>
      <c r="E103" s="3155" t="s">
        <v>2299</v>
      </c>
      <c r="F103" s="3156"/>
      <c r="G103" s="2516" t="s">
        <v>2300</v>
      </c>
      <c r="H103" s="1042">
        <f>IF(D36="正常操作",H104+H105+H106,H105+H106)</f>
        <v>0</v>
      </c>
      <c r="I103" s="138"/>
    </row>
    <row r="104" spans="1:35" ht="18.75" customHeight="1">
      <c r="A104" s="3116" t="s">
        <v>2301</v>
      </c>
      <c r="B104" s="2517" t="s">
        <v>2296</v>
      </c>
      <c r="C104" s="737">
        <f ca="1">H118</f>
        <v>809</v>
      </c>
      <c r="D104" s="738"/>
      <c r="E104" s="2262" t="s">
        <v>2302</v>
      </c>
      <c r="F104" s="2254"/>
      <c r="G104" s="2516" t="s">
        <v>2300</v>
      </c>
      <c r="H104" s="1043">
        <f>IF(D36="同一抵押权人同一抵押物续贷",C36&amp;"（未扣减，详见特别提示）",C36)</f>
        <v>0</v>
      </c>
      <c r="I104" s="138"/>
    </row>
    <row r="105" spans="1:35" ht="18.75" customHeight="1" thickBot="1">
      <c r="A105" s="3117"/>
      <c r="B105" s="2518" t="s">
        <v>2298</v>
      </c>
      <c r="C105" s="739">
        <f ca="1">I118</f>
        <v>3591</v>
      </c>
      <c r="D105" s="740"/>
      <c r="E105" s="2262" t="s">
        <v>2303</v>
      </c>
      <c r="F105" s="2254"/>
      <c r="G105" s="2516" t="s">
        <v>2300</v>
      </c>
      <c r="H105" s="1043">
        <f>C37</f>
        <v>0</v>
      </c>
      <c r="I105" s="138"/>
    </row>
    <row r="106" spans="1:35" ht="18.75" customHeight="1">
      <c r="A106" s="2413" t="s">
        <v>2304</v>
      </c>
      <c r="B106" s="2413"/>
      <c r="C106" s="2413"/>
      <c r="D106" s="2413"/>
      <c r="E106" s="2519" t="s">
        <v>2305</v>
      </c>
      <c r="F106" s="2254"/>
      <c r="G106" s="2516" t="s">
        <v>2300</v>
      </c>
      <c r="H106" s="1043">
        <f>C38</f>
        <v>0</v>
      </c>
      <c r="I106" s="138"/>
    </row>
    <row r="107" spans="1:35" ht="18.75" customHeight="1">
      <c r="A107" s="138"/>
      <c r="B107" s="138"/>
      <c r="C107" s="138"/>
      <c r="D107" s="138"/>
      <c r="E107" s="3113" t="str">
        <f>IF(项目基本情况!E8="已注销","——","3.房地产抵押价值")</f>
        <v>3.房地产抵押价值</v>
      </c>
      <c r="F107" s="3114"/>
      <c r="G107" s="2515" t="s">
        <v>2296</v>
      </c>
      <c r="H107" s="1042">
        <f ca="1">IF(E107="——","——",H101-H103)</f>
        <v>809</v>
      </c>
      <c r="I107" s="138"/>
    </row>
    <row r="108" spans="1:35" ht="18.75" customHeight="1">
      <c r="A108" s="138"/>
      <c r="B108" s="138"/>
      <c r="C108" s="138"/>
      <c r="D108" s="138"/>
      <c r="E108" s="3113"/>
      <c r="F108" s="3114"/>
      <c r="G108" s="2515" t="s">
        <v>2298</v>
      </c>
      <c r="H108" s="371">
        <f ca="1">ROUND(H107*10000/'数据-汇总表'!E3,0)</f>
        <v>249</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5" t="s">
        <v>2296</v>
      </c>
      <c r="H109" s="348" t="str">
        <f>IF(E109="——","——",H101-H105-H106)</f>
        <v>——</v>
      </c>
      <c r="I109" s="138"/>
    </row>
    <row r="110" spans="1:35" ht="18.75" customHeight="1">
      <c r="A110" s="138"/>
      <c r="B110" s="138"/>
      <c r="C110" s="138"/>
      <c r="D110" s="138"/>
      <c r="E110" s="3113"/>
      <c r="F110" s="3114"/>
      <c r="G110" s="2515" t="s">
        <v>2298</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15" t="s">
        <v>2296</v>
      </c>
      <c r="H111" s="1042" t="str">
        <f>IF(E111="——","——",N59)</f>
        <v>——</v>
      </c>
      <c r="I111" s="138"/>
    </row>
    <row r="112" spans="1:35" ht="18.75" customHeight="1" thickBot="1">
      <c r="A112" s="138"/>
      <c r="B112" s="138"/>
      <c r="C112" s="138"/>
      <c r="D112" s="138"/>
      <c r="E112" s="3150"/>
      <c r="F112" s="3151"/>
      <c r="G112" s="2520" t="s">
        <v>2298</v>
      </c>
      <c r="H112" s="787" t="str">
        <f>IF(E111="——","——",N61)</f>
        <v>——</v>
      </c>
      <c r="I112" s="138"/>
    </row>
    <row r="113" spans="1:11" ht="18.75" customHeight="1">
      <c r="A113" s="138"/>
      <c r="B113" s="138"/>
      <c r="C113" s="138"/>
      <c r="D113" s="138"/>
      <c r="E113" s="3118" t="s">
        <v>2304</v>
      </c>
      <c r="F113" s="3118"/>
      <c r="G113" s="3118"/>
      <c r="H113" s="3118"/>
      <c r="I113" s="138"/>
    </row>
    <row r="114" spans="1:11" ht="3.75" customHeight="1">
      <c r="A114" s="2413"/>
      <c r="B114" s="2413"/>
      <c r="C114" s="2413"/>
      <c r="D114" s="2413"/>
      <c r="E114" s="2491"/>
      <c r="F114" s="2491"/>
      <c r="G114" s="2491"/>
      <c r="H114" s="2491"/>
      <c r="I114" s="2413"/>
    </row>
    <row r="115" spans="1:11" ht="18.75" customHeight="1">
      <c r="A115" s="3131" t="s">
        <v>2306</v>
      </c>
      <c r="B115" s="3132"/>
      <c r="C115" s="3132"/>
      <c r="D115" s="3132"/>
      <c r="E115" s="3132"/>
      <c r="F115" s="3132"/>
      <c r="G115" s="3132"/>
      <c r="H115" s="3132"/>
      <c r="I115" s="3133"/>
    </row>
    <row r="116" spans="1:11" ht="27" customHeight="1">
      <c r="A116" s="3024" t="s">
        <v>2307</v>
      </c>
      <c r="B116" s="3119" t="s">
        <v>2308</v>
      </c>
      <c r="C116" s="3119" t="s">
        <v>2309</v>
      </c>
      <c r="D116" s="3135" t="s">
        <v>2310</v>
      </c>
      <c r="E116" s="3136"/>
      <c r="F116" s="3127" t="s">
        <v>2311</v>
      </c>
      <c r="G116" s="3127"/>
      <c r="H116" s="3024" t="s">
        <v>2312</v>
      </c>
      <c r="I116" s="3024"/>
    </row>
    <row r="117" spans="1:11" ht="18.75" customHeight="1">
      <c r="A117" s="3024"/>
      <c r="B117" s="3120"/>
      <c r="C117" s="3120"/>
      <c r="D117" s="2949" t="s">
        <v>2313</v>
      </c>
      <c r="E117" s="2949" t="s">
        <v>2314</v>
      </c>
      <c r="F117" s="2949" t="s">
        <v>2313</v>
      </c>
      <c r="G117" s="2949" t="s">
        <v>2315</v>
      </c>
      <c r="H117" s="2949" t="s">
        <v>2313</v>
      </c>
      <c r="I117" s="2949" t="s">
        <v>2315</v>
      </c>
    </row>
    <row r="118" spans="1:11" ht="24.75" customHeight="1">
      <c r="A118" s="2521" t="str">
        <f>项目基本情况!S2</f>
        <v>北京市房地产</v>
      </c>
      <c r="B118" s="2949">
        <f>M18</f>
        <v>2252.83</v>
      </c>
      <c r="C118" s="2949">
        <f>M19</f>
        <v>610.36</v>
      </c>
      <c r="D118" s="2949" t="e">
        <f ca="1">ROUND(IF(D32="总价",C34,E118*B118/10000),0)</f>
        <v>#REF!</v>
      </c>
      <c r="E118" s="2949" t="e">
        <f ca="1">ROUND(IF(C33="自定义",IF(D32="楼面单价",C34,D118*10000/B118),I118-G118),0)</f>
        <v>#REF!</v>
      </c>
      <c r="F118" s="2949" t="e">
        <f ca="1">ROUND(IF(D32="总价",C35,G118*B118/10000),0)</f>
        <v>#REF!</v>
      </c>
      <c r="G118" s="2949" t="e">
        <f ca="1">ROUND(IF(D32="楼面单价",C35,F118*10000/B118),0)</f>
        <v>#REF!</v>
      </c>
      <c r="H118" s="2949">
        <f ca="1">ROUND(IF(D32="总价",C32,I118*B118/10000),0)</f>
        <v>809</v>
      </c>
      <c r="I118" s="2949">
        <f ca="1">ROUND(IF(D32="楼面单价",C32,H118*10000/B118),0)</f>
        <v>3591</v>
      </c>
    </row>
    <row r="119" spans="1:11" ht="18.75" customHeight="1">
      <c r="A119" s="3024" t="s">
        <v>2316</v>
      </c>
      <c r="B119" s="3024"/>
      <c r="C119" s="3024"/>
      <c r="D119" s="3124" t="e">
        <f ca="1">NUMBERSTRING(INT(D118*10000),2)&amp;"元整"</f>
        <v>#REF!</v>
      </c>
      <c r="E119" s="3126"/>
      <c r="F119" s="3124" t="e">
        <f ca="1">NUMBERSTRING(INT(F118*10000),2)&amp;"元整"</f>
        <v>#REF!</v>
      </c>
      <c r="G119" s="3126"/>
      <c r="H119" s="3124" t="str">
        <f ca="1">NUMBERSTRING(INT(H118*10000),2)&amp;"元整"</f>
        <v>捌佰零玖万元整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18" t="str">
        <f>IF(D120=0,"故，本次评估不存在"&amp;A120,"故，本次评估"&amp;A120&amp;"为人民币"&amp;D120&amp;"万元整。")</f>
        <v>故，本次评估不存在估价师知悉的法定优先受偿款</v>
      </c>
    </row>
    <row r="121" spans="1:11" ht="18.75" customHeight="1">
      <c r="A121" s="3128" t="s">
        <v>2316</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809</v>
      </c>
      <c r="E122" s="3153"/>
      <c r="F122" s="3153"/>
      <c r="G122" s="3153"/>
      <c r="H122" s="3153"/>
      <c r="I122" s="3154"/>
    </row>
    <row r="123" spans="1:11" ht="18.75" customHeight="1">
      <c r="A123" s="3024" t="s">
        <v>2316</v>
      </c>
      <c r="B123" s="3024"/>
      <c r="C123" s="3024"/>
      <c r="D123" s="3124" t="str">
        <f ca="1">NUMBERSTRING(INT(D122*10000),2)&amp;"元整"</f>
        <v>捌佰零玖万元整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2316</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2316</v>
      </c>
      <c r="B127" s="3024"/>
      <c r="C127" s="3024"/>
      <c r="D127" s="3124" t="e">
        <f>NUMBERSTRING(INT(D126*10000),2)&amp;"元整"</f>
        <v>#VALUE!</v>
      </c>
      <c r="E127" s="3125"/>
      <c r="F127" s="3125"/>
      <c r="G127" s="3125"/>
      <c r="H127" s="3125"/>
      <c r="I127" s="3126"/>
    </row>
    <row r="128" spans="1:11" ht="21.75" customHeight="1">
      <c r="A128" s="3134" t="s">
        <v>2317</v>
      </c>
      <c r="B128" s="3134"/>
      <c r="C128" s="3134"/>
      <c r="D128" s="3134"/>
      <c r="E128" s="3134"/>
      <c r="F128" s="3134"/>
      <c r="G128" s="3134"/>
      <c r="H128" s="3134"/>
      <c r="I128" s="3134"/>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2320</v>
      </c>
      <c r="G135" s="2539"/>
      <c r="H135" s="2539"/>
      <c r="I135" s="2540" t="s">
        <v>2321</v>
      </c>
    </row>
    <row r="136" spans="1:35" ht="21.75" customHeight="1">
      <c r="A136" s="792"/>
      <c r="B136" s="2541"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2323</v>
      </c>
    </row>
    <row r="139" spans="1:35" ht="21.75" customHeight="1">
      <c r="A139" s="792"/>
      <c r="B139" s="2541" t="s">
        <v>2324</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2323</v>
      </c>
    </row>
    <row r="142" spans="1:35" ht="21.75" customHeight="1">
      <c r="A142" s="792"/>
      <c r="B142" s="2541"/>
      <c r="C142" s="2542"/>
      <c r="D142" s="2543"/>
      <c r="E142" s="2543"/>
      <c r="F142" s="2336"/>
      <c r="G142" s="792"/>
      <c r="H142" s="792"/>
      <c r="I142" s="792"/>
    </row>
    <row r="143" spans="1:35" s="139"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2" t="s">
        <v>27</v>
      </c>
      <c r="C1" s="242"/>
      <c r="D1" s="242"/>
      <c r="E1" s="242"/>
      <c r="F1" s="242"/>
      <c r="G1" s="1375">
        <f>MATCH(B1,'数据-取费表'!A6:A16,0)+5</f>
        <v>6</v>
      </c>
    </row>
    <row r="2" spans="1:9" s="244" customFormat="1" ht="18" customHeight="1">
      <c r="A2" s="245" t="s">
        <v>2326</v>
      </c>
      <c r="B2" s="246">
        <f ca="1">IF(D2="——",C52,C52-E2)</f>
        <v>17945</v>
      </c>
      <c r="C2" s="243" t="s">
        <v>2327</v>
      </c>
      <c r="D2" s="2544" t="s">
        <v>70</v>
      </c>
      <c r="E2" s="1436" t="e">
        <f ca="1">SUMIF(INDIRECT("'"&amp;G2&amp;"'"&amp;"!A:A"),"承租人权益价值",INDIRECT("'"&amp;G2&amp;"'"&amp;"!c:c"))</f>
        <v>#REF!</v>
      </c>
      <c r="F2" s="2545" t="s">
        <v>2327</v>
      </c>
      <c r="G2" s="2546"/>
    </row>
    <row r="3" spans="1:9" s="244" customFormat="1" ht="18" customHeight="1" thickBot="1">
      <c r="A3" s="247" t="s">
        <v>2328</v>
      </c>
      <c r="B3" s="248">
        <f ca="1">ROUND(B2*10000/(IF(B1="",'数据-汇总表'!E3,INDIRECT("'数据-取费表'!k"&amp;$G$1))),0)</f>
        <v>5928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6815</v>
      </c>
      <c r="D5" s="255" t="s">
        <v>2333</v>
      </c>
      <c r="E5" s="256" t="s">
        <v>2334</v>
      </c>
      <c r="F5" s="256" t="s">
        <v>2335</v>
      </c>
      <c r="G5" s="257"/>
    </row>
    <row r="6" spans="1:9" s="258" customFormat="1" ht="13.5" customHeight="1">
      <c r="A6" s="946" t="s">
        <v>2336</v>
      </c>
      <c r="B6" s="259" t="s">
        <v>2337</v>
      </c>
      <c r="C6" s="260">
        <f ca="1">基准地价修正!E29+基准地价修正!E37</f>
        <v>6613</v>
      </c>
      <c r="D6" s="261"/>
      <c r="E6" s="262"/>
      <c r="F6" s="262"/>
      <c r="G6" s="263"/>
    </row>
    <row r="7" spans="1:9" s="258" customFormat="1" ht="13.5" customHeight="1">
      <c r="A7" s="946" t="s">
        <v>2338</v>
      </c>
      <c r="B7" s="259" t="s">
        <v>2339</v>
      </c>
      <c r="C7" s="264">
        <f ca="1">ROUND(C6*F7,0)</f>
        <v>202</v>
      </c>
      <c r="D7" s="264"/>
      <c r="E7" s="262"/>
      <c r="F7" s="265">
        <f>IF(项目基本情况!B8="出让",0,'数据-取费表'!B48+'数据-取费表'!B49)</f>
        <v>3.0499999999999999E-2</v>
      </c>
      <c r="G7" s="263"/>
    </row>
    <row r="8" spans="1:9" s="267" customFormat="1">
      <c r="A8" s="946" t="s">
        <v>2340</v>
      </c>
      <c r="B8" s="259" t="s">
        <v>2341</v>
      </c>
      <c r="C8" s="264">
        <f>IF(G8="已包含在土地购买价格中","0",IF(B1="",'数据-取费表'!B29,IF(G9="全部缴纳",C9+C10,H9)))</f>
        <v>0</v>
      </c>
      <c r="D8" s="266"/>
      <c r="E8" s="264"/>
      <c r="F8" s="265"/>
      <c r="G8" s="2547"/>
    </row>
    <row r="9" spans="1:9" s="258" customFormat="1" ht="13.5" customHeight="1">
      <c r="A9" s="947" t="s">
        <v>800</v>
      </c>
      <c r="B9" s="268" t="s">
        <v>2342</v>
      </c>
      <c r="C9" s="269">
        <f ca="1">ROUND(D9*E9/10000,0)</f>
        <v>0</v>
      </c>
      <c r="D9" s="1029">
        <f ca="1">IF(B1="",'数据-汇总表'!E5,IF(INDIRECT("'数据-取费表'!c"&amp;$G$1)="住宅",INDIRECT("'数据-取费表'!k"&amp;$G$1),0))</f>
        <v>0</v>
      </c>
      <c r="E9" s="269">
        <f>'数据-取费表'!B27</f>
        <v>160</v>
      </c>
      <c r="F9" s="265"/>
      <c r="G9" s="2548"/>
      <c r="H9" s="1386"/>
      <c r="I9" s="2549" t="s">
        <v>2343</v>
      </c>
    </row>
    <row r="10" spans="1:9" s="258" customFormat="1" ht="13.5" customHeight="1">
      <c r="A10" s="947" t="s">
        <v>801</v>
      </c>
      <c r="B10" s="268" t="s">
        <v>2344</v>
      </c>
      <c r="C10" s="269">
        <f ca="1">ROUND(D10*E10/10000,0)</f>
        <v>605</v>
      </c>
      <c r="D10" s="1029">
        <f ca="1">IF(B1="",'数据-汇总表'!E6,IF(INDIRECT("'数据-取费表'!c"&amp;$G$1)="住宅",INDIRECT("'数据-取费表'!s"&amp;$G$1),INDIRECT("'数据-取费表'!k"&amp;$G$1)+INDIRECT("'数据-取费表'!s"&amp;$G$1)))</f>
        <v>30271.149999999991</v>
      </c>
      <c r="E10" s="269">
        <f>'数据-取费表'!B28</f>
        <v>200</v>
      </c>
      <c r="F10" s="265"/>
      <c r="G10" s="270"/>
    </row>
    <row r="11" spans="1:9" s="258" customFormat="1" ht="13.5" hidden="1" customHeight="1">
      <c r="A11" s="271" t="s">
        <v>7</v>
      </c>
      <c r="B11" s="259" t="s">
        <v>2345</v>
      </c>
      <c r="C11" s="255"/>
      <c r="D11" s="1031"/>
      <c r="E11" s="262"/>
      <c r="F11" s="262"/>
      <c r="G11" s="263"/>
    </row>
    <row r="12" spans="1:9" s="258" customFormat="1" ht="13.5" hidden="1" customHeight="1">
      <c r="A12" s="271" t="s">
        <v>8</v>
      </c>
      <c r="B12" s="259" t="s">
        <v>2346</v>
      </c>
      <c r="C12" s="255">
        <v>0</v>
      </c>
      <c r="D12" s="1031"/>
      <c r="E12" s="272"/>
      <c r="F12" s="265">
        <v>3.0499999999999999E-2</v>
      </c>
      <c r="G12" s="263"/>
    </row>
    <row r="13" spans="1:9" s="258" customFormat="1" ht="13.5" hidden="1" customHeight="1">
      <c r="A13" s="271" t="s">
        <v>9</v>
      </c>
      <c r="B13" s="259" t="s">
        <v>2347</v>
      </c>
      <c r="C13" s="255"/>
      <c r="D13" s="1031"/>
      <c r="E13" s="262"/>
      <c r="F13" s="262"/>
      <c r="G13" s="263"/>
    </row>
    <row r="14" spans="1:9" s="258" customFormat="1" ht="13.5" hidden="1" customHeight="1">
      <c r="A14" s="271" t="s">
        <v>10</v>
      </c>
      <c r="B14" s="259" t="s">
        <v>2348</v>
      </c>
      <c r="C14" s="255"/>
      <c r="D14" s="1031"/>
      <c r="E14" s="262"/>
      <c r="F14" s="262"/>
      <c r="G14" s="263" t="s">
        <v>2349</v>
      </c>
    </row>
    <row r="15" spans="1:9" s="258" customFormat="1" ht="13.5" hidden="1" customHeight="1">
      <c r="A15" s="271" t="s">
        <v>11</v>
      </c>
      <c r="B15" s="259" t="s">
        <v>2350</v>
      </c>
      <c r="C15" s="264"/>
      <c r="D15" s="1031"/>
      <c r="E15" s="262"/>
      <c r="F15" s="262"/>
      <c r="G15" s="263" t="s">
        <v>2351</v>
      </c>
    </row>
    <row r="16" spans="1:9" s="258" customFormat="1" ht="13.5" hidden="1" customHeight="1">
      <c r="A16" s="271" t="s">
        <v>12</v>
      </c>
      <c r="B16" s="259" t="s">
        <v>2348</v>
      </c>
      <c r="C16" s="264"/>
      <c r="D16" s="1031"/>
      <c r="E16" s="262"/>
      <c r="F16" s="262"/>
      <c r="G16" s="263"/>
    </row>
    <row r="17" spans="1:7" s="258" customFormat="1" ht="13.5" hidden="1" customHeight="1">
      <c r="A17" s="271" t="s">
        <v>13</v>
      </c>
      <c r="B17" s="259" t="s">
        <v>2352</v>
      </c>
      <c r="C17" s="273"/>
      <c r="D17" s="1032"/>
      <c r="E17" s="273"/>
      <c r="F17" s="273"/>
      <c r="G17" s="263" t="s">
        <v>2351</v>
      </c>
    </row>
    <row r="18" spans="1:7" s="258" customFormat="1" ht="13.5" hidden="1" customHeight="1">
      <c r="A18" s="271" t="s">
        <v>14</v>
      </c>
      <c r="B18" s="259" t="s">
        <v>2353</v>
      </c>
      <c r="C18" s="264">
        <v>0</v>
      </c>
      <c r="D18" s="1031"/>
      <c r="E18" s="262"/>
      <c r="F18" s="265">
        <v>3.0499999999999999E-2</v>
      </c>
      <c r="G18" s="263" t="s">
        <v>2354</v>
      </c>
    </row>
    <row r="19" spans="1:7" s="267" customFormat="1" ht="13.5" customHeight="1">
      <c r="A19" s="299" t="s">
        <v>2355</v>
      </c>
      <c r="B19" s="254" t="s">
        <v>2356</v>
      </c>
      <c r="C19" s="255">
        <f ca="1">IF(G19="已包含在土地取得成本中","0",ROUND(D19*E19/10000,0))</f>
        <v>605</v>
      </c>
      <c r="D19" s="1033">
        <f ca="1">D9+D10</f>
        <v>30271.149999999991</v>
      </c>
      <c r="E19" s="255">
        <f>'数据-取费表'!B31</f>
        <v>200</v>
      </c>
      <c r="F19" s="275"/>
      <c r="G19" s="2547"/>
    </row>
    <row r="20" spans="1:7" s="258" customFormat="1" ht="13.5" customHeight="1">
      <c r="A20" s="299" t="s">
        <v>2357</v>
      </c>
      <c r="B20" s="254" t="s">
        <v>2358</v>
      </c>
      <c r="C20" s="276">
        <f ca="1">ROUND((C5+C19)*F20,0)</f>
        <v>111</v>
      </c>
      <c r="D20" s="276"/>
      <c r="E20" s="276"/>
      <c r="F20" s="277">
        <f>'数据-取费表'!B37</f>
        <v>1.4999999999999999E-2</v>
      </c>
      <c r="G20" s="278" t="s">
        <v>2359</v>
      </c>
    </row>
    <row r="21" spans="1:7" s="258" customFormat="1" ht="13.5" customHeight="1">
      <c r="A21" s="299" t="s">
        <v>2360</v>
      </c>
      <c r="B21" s="254" t="s">
        <v>2361</v>
      </c>
      <c r="C21" s="279">
        <f>F21</f>
        <v>1.4999999999999999E-2</v>
      </c>
      <c r="D21" s="280" t="s">
        <v>2362</v>
      </c>
      <c r="E21" s="276"/>
      <c r="F21" s="277">
        <f>'数据-取费表'!B38</f>
        <v>1.4999999999999999E-2</v>
      </c>
      <c r="G21" s="278" t="s">
        <v>2363</v>
      </c>
    </row>
    <row r="22" spans="1:7" s="258" customFormat="1" ht="13.5" customHeight="1">
      <c r="A22" s="299" t="s">
        <v>2364</v>
      </c>
      <c r="B22" s="254" t="s">
        <v>2365</v>
      </c>
      <c r="C22" s="1350">
        <f ca="1">ROUND(SUM(C23:C25),0)</f>
        <v>727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48" t="s">
        <v>2366</v>
      </c>
      <c r="B23" s="259" t="s">
        <v>2367</v>
      </c>
      <c r="C23" s="1351">
        <f ca="1">ROUND(IF('数据-取费表'!B22&lt;=1,C5*F22*'数据-取费表'!B23,C5*(POWER((1+F22),'数据-取费表'!B23)-1)),0)</f>
        <v>663</v>
      </c>
      <c r="D23" s="282"/>
      <c r="E23" s="282"/>
      <c r="F23" s="283"/>
      <c r="G23" s="284" t="s">
        <v>2368</v>
      </c>
    </row>
    <row r="24" spans="1:7" s="258" customFormat="1" ht="13.5" customHeight="1">
      <c r="A24" s="948" t="s">
        <v>2369</v>
      </c>
      <c r="B24" s="259" t="s">
        <v>2370</v>
      </c>
      <c r="C24" s="1351">
        <f ca="1">ROUND(IF('数据-取费表'!B22&lt;=1,C19*F22*('数据-取费表'!B19/2+'数据-取费表'!B21),C19*(POWER((1+F22),('数据-取费表'!B19/2+'数据-取费表'!B21))-1)),0)</f>
        <v>59</v>
      </c>
      <c r="D24" s="282"/>
      <c r="E24" s="282"/>
      <c r="F24" s="283"/>
      <c r="G24" s="284" t="s">
        <v>2371</v>
      </c>
    </row>
    <row r="25" spans="1:7" s="258" customFormat="1" ht="24">
      <c r="A25" s="948" t="s">
        <v>2372</v>
      </c>
      <c r="B25" s="259" t="s">
        <v>2373</v>
      </c>
      <c r="C25" s="1351">
        <f ca="1">ROUND(IF('数据-取费表'!B22&lt;=1,C20*F22*'数据-取费表'!B23/2,C20*(POWER((1+F22),'数据-取费表'!B23/2)-1)),0)</f>
        <v>5</v>
      </c>
      <c r="D25" s="282"/>
      <c r="E25" s="285"/>
      <c r="F25" s="283"/>
      <c r="G25" s="286" t="s">
        <v>2374</v>
      </c>
    </row>
    <row r="26" spans="1:7" s="258" customFormat="1">
      <c r="A26" s="948"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753</v>
      </c>
      <c r="D27" s="279">
        <f ca="1">C29</f>
        <v>1.5E-3</v>
      </c>
      <c r="E27" s="280" t="s">
        <v>2378</v>
      </c>
      <c r="F27" s="290">
        <f ca="1">IF(B1="",'数据-取费表'!Q16,INDIRECT("'数据-取费表'!q"&amp;$G$1))</f>
        <v>0.1</v>
      </c>
      <c r="G27" s="291" t="s">
        <v>2379</v>
      </c>
    </row>
    <row r="28" spans="1:7" s="258" customFormat="1" ht="13.5" customHeight="1">
      <c r="A28" s="948" t="s">
        <v>791</v>
      </c>
      <c r="B28" s="292" t="s">
        <v>2380</v>
      </c>
      <c r="C28" s="293">
        <f ca="1">ROUND((C5+C19+C20)*F27*'数据-取费表'!B21/'数据-取费表'!B20,0)</f>
        <v>753</v>
      </c>
      <c r="D28" s="279"/>
      <c r="E28" s="280"/>
      <c r="F28" s="290"/>
      <c r="G28" s="291"/>
    </row>
    <row r="29" spans="1:7" s="258" customFormat="1" ht="13.5" customHeight="1">
      <c r="A29" s="948"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9694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9146</v>
      </c>
      <c r="D33" s="276"/>
      <c r="E33" s="256"/>
      <c r="F33" s="285"/>
      <c r="G33" s="278"/>
    </row>
    <row r="34" spans="1:7" s="302" customFormat="1" ht="13.5" customHeight="1">
      <c r="A34" s="948" t="s">
        <v>791</v>
      </c>
      <c r="B34" s="259" t="s">
        <v>2389</v>
      </c>
      <c r="C34" s="264">
        <f ca="1">IF(B1="",IF(F34=100%,'数据-取费表'!M16,'数据-取费表'!O16),IF(F34=100%,INDIRECT("'数据-取费表'!m"&amp;$G$1)+INDIRECT("'数据-取费表'!t"&amp;$G$1),INDIRECT("'数据-取费表'!o"&amp;$G$1)+INDIRECT("'数据-取费表'!aq"&amp;$G$1)))</f>
        <v>8173</v>
      </c>
      <c r="D34" s="261"/>
      <c r="E34" s="264"/>
      <c r="F34" s="301">
        <f ca="1">IF('数据-取费表'!B24=0,1,IF(B1="",'数据-取费表'!N16,INDIRECT("'数据-取费表'!n"&amp;$G$1)))</f>
        <v>1</v>
      </c>
      <c r="G34" s="263" t="s">
        <v>2390</v>
      </c>
    </row>
    <row r="35" spans="1:7" ht="13.5" customHeight="1">
      <c r="A35" s="948" t="s">
        <v>796</v>
      </c>
      <c r="B35" s="259" t="s">
        <v>2391</v>
      </c>
      <c r="C35" s="264">
        <f ca="1">ROUND(C34*F35,0)</f>
        <v>245</v>
      </c>
      <c r="D35" s="264"/>
      <c r="E35" s="264"/>
      <c r="F35" s="303">
        <f>'数据-取费表'!B33</f>
        <v>0.03</v>
      </c>
      <c r="G35" s="263" t="s">
        <v>2392</v>
      </c>
    </row>
    <row r="36" spans="1:7" ht="24">
      <c r="A36" s="948"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8" t="s">
        <v>798</v>
      </c>
      <c r="B37" s="259" t="s">
        <v>2395</v>
      </c>
      <c r="C37" s="293">
        <f ca="1">ROUND(E37*D37*F34/10000,0)</f>
        <v>605</v>
      </c>
      <c r="D37" s="261">
        <f ca="1">D19</f>
        <v>30271.149999999991</v>
      </c>
      <c r="E37" s="293">
        <f>'数据-取费表'!B35</f>
        <v>200</v>
      </c>
      <c r="F37" s="303"/>
      <c r="G37" s="305" t="s">
        <v>2396</v>
      </c>
    </row>
    <row r="38" spans="1:7" ht="13.5" customHeight="1">
      <c r="A38" s="948" t="s">
        <v>799</v>
      </c>
      <c r="B38" s="259" t="s">
        <v>2397</v>
      </c>
      <c r="C38" s="264">
        <f ca="1">ROUND(C34*F38,0)</f>
        <v>123</v>
      </c>
      <c r="D38" s="264"/>
      <c r="E38" s="264"/>
      <c r="F38" s="303">
        <f>'数据-取费表'!B36</f>
        <v>1.4999999999999999E-2</v>
      </c>
      <c r="G38" s="263" t="s">
        <v>2392</v>
      </c>
    </row>
    <row r="39" spans="1:7" s="258" customFormat="1" ht="13.5" customHeight="1">
      <c r="A39" s="299" t="s">
        <v>2398</v>
      </c>
      <c r="B39" s="254" t="s">
        <v>2399</v>
      </c>
      <c r="C39" s="276">
        <f ca="1">ROUND(C33*F20,0)</f>
        <v>137</v>
      </c>
      <c r="D39" s="276"/>
      <c r="E39" s="276"/>
      <c r="F39" s="277"/>
      <c r="G39" s="278" t="s">
        <v>2400</v>
      </c>
    </row>
    <row r="40" spans="1:7" s="258" customFormat="1" ht="13.5" customHeight="1">
      <c r="A40" s="299" t="s">
        <v>2401</v>
      </c>
      <c r="B40" s="254" t="s">
        <v>2402</v>
      </c>
      <c r="C40" s="1724">
        <f>F21</f>
        <v>1.4999999999999999E-2</v>
      </c>
      <c r="D40" s="280" t="s">
        <v>2403</v>
      </c>
      <c r="E40" s="276"/>
      <c r="F40" s="277"/>
      <c r="G40" s="278" t="s">
        <v>2404</v>
      </c>
    </row>
    <row r="41" spans="1:7" s="258" customFormat="1" ht="13.5" customHeight="1">
      <c r="A41" s="299" t="s">
        <v>2405</v>
      </c>
      <c r="B41" s="254" t="s">
        <v>2406</v>
      </c>
      <c r="C41" s="276">
        <f ca="1">ROUND(SUM(C42:C43),0)</f>
        <v>441</v>
      </c>
      <c r="D41" s="279">
        <f ca="1">C44</f>
        <v>6.9999999999999999E-4</v>
      </c>
      <c r="E41" s="280" t="s">
        <v>2403</v>
      </c>
      <c r="F41" s="281"/>
      <c r="G41" s="278" t="str">
        <f>IF('数据-取费表'!B22&lt;=1,"单利计息","复利计息")</f>
        <v>复利计息</v>
      </c>
    </row>
    <row r="42" spans="1:7" ht="13.5" customHeight="1">
      <c r="A42" s="948" t="s">
        <v>791</v>
      </c>
      <c r="B42" s="259" t="s">
        <v>2407</v>
      </c>
      <c r="C42" s="282">
        <f ca="1">ROUND(IF('数据-取费表'!B22&lt;=1,C33*F22*'数据-取费表'!B21/2,C33*(POWER((1+F22),'数据-取费表'!B21/2)-1)),0)</f>
        <v>434</v>
      </c>
      <c r="D42" s="282"/>
      <c r="E42" s="282"/>
      <c r="F42" s="283"/>
      <c r="G42" s="3261" t="s">
        <v>2408</v>
      </c>
    </row>
    <row r="43" spans="1:7" ht="13.5" customHeight="1">
      <c r="A43" s="948" t="s">
        <v>792</v>
      </c>
      <c r="B43" s="259" t="s">
        <v>2409</v>
      </c>
      <c r="C43" s="282">
        <f ca="1">ROUND(IF('数据-取费表'!B22&lt;=1,C39*F22*'数据-取费表'!B21/2,C39*(POWER((1+F22),'数据-取费表'!B21/2)-1)),0)</f>
        <v>7</v>
      </c>
      <c r="D43" s="282"/>
      <c r="E43" s="282"/>
      <c r="F43" s="283"/>
      <c r="G43" s="3262"/>
    </row>
    <row r="44" spans="1:7" ht="13.5" customHeight="1">
      <c r="A44" s="948" t="s">
        <v>793</v>
      </c>
      <c r="B44" s="259" t="s">
        <v>2410</v>
      </c>
      <c r="C44" s="282">
        <f ca="1">ROUND(IF('数据-取费表'!B22&lt;=1,C40*F22*'数据-取费表'!B21/2,C40*(POWER((1+F22),'数据-取费表'!B21/2)-1)),4)</f>
        <v>6.9999999999999999E-4</v>
      </c>
      <c r="D44" s="282"/>
      <c r="E44" s="282"/>
      <c r="F44" s="283"/>
      <c r="G44" s="3263"/>
    </row>
    <row r="45" spans="1:7" s="258" customFormat="1" ht="13.5" customHeight="1">
      <c r="A45" s="299" t="s">
        <v>2411</v>
      </c>
      <c r="B45" s="288" t="s">
        <v>2377</v>
      </c>
      <c r="C45" s="289">
        <f ca="1">C46</f>
        <v>928</v>
      </c>
      <c r="D45" s="279">
        <f ca="1">C47</f>
        <v>1.5E-3</v>
      </c>
      <c r="E45" s="280" t="s">
        <v>2403</v>
      </c>
      <c r="F45" s="290"/>
      <c r="G45" s="291" t="s">
        <v>2412</v>
      </c>
    </row>
    <row r="46" spans="1:7" s="258" customFormat="1" ht="13.5" customHeight="1">
      <c r="A46" s="948" t="s">
        <v>791</v>
      </c>
      <c r="B46" s="292" t="s">
        <v>2413</v>
      </c>
      <c r="C46" s="293">
        <f ca="1">ROUND((C33+C39)*F27,0)</f>
        <v>928</v>
      </c>
      <c r="D46" s="307"/>
      <c r="E46" s="280"/>
      <c r="F46" s="290"/>
      <c r="G46" s="291"/>
    </row>
    <row r="47" spans="1:7" s="258" customFormat="1" ht="13.5" customHeight="1">
      <c r="A47" s="948" t="s">
        <v>792</v>
      </c>
      <c r="B47" s="292" t="s">
        <v>2414</v>
      </c>
      <c r="C47" s="282">
        <f ca="1">ROUND(C40*F27,4)</f>
        <v>1.5E-3</v>
      </c>
      <c r="D47" s="307"/>
      <c r="E47" s="280"/>
      <c r="F47" s="290"/>
      <c r="G47" s="291"/>
    </row>
    <row r="48" spans="1:7" s="258" customFormat="1" ht="13.5" customHeight="1">
      <c r="A48" s="299" t="s">
        <v>2376</v>
      </c>
      <c r="B48" s="254" t="s">
        <v>2415</v>
      </c>
      <c r="C48" s="1724">
        <f>ROUND(F30/(1+'数据-取费表'!C42),4)</f>
        <v>5.33E-2</v>
      </c>
      <c r="D48" s="280" t="s">
        <v>2403</v>
      </c>
      <c r="E48" s="276"/>
      <c r="F48" s="281"/>
      <c r="G48" s="278" t="s">
        <v>2416</v>
      </c>
    </row>
    <row r="49" spans="1:7" ht="16.5" customHeight="1">
      <c r="A49" s="299" t="s">
        <v>2382</v>
      </c>
      <c r="B49" s="254" t="s">
        <v>2417</v>
      </c>
      <c r="C49" s="276">
        <f ca="1">ROUND((C33+C39+C41+C45)/(1-C40-D41-D45-C48),0)</f>
        <v>11460</v>
      </c>
      <c r="D49" s="276"/>
      <c r="E49" s="276"/>
      <c r="F49" s="308"/>
      <c r="G49" s="278" t="s">
        <v>2418</v>
      </c>
    </row>
    <row r="50" spans="1:7" s="302" customFormat="1" ht="24">
      <c r="A50" s="299" t="s">
        <v>2419</v>
      </c>
      <c r="B50" s="254" t="s">
        <v>2420</v>
      </c>
      <c r="C50" s="276"/>
      <c r="D50" s="276"/>
      <c r="E50" s="276"/>
      <c r="F50" s="308">
        <f>IF('数据-取费表'!B24=0,'数据-取费表'!N16,1)</f>
        <v>0.72</v>
      </c>
      <c r="G50" s="291" t="s">
        <v>2421</v>
      </c>
    </row>
    <row r="51" spans="1:7" ht="16.5" customHeight="1">
      <c r="A51" s="299" t="s">
        <v>2422</v>
      </c>
      <c r="B51" s="254" t="s">
        <v>2423</v>
      </c>
      <c r="C51" s="276">
        <f ca="1">ROUND(C49*F50,0)</f>
        <v>8251</v>
      </c>
      <c r="D51" s="276"/>
      <c r="E51" s="276"/>
      <c r="F51" s="308"/>
      <c r="G51" s="278" t="s">
        <v>2424</v>
      </c>
    </row>
    <row r="52" spans="1:7" s="252" customFormat="1" ht="16.5" thickBot="1">
      <c r="A52" s="309" t="s">
        <v>2425</v>
      </c>
      <c r="B52" s="310"/>
      <c r="C52" s="311">
        <f ca="1">C31+C51</f>
        <v>17945</v>
      </c>
      <c r="D52" s="310"/>
      <c r="E52" s="310"/>
      <c r="F52" s="310"/>
      <c r="G52" s="312"/>
    </row>
    <row r="55" spans="1:7" ht="15">
      <c r="B55" s="314" t="s">
        <v>2426</v>
      </c>
      <c r="C55" s="315"/>
    </row>
    <row r="56" spans="1:7">
      <c r="B56" s="317" t="s">
        <v>1508</v>
      </c>
      <c r="C56" s="319">
        <f ca="1">1-C57</f>
        <v>0.54</v>
      </c>
    </row>
    <row r="57" spans="1:7">
      <c r="B57" s="317" t="s">
        <v>1509</v>
      </c>
      <c r="C57" s="318">
        <f ca="1">ROUND(C51/C52,3)</f>
        <v>0.46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2" t="s">
        <v>48</v>
      </c>
      <c r="C1" s="2550" t="s">
        <v>2427</v>
      </c>
      <c r="D1" s="242"/>
      <c r="E1" s="242"/>
      <c r="F1" s="242"/>
      <c r="G1" s="1375">
        <f>MATCH(B1,'数据-取费表'!A6:A16,0)+5</f>
        <v>8</v>
      </c>
      <c r="H1" s="1278" t="str">
        <f>IF(ISERROR(FIND("住宅",B1)),"非住宅","住宅")</f>
        <v>非住宅</v>
      </c>
    </row>
    <row r="2" spans="1:8" s="244" customFormat="1" ht="18" customHeight="1">
      <c r="A2" s="245" t="s">
        <v>2326</v>
      </c>
      <c r="B2" s="246">
        <f ca="1">ROUND(IF(D2="——",C52/10000,C52/10000-E2),0)</f>
        <v>675</v>
      </c>
      <c r="C2" s="243" t="s">
        <v>2327</v>
      </c>
      <c r="D2" s="2544" t="s">
        <v>70</v>
      </c>
      <c r="E2" s="1436" t="e">
        <f ca="1">SUMIF(INDIRECT("'"&amp;G2&amp;"'"&amp;"!A:A"),"承租人权益价值",INDIRECT("'"&amp;G2&amp;"'"&amp;"!c:c"))</f>
        <v>#REF!</v>
      </c>
      <c r="F2" s="2545" t="s">
        <v>2327</v>
      </c>
      <c r="G2" s="2546"/>
    </row>
    <row r="3" spans="1:8" s="244" customFormat="1" ht="18" customHeight="1" thickBot="1">
      <c r="A3" s="247" t="s">
        <v>2328</v>
      </c>
      <c r="B3" s="248">
        <f ca="1">ROUND(B2*10000/(IF(B1="",'数据-汇总表'!E3,INDIRECT("'数据-取费表'!k"&amp;$G$1))),0)</f>
        <v>2996</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1936352.2</v>
      </c>
      <c r="D5" s="255" t="s">
        <v>2333</v>
      </c>
      <c r="E5" s="256" t="s">
        <v>2334</v>
      </c>
      <c r="F5" s="256" t="s">
        <v>2335</v>
      </c>
      <c r="G5" s="257"/>
    </row>
    <row r="6" spans="1:8" s="258" customFormat="1" ht="13.5" customHeight="1">
      <c r="A6" s="946" t="s">
        <v>2336</v>
      </c>
      <c r="B6" s="259" t="s">
        <v>2337</v>
      </c>
      <c r="C6" s="260">
        <f ca="1">基准地价修正!C39*基准地价修正!D39</f>
        <v>1441811.2</v>
      </c>
      <c r="D6" s="261"/>
      <c r="E6" s="262"/>
      <c r="F6" s="262"/>
      <c r="G6" s="263"/>
    </row>
    <row r="7" spans="1:8" s="258" customFormat="1" ht="13.5" customHeight="1">
      <c r="A7" s="946" t="s">
        <v>2338</v>
      </c>
      <c r="B7" s="259" t="s">
        <v>2339</v>
      </c>
      <c r="C7" s="264">
        <f ca="1">ROUND(C6*F7,0)</f>
        <v>43975</v>
      </c>
      <c r="D7" s="264"/>
      <c r="E7" s="262"/>
      <c r="F7" s="265">
        <f>IF(项目基本情况!B8="出让",0,'数据-取费表'!B48+'数据-取费表'!B49)</f>
        <v>3.0499999999999999E-2</v>
      </c>
      <c r="G7" s="263"/>
    </row>
    <row r="8" spans="1:8" s="267" customFormat="1">
      <c r="A8" s="946" t="s">
        <v>2340</v>
      </c>
      <c r="B8" s="259" t="s">
        <v>2341</v>
      </c>
      <c r="C8" s="264">
        <f ca="1">IF(G8="已包含在土地购买价格中",0,C9+C10)</f>
        <v>450566</v>
      </c>
      <c r="D8" s="266"/>
      <c r="E8" s="264"/>
      <c r="F8" s="265"/>
      <c r="G8" s="2547" t="s">
        <v>3131</v>
      </c>
    </row>
    <row r="9" spans="1:8" s="258" customFormat="1" ht="13.5" customHeight="1">
      <c r="A9" s="947" t="s">
        <v>800</v>
      </c>
      <c r="B9" s="268" t="s">
        <v>2342</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2344</v>
      </c>
      <c r="C10" s="269">
        <f ca="1">ROUND(D10*E10,0)</f>
        <v>450566</v>
      </c>
      <c r="D10" s="1029">
        <f ca="1">IF(B1="",'数据-汇总表'!E6,IF(INDIRECT("'数据-取费表'!c"&amp;$G$1)="住宅",INDIRECT("'数据-取费表'!s"&amp;$G$1),INDIRECT("'数据-取费表'!k"&amp;$G$1)+INDIRECT("'数据-取费表'!s"&amp;$G$1)))</f>
        <v>2252.83</v>
      </c>
      <c r="E10" s="269">
        <f>'数据-取费表'!B28</f>
        <v>200</v>
      </c>
      <c r="F10" s="265"/>
      <c r="G10" s="270"/>
    </row>
    <row r="11" spans="1:8" s="258" customFormat="1" ht="13.5" hidden="1" customHeight="1">
      <c r="A11" s="271" t="s">
        <v>7</v>
      </c>
      <c r="B11" s="259" t="s">
        <v>2345</v>
      </c>
      <c r="C11" s="255"/>
      <c r="D11" s="1031"/>
      <c r="E11" s="262"/>
      <c r="F11" s="262"/>
      <c r="G11" s="263"/>
    </row>
    <row r="12" spans="1:8" s="258" customFormat="1" ht="13.5" hidden="1" customHeight="1">
      <c r="A12" s="271" t="s">
        <v>8</v>
      </c>
      <c r="B12" s="259" t="s">
        <v>2428</v>
      </c>
      <c r="C12" s="255">
        <v>0</v>
      </c>
      <c r="D12" s="1031"/>
      <c r="E12" s="272"/>
      <c r="F12" s="265">
        <v>3.0499999999999999E-2</v>
      </c>
      <c r="G12" s="263"/>
    </row>
    <row r="13" spans="1:8" s="258" customFormat="1" ht="13.5" hidden="1" customHeight="1">
      <c r="A13" s="271" t="s">
        <v>9</v>
      </c>
      <c r="B13" s="259" t="s">
        <v>2429</v>
      </c>
      <c r="C13" s="255"/>
      <c r="D13" s="1031"/>
      <c r="E13" s="262"/>
      <c r="F13" s="262"/>
      <c r="G13" s="263"/>
    </row>
    <row r="14" spans="1:8" s="258" customFormat="1" ht="13.5" hidden="1" customHeight="1">
      <c r="A14" s="271" t="s">
        <v>10</v>
      </c>
      <c r="B14" s="259" t="s">
        <v>2341</v>
      </c>
      <c r="C14" s="255"/>
      <c r="D14" s="1031"/>
      <c r="E14" s="262"/>
      <c r="F14" s="262"/>
      <c r="G14" s="263" t="s">
        <v>2430</v>
      </c>
    </row>
    <row r="15" spans="1:8" s="258" customFormat="1" ht="13.5" hidden="1" customHeight="1">
      <c r="A15" s="271" t="s">
        <v>11</v>
      </c>
      <c r="B15" s="259" t="s">
        <v>2431</v>
      </c>
      <c r="C15" s="264"/>
      <c r="D15" s="1031"/>
      <c r="E15" s="262"/>
      <c r="F15" s="262"/>
      <c r="G15" s="263" t="s">
        <v>2432</v>
      </c>
    </row>
    <row r="16" spans="1:8" s="258" customFormat="1" ht="13.5" hidden="1" customHeight="1">
      <c r="A16" s="271" t="s">
        <v>12</v>
      </c>
      <c r="B16" s="259" t="s">
        <v>2341</v>
      </c>
      <c r="C16" s="264"/>
      <c r="D16" s="1031"/>
      <c r="E16" s="262"/>
      <c r="F16" s="262"/>
      <c r="G16" s="263"/>
    </row>
    <row r="17" spans="1:7" s="258" customFormat="1" ht="13.5" hidden="1" customHeight="1">
      <c r="A17" s="271" t="s">
        <v>13</v>
      </c>
      <c r="B17" s="259" t="s">
        <v>2433</v>
      </c>
      <c r="C17" s="273"/>
      <c r="D17" s="1032"/>
      <c r="E17" s="273"/>
      <c r="F17" s="273"/>
      <c r="G17" s="263" t="s">
        <v>2432</v>
      </c>
    </row>
    <row r="18" spans="1:7" s="258" customFormat="1" ht="13.5" hidden="1" customHeight="1">
      <c r="A18" s="271" t="s">
        <v>14</v>
      </c>
      <c r="B18" s="259" t="s">
        <v>2434</v>
      </c>
      <c r="C18" s="264">
        <v>0</v>
      </c>
      <c r="D18" s="1031"/>
      <c r="E18" s="262"/>
      <c r="F18" s="265">
        <v>3.0499999999999999E-2</v>
      </c>
      <c r="G18" s="263" t="s">
        <v>2435</v>
      </c>
    </row>
    <row r="19" spans="1:7" s="267" customFormat="1" ht="13.5" customHeight="1">
      <c r="A19" s="299" t="s">
        <v>2436</v>
      </c>
      <c r="B19" s="254" t="s">
        <v>2437</v>
      </c>
      <c r="C19" s="255" t="str">
        <f>IF(G19="已包含在土地取得成本中","0",ROUND(D19*E19,0))</f>
        <v>0</v>
      </c>
      <c r="D19" s="1033">
        <f ca="1">D9+D10</f>
        <v>2252.83</v>
      </c>
      <c r="E19" s="255">
        <f>'数据-取费表'!B31</f>
        <v>200</v>
      </c>
      <c r="F19" s="275"/>
      <c r="G19" s="2547" t="s">
        <v>3132</v>
      </c>
    </row>
    <row r="20" spans="1:7" s="258" customFormat="1" ht="13.5" customHeight="1">
      <c r="A20" s="299" t="s">
        <v>2438</v>
      </c>
      <c r="B20" s="254" t="s">
        <v>2439</v>
      </c>
      <c r="C20" s="276">
        <f ca="1">ROUND((C5+C19)*F20,0)</f>
        <v>29045</v>
      </c>
      <c r="D20" s="276"/>
      <c r="E20" s="276"/>
      <c r="F20" s="277">
        <f>'数据-取费表'!B37</f>
        <v>1.4999999999999999E-2</v>
      </c>
      <c r="G20" s="278" t="s">
        <v>2440</v>
      </c>
    </row>
    <row r="21" spans="1:7" s="258" customFormat="1" ht="13.5" customHeight="1">
      <c r="A21" s="299" t="s">
        <v>2441</v>
      </c>
      <c r="B21" s="254" t="s">
        <v>2442</v>
      </c>
      <c r="C21" s="279">
        <f>F21</f>
        <v>1.4999999999999999E-2</v>
      </c>
      <c r="D21" s="280" t="s">
        <v>2443</v>
      </c>
      <c r="E21" s="276"/>
      <c r="F21" s="277">
        <f>'数据-取费表'!B38</f>
        <v>1.4999999999999999E-2</v>
      </c>
      <c r="G21" s="278" t="s">
        <v>2444</v>
      </c>
    </row>
    <row r="22" spans="1:7" s="258" customFormat="1" ht="13.5" customHeight="1">
      <c r="A22" s="299" t="s">
        <v>2445</v>
      </c>
      <c r="B22" s="254" t="s">
        <v>2446</v>
      </c>
      <c r="C22" s="1376">
        <f ca="1">ROUND(SUM(C23:C25),0)</f>
        <v>189702</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48" t="s">
        <v>2336</v>
      </c>
      <c r="B23" s="259" t="s">
        <v>2447</v>
      </c>
      <c r="C23" s="1377">
        <f ca="1">ROUND(IF('数据-取费表'!B22&lt;=1,C5*F22*'数据-取费表'!B22,C5*(POWER((1+F22),'数据-取费表'!B22)-1)),0)</f>
        <v>188322</v>
      </c>
      <c r="D23" s="282"/>
      <c r="E23" s="282"/>
      <c r="F23" s="283"/>
      <c r="G23" s="284" t="s">
        <v>2448</v>
      </c>
    </row>
    <row r="24" spans="1:7" s="258" customFormat="1" ht="13.5" customHeight="1">
      <c r="A24" s="948" t="s">
        <v>2338</v>
      </c>
      <c r="B24" s="259" t="s">
        <v>2449</v>
      </c>
      <c r="C24" s="1377">
        <f ca="1">ROUND(IF('数据-取费表'!B22&lt;=1,C19*F22*('数据-取费表'!B19/2+'数据-取费表'!B20),C19*(POWER((1+F22),('数据-取费表'!B19/2+'数据-取费表'!B20))-1)),0)</f>
        <v>0</v>
      </c>
      <c r="D24" s="282"/>
      <c r="E24" s="282"/>
      <c r="F24" s="283"/>
      <c r="G24" s="284" t="s">
        <v>2450</v>
      </c>
    </row>
    <row r="25" spans="1:7" s="258" customFormat="1" ht="24">
      <c r="A25" s="948" t="s">
        <v>2340</v>
      </c>
      <c r="B25" s="259" t="s">
        <v>2451</v>
      </c>
      <c r="C25" s="1377">
        <f ca="1">ROUND(IF('数据-取费表'!B22&lt;=1,C20*F22*'数据-取费表'!B22/2,C20*(POWER((1+F22),'数据-取费表'!B22/2)-1)),0)</f>
        <v>1380</v>
      </c>
      <c r="D25" s="282"/>
      <c r="E25" s="285"/>
      <c r="F25" s="283"/>
      <c r="G25" s="286" t="s">
        <v>2452</v>
      </c>
    </row>
    <row r="26" spans="1:7" s="258" customFormat="1">
      <c r="A26" s="948"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58962</v>
      </c>
      <c r="D27" s="279">
        <f ca="1">C29</f>
        <v>5.0000000000000001E-4</v>
      </c>
      <c r="E27" s="280" t="s">
        <v>2378</v>
      </c>
      <c r="F27" s="290">
        <f ca="1">IF(B1="",'数据-取费表'!Q16,INDIRECT("'数据-取费表'!q"&amp;$G$1))</f>
        <v>0.03</v>
      </c>
      <c r="G27" s="291" t="s">
        <v>2379</v>
      </c>
    </row>
    <row r="28" spans="1:7" s="258" customFormat="1" ht="13.5" customHeight="1">
      <c r="A28" s="948" t="s">
        <v>791</v>
      </c>
      <c r="B28" s="292" t="s">
        <v>2380</v>
      </c>
      <c r="C28" s="293">
        <f ca="1">ROUND((C5+C19+C20)*F27,0)</f>
        <v>58962</v>
      </c>
      <c r="D28" s="279"/>
      <c r="E28" s="280"/>
      <c r="F28" s="290"/>
      <c r="G28" s="291"/>
    </row>
    <row r="29" spans="1:7" s="258" customFormat="1" ht="13.5" customHeight="1">
      <c r="A29" s="948" t="s">
        <v>792</v>
      </c>
      <c r="B29" s="292" t="s">
        <v>2381</v>
      </c>
      <c r="C29" s="282">
        <f ca="1">ROUND(C21*F27,4)</f>
        <v>5.0000000000000001E-4</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2379432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5158981</v>
      </c>
      <c r="D33" s="276"/>
      <c r="E33" s="256"/>
      <c r="F33" s="285"/>
      <c r="G33" s="278"/>
    </row>
    <row r="34" spans="1:7" s="302" customFormat="1" ht="13.5" customHeight="1">
      <c r="A34" s="948" t="s">
        <v>791</v>
      </c>
      <c r="B34" s="259" t="s">
        <v>2389</v>
      </c>
      <c r="C34" s="264">
        <f ca="1">ROUND(IF(B1="",SUMPRODUCT('数据-取费表'!K6:K14,'数据-取费表'!L6:L14),INDIRECT("'数据-取费表'!l"&amp;$G$1)*INDIRECT("'数据-取费表'!k"&amp;$G$1)+'数据-取费表'!L14*INDIRECT("'数据-取费表'!S"&amp;$G$1)),0)</f>
        <v>4505660</v>
      </c>
      <c r="D34" s="261"/>
      <c r="E34" s="264"/>
      <c r="F34" s="301"/>
      <c r="G34" s="263"/>
    </row>
    <row r="35" spans="1:7" ht="13.5" customHeight="1">
      <c r="A35" s="948" t="s">
        <v>796</v>
      </c>
      <c r="B35" s="259" t="s">
        <v>2391</v>
      </c>
      <c r="C35" s="264">
        <f ca="1">ROUND(C34*F35,0)</f>
        <v>135170</v>
      </c>
      <c r="D35" s="264"/>
      <c r="E35" s="264"/>
      <c r="F35" s="303">
        <f>'数据-取费表'!B33</f>
        <v>0.03</v>
      </c>
      <c r="G35" s="263" t="s">
        <v>2392</v>
      </c>
    </row>
    <row r="36" spans="1:7" ht="24">
      <c r="A36" s="948"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8" t="s">
        <v>798</v>
      </c>
      <c r="B37" s="259" t="s">
        <v>2395</v>
      </c>
      <c r="C37" s="293">
        <f ca="1">ROUND(E37*D37,0)</f>
        <v>450566</v>
      </c>
      <c r="D37" s="261">
        <f ca="1">D19</f>
        <v>2252.83</v>
      </c>
      <c r="E37" s="293">
        <f>'数据-取费表'!B35</f>
        <v>200</v>
      </c>
      <c r="F37" s="303"/>
      <c r="G37" s="305"/>
    </row>
    <row r="38" spans="1:7" ht="13.5" customHeight="1">
      <c r="A38" s="948" t="s">
        <v>799</v>
      </c>
      <c r="B38" s="259" t="s">
        <v>2397</v>
      </c>
      <c r="C38" s="264">
        <f ca="1">ROUND(C34*F38,0)</f>
        <v>67585</v>
      </c>
      <c r="D38" s="264"/>
      <c r="E38" s="264"/>
      <c r="F38" s="303">
        <f>'数据-取费表'!B36</f>
        <v>1.4999999999999999E-2</v>
      </c>
      <c r="G38" s="263" t="s">
        <v>2392</v>
      </c>
    </row>
    <row r="39" spans="1:7" s="258" customFormat="1" ht="13.5" customHeight="1">
      <c r="A39" s="299" t="s">
        <v>2398</v>
      </c>
      <c r="B39" s="254" t="s">
        <v>2399</v>
      </c>
      <c r="C39" s="276">
        <f ca="1">ROUND(C33*F20,0)</f>
        <v>77385</v>
      </c>
      <c r="D39" s="276"/>
      <c r="E39" s="276"/>
      <c r="F39" s="277"/>
      <c r="G39" s="278" t="s">
        <v>2400</v>
      </c>
    </row>
    <row r="40" spans="1:7" s="258" customFormat="1" ht="13.5" customHeight="1">
      <c r="A40" s="299" t="s">
        <v>2401</v>
      </c>
      <c r="B40" s="254" t="s">
        <v>2402</v>
      </c>
      <c r="C40" s="1724">
        <f>F21</f>
        <v>1.4999999999999999E-2</v>
      </c>
      <c r="D40" s="280" t="s">
        <v>2403</v>
      </c>
      <c r="E40" s="276"/>
      <c r="F40" s="277"/>
      <c r="G40" s="278" t="s">
        <v>2404</v>
      </c>
    </row>
    <row r="41" spans="1:7" s="258" customFormat="1" ht="13.5" customHeight="1">
      <c r="A41" s="299" t="s">
        <v>2405</v>
      </c>
      <c r="B41" s="254" t="s">
        <v>2406</v>
      </c>
      <c r="C41" s="276">
        <f ca="1">ROUND(SUM(C42:C43),0)</f>
        <v>248728</v>
      </c>
      <c r="D41" s="279">
        <f ca="1">C44</f>
        <v>6.9999999999999999E-4</v>
      </c>
      <c r="E41" s="280" t="s">
        <v>2403</v>
      </c>
      <c r="F41" s="281"/>
      <c r="G41" s="278" t="str">
        <f>IF('数据-取费表'!B22&lt;=1,"单利计息","复利计息")</f>
        <v>复利计息</v>
      </c>
    </row>
    <row r="42" spans="1:7" ht="13.5" customHeight="1">
      <c r="A42" s="948" t="s">
        <v>791</v>
      </c>
      <c r="B42" s="259" t="s">
        <v>2407</v>
      </c>
      <c r="C42" s="282">
        <f ca="1">ROUND(IF('数据-取费表'!B22&lt;=1,C33*F22*'数据-取费表'!B20/2,C33*(POWER((1+F22),'数据-取费表'!B20/2)-1)),0)</f>
        <v>245052</v>
      </c>
      <c r="D42" s="282"/>
      <c r="E42" s="282"/>
      <c r="F42" s="283"/>
      <c r="G42" s="3261" t="s">
        <v>2455</v>
      </c>
    </row>
    <row r="43" spans="1:7" ht="13.5" customHeight="1">
      <c r="A43" s="948" t="s">
        <v>792</v>
      </c>
      <c r="B43" s="259" t="s">
        <v>2409</v>
      </c>
      <c r="C43" s="282">
        <f ca="1">ROUND(IF('数据-取费表'!B22&lt;=1,C39*F22*'数据-取费表'!B20/2,C39*(POWER((1+F22),'数据-取费表'!B20/2)-1)),0)</f>
        <v>3676</v>
      </c>
      <c r="D43" s="282"/>
      <c r="E43" s="282"/>
      <c r="F43" s="283"/>
      <c r="G43" s="3262"/>
    </row>
    <row r="44" spans="1:7" ht="13.5" customHeight="1">
      <c r="A44" s="948" t="s">
        <v>793</v>
      </c>
      <c r="B44" s="259" t="s">
        <v>2410</v>
      </c>
      <c r="C44" s="282">
        <f ca="1">ROUND(IF('数据-取费表'!B22&lt;=1,C40*F22*'数据-取费表'!B20/2,C40*(POWER((1+F22),'数据-取费表'!B20/2)-1)),4)</f>
        <v>6.9999999999999999E-4</v>
      </c>
      <c r="D44" s="282"/>
      <c r="E44" s="282"/>
      <c r="F44" s="283"/>
      <c r="G44" s="3263"/>
    </row>
    <row r="45" spans="1:7" s="258" customFormat="1" ht="13.5" customHeight="1">
      <c r="A45" s="299" t="s">
        <v>2411</v>
      </c>
      <c r="B45" s="288" t="s">
        <v>2377</v>
      </c>
      <c r="C45" s="289">
        <f ca="1">C46</f>
        <v>157091</v>
      </c>
      <c r="D45" s="279">
        <f ca="1">C47</f>
        <v>5.0000000000000001E-4</v>
      </c>
      <c r="E45" s="280" t="s">
        <v>2403</v>
      </c>
      <c r="F45" s="290"/>
      <c r="G45" s="291" t="s">
        <v>2412</v>
      </c>
    </row>
    <row r="46" spans="1:7" s="258" customFormat="1" ht="13.5" customHeight="1">
      <c r="A46" s="948" t="s">
        <v>791</v>
      </c>
      <c r="B46" s="292" t="s">
        <v>2413</v>
      </c>
      <c r="C46" s="293">
        <f ca="1">ROUND((C33+C39)*F27,0)</f>
        <v>157091</v>
      </c>
      <c r="D46" s="307"/>
      <c r="E46" s="280"/>
      <c r="F46" s="290"/>
      <c r="G46" s="291"/>
    </row>
    <row r="47" spans="1:7" s="258" customFormat="1" ht="13.5" customHeight="1">
      <c r="A47" s="948" t="s">
        <v>792</v>
      </c>
      <c r="B47" s="292" t="s">
        <v>2414</v>
      </c>
      <c r="C47" s="282">
        <f ca="1">ROUND(C40*F27,4)</f>
        <v>5.0000000000000001E-4</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6063606</v>
      </c>
      <c r="D49" s="276"/>
      <c r="E49" s="276"/>
      <c r="F49" s="308"/>
      <c r="G49" s="278" t="s">
        <v>2418</v>
      </c>
    </row>
    <row r="50" spans="1:7" s="302" customFormat="1">
      <c r="A50" s="299" t="s">
        <v>2419</v>
      </c>
      <c r="B50" s="254" t="s">
        <v>2420</v>
      </c>
      <c r="C50" s="276"/>
      <c r="D50" s="276"/>
      <c r="E50" s="276"/>
      <c r="F50" s="308">
        <f>IF('数据-取费表'!B24=0,'数据-取费表'!N16,1)</f>
        <v>0.72</v>
      </c>
      <c r="G50" s="291"/>
    </row>
    <row r="51" spans="1:7" ht="16.5" customHeight="1">
      <c r="A51" s="299" t="s">
        <v>2422</v>
      </c>
      <c r="B51" s="254" t="s">
        <v>2457</v>
      </c>
      <c r="C51" s="276">
        <f ca="1">ROUND(C49*F50,0)</f>
        <v>4365796</v>
      </c>
      <c r="D51" s="276"/>
      <c r="E51" s="276"/>
      <c r="F51" s="308"/>
      <c r="G51" s="278" t="s">
        <v>2424</v>
      </c>
    </row>
    <row r="52" spans="1:7" s="252" customFormat="1" ht="16.5" thickBot="1">
      <c r="A52" s="309" t="s">
        <v>2425</v>
      </c>
      <c r="B52" s="310"/>
      <c r="C52" s="311">
        <f ca="1">C31+C51</f>
        <v>6745228</v>
      </c>
      <c r="D52" s="310"/>
      <c r="E52" s="310"/>
      <c r="F52" s="310"/>
      <c r="G52" s="312"/>
    </row>
    <row r="55" spans="1:7" ht="15">
      <c r="B55" s="314" t="s">
        <v>2426</v>
      </c>
      <c r="C55" s="315"/>
    </row>
    <row r="56" spans="1:7">
      <c r="B56" s="317" t="s">
        <v>1508</v>
      </c>
      <c r="C56" s="319">
        <f ca="1">1-C57</f>
        <v>0.35299999999999998</v>
      </c>
    </row>
    <row r="57" spans="1:7">
      <c r="B57" s="317" t="s">
        <v>1509</v>
      </c>
      <c r="C57" s="318">
        <f ca="1">ROUND(C51/C52,3)</f>
        <v>0.64700000000000002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G20" sqref="G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2706</v>
      </c>
      <c r="B1" s="1615"/>
      <c r="C1" s="1616" t="s">
        <v>2529</v>
      </c>
      <c r="D1" s="1617"/>
      <c r="E1" s="1618"/>
      <c r="F1" s="2581"/>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2326</v>
      </c>
      <c r="B2" s="1414" t="e">
        <f ca="1">IF(C2="——",IF(B37="元/平方米",ROUND(C39*D3/10000,0),ROUND(F3*C39/10000,0)),IF(B37="元/平方米",ROUND(C39*D3/10000,0),ROUND(F3*C39/10000,0))-D2)</f>
        <v>#DIV/0!</v>
      </c>
      <c r="C2" s="2583"/>
      <c r="D2" s="1121" t="e">
        <f ca="1">SUMIF(INDIRECT("'"&amp;F2&amp;"'"&amp;"!A:A"),"承租人权益价值",INDIRECT("'"&amp;F2&amp;"'"&amp;"!c:c"))</f>
        <v>#REF!</v>
      </c>
      <c r="E2" s="2584" t="s">
        <v>2327</v>
      </c>
      <c r="F2" s="2585"/>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5">
      <c r="A4" s="401" t="s">
        <v>2644</v>
      </c>
      <c r="B4" s="402"/>
      <c r="C4" s="3211" t="s">
        <v>2645</v>
      </c>
      <c r="D4" s="3212"/>
      <c r="E4" s="3213" t="s">
        <v>2646</v>
      </c>
      <c r="F4" s="3214"/>
      <c r="G4" s="3211" t="s">
        <v>2647</v>
      </c>
      <c r="H4" s="3212"/>
      <c r="I4" s="3211" t="s">
        <v>2648</v>
      </c>
      <c r="J4" s="3212"/>
      <c r="K4" s="610" t="s">
        <v>2649</v>
      </c>
      <c r="L4" s="1127"/>
      <c r="M4" s="1128"/>
      <c r="N4" s="1128"/>
      <c r="O4" s="1128"/>
      <c r="P4" s="3215" t="s">
        <v>2650</v>
      </c>
      <c r="Q4" s="3216"/>
      <c r="R4" s="3221" t="s">
        <v>2646</v>
      </c>
      <c r="S4" s="3222"/>
      <c r="T4" s="3221" t="s">
        <v>2647</v>
      </c>
      <c r="U4" s="3222"/>
      <c r="V4" s="3227" t="s">
        <v>2648</v>
      </c>
      <c r="W4" s="3227"/>
      <c r="X4" s="1809"/>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27"/>
      <c r="M5" s="1128"/>
      <c r="N5" s="1128"/>
      <c r="O5" s="1128"/>
      <c r="P5" s="3217"/>
      <c r="Q5" s="3218"/>
      <c r="R5" s="3223"/>
      <c r="S5" s="3224"/>
      <c r="T5" s="3223"/>
      <c r="U5" s="3224"/>
      <c r="V5" s="3227"/>
      <c r="W5" s="3227"/>
      <c r="X5" s="1809"/>
      <c r="Y5" s="3223"/>
      <c r="Z5" s="3224"/>
      <c r="AA5" s="3209"/>
      <c r="AB5" s="3209"/>
      <c r="AC5" s="3209"/>
    </row>
    <row r="6" spans="1:29" ht="15.75" thickBot="1">
      <c r="A6" s="406"/>
      <c r="B6" s="407"/>
      <c r="C6" s="3228" t="s">
        <v>2545</v>
      </c>
      <c r="D6" s="3229"/>
      <c r="E6" s="3235" t="s">
        <v>2545</v>
      </c>
      <c r="F6" s="3236"/>
      <c r="G6" s="3228" t="s">
        <v>2545</v>
      </c>
      <c r="H6" s="3229"/>
      <c r="I6" s="3228" t="s">
        <v>2545</v>
      </c>
      <c r="J6" s="3229"/>
      <c r="K6" s="610" t="s">
        <v>2546</v>
      </c>
      <c r="L6" s="1127"/>
      <c r="M6" s="1128"/>
      <c r="N6" s="1128"/>
      <c r="O6" s="1128"/>
      <c r="P6" s="3219"/>
      <c r="Q6" s="3220"/>
      <c r="R6" s="3223"/>
      <c r="S6" s="3224"/>
      <c r="T6" s="3225"/>
      <c r="U6" s="3226"/>
      <c r="V6" s="3227"/>
      <c r="W6" s="3227"/>
      <c r="X6" s="1809"/>
      <c r="Y6" s="3225"/>
      <c r="Z6" s="3226"/>
      <c r="AA6" s="3210"/>
      <c r="AB6" s="3210"/>
      <c r="AC6" s="3210"/>
    </row>
    <row r="7" spans="1:29" s="117" customFormat="1" ht="15.75" thickBot="1">
      <c r="A7" s="408" t="s">
        <v>2547</v>
      </c>
      <c r="B7" s="409"/>
      <c r="C7" s="410">
        <f>'数据-取费表'!B2</f>
        <v>43790</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32" t="s">
        <v>2548</v>
      </c>
      <c r="Q7" s="3234"/>
      <c r="R7" s="767" t="s">
        <v>17</v>
      </c>
      <c r="S7" s="768">
        <f t="shared" ref="S7:S14" si="0">F7</f>
        <v>0</v>
      </c>
      <c r="T7" s="767" t="s">
        <v>17</v>
      </c>
      <c r="U7" s="768">
        <f t="shared" ref="U7:U14" si="1">H7</f>
        <v>0</v>
      </c>
      <c r="V7" s="767" t="s">
        <v>17</v>
      </c>
      <c r="W7" s="768">
        <f t="shared" ref="W7:W14" si="2">J7</f>
        <v>0</v>
      </c>
      <c r="X7" s="769"/>
      <c r="Y7" s="3232" t="s">
        <v>2548</v>
      </c>
      <c r="Z7" s="3233"/>
      <c r="AA7" s="770" t="e">
        <f>D7/F7</f>
        <v>#DIV/0!</v>
      </c>
      <c r="AB7" s="770" t="e">
        <f>D7/H7</f>
        <v>#DIV/0!</v>
      </c>
      <c r="AC7" s="770"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32" t="s">
        <v>2551</v>
      </c>
      <c r="Q8" s="3233"/>
      <c r="R8" s="767" t="s">
        <v>17</v>
      </c>
      <c r="S8" s="768">
        <f t="shared" si="0"/>
        <v>0</v>
      </c>
      <c r="T8" s="767" t="s">
        <v>17</v>
      </c>
      <c r="U8" s="768">
        <f t="shared" si="1"/>
        <v>0</v>
      </c>
      <c r="V8" s="767" t="s">
        <v>17</v>
      </c>
      <c r="W8" s="768">
        <f t="shared" si="2"/>
        <v>0</v>
      </c>
      <c r="X8" s="769"/>
      <c r="Y8" s="3232" t="s">
        <v>2551</v>
      </c>
      <c r="Z8" s="3233"/>
      <c r="AA8" s="770" t="e">
        <f t="shared" ref="AA8:AA36" si="3">D8/F8</f>
        <v>#DIV/0!</v>
      </c>
      <c r="AB8" s="770" t="e">
        <f t="shared" ref="AB8:AB36" si="4">D8/H8</f>
        <v>#DIV/0!</v>
      </c>
      <c r="AC8" s="770"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96" t="s">
        <v>2554</v>
      </c>
      <c r="Q9" s="1791" t="str">
        <f t="shared" ref="Q9:Q14" si="6">B9</f>
        <v>用途</v>
      </c>
      <c r="R9" s="767" t="s">
        <v>17</v>
      </c>
      <c r="S9" s="768">
        <f t="shared" si="0"/>
        <v>100</v>
      </c>
      <c r="T9" s="767" t="s">
        <v>17</v>
      </c>
      <c r="U9" s="768">
        <f t="shared" si="1"/>
        <v>100</v>
      </c>
      <c r="V9" s="767" t="s">
        <v>17</v>
      </c>
      <c r="W9" s="768">
        <f t="shared" si="2"/>
        <v>100</v>
      </c>
      <c r="X9" s="769"/>
      <c r="Y9" s="3024" t="s">
        <v>2555</v>
      </c>
      <c r="Z9" s="55" t="str">
        <f t="shared" ref="Z9:Z14" si="7">Q9</f>
        <v>用途</v>
      </c>
      <c r="AA9" s="770">
        <f t="shared" si="3"/>
        <v>1</v>
      </c>
      <c r="AB9" s="770">
        <f t="shared" si="4"/>
        <v>1</v>
      </c>
      <c r="AC9" s="770">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96"/>
      <c r="Q10" s="1791"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96"/>
      <c r="Q11" s="1791">
        <f t="shared" si="6"/>
        <v>111</v>
      </c>
      <c r="R11" s="767" t="s">
        <v>17</v>
      </c>
      <c r="S11" s="768">
        <f t="shared" si="0"/>
        <v>100</v>
      </c>
      <c r="T11" s="767" t="s">
        <v>17</v>
      </c>
      <c r="U11" s="768">
        <f t="shared" si="1"/>
        <v>100</v>
      </c>
      <c r="V11" s="767" t="s">
        <v>17</v>
      </c>
      <c r="W11" s="768">
        <f t="shared" si="2"/>
        <v>100</v>
      </c>
      <c r="X11" s="769"/>
      <c r="Y11" s="3024"/>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96"/>
      <c r="Q12" s="1791">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96"/>
      <c r="Q13" s="1791">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85.5">
      <c r="A14" s="401" t="s">
        <v>2558</v>
      </c>
      <c r="B14" s="629" t="s">
        <v>2708</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98" t="s">
        <v>2559</v>
      </c>
      <c r="Q14" s="1806" t="str">
        <f t="shared" si="6"/>
        <v>交通便捷度</v>
      </c>
      <c r="R14" s="771" t="s">
        <v>17</v>
      </c>
      <c r="S14" s="772">
        <f t="shared" si="0"/>
        <v>100</v>
      </c>
      <c r="T14" s="771" t="s">
        <v>17</v>
      </c>
      <c r="U14" s="772">
        <f t="shared" si="1"/>
        <v>100</v>
      </c>
      <c r="V14" s="771" t="s">
        <v>17</v>
      </c>
      <c r="W14" s="772">
        <f t="shared" si="2"/>
        <v>100</v>
      </c>
      <c r="X14" s="1809"/>
      <c r="Y14" s="3198" t="s">
        <v>2559</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199"/>
      <c r="Q15" s="1806"/>
      <c r="R15" s="771"/>
      <c r="S15" s="772"/>
      <c r="T15" s="771"/>
      <c r="U15" s="772"/>
      <c r="V15" s="771"/>
      <c r="W15" s="772"/>
      <c r="X15" s="1809"/>
      <c r="Y15" s="3199"/>
      <c r="Z15" s="1810"/>
      <c r="AA15" s="1807">
        <v>1</v>
      </c>
      <c r="AB15" s="1807">
        <v>1</v>
      </c>
      <c r="AC15" s="1807">
        <v>1</v>
      </c>
    </row>
    <row r="16" spans="1:29" ht="42.75">
      <c r="A16" s="404"/>
      <c r="B16" s="631" t="s">
        <v>2687</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99"/>
      <c r="Q16" s="1806" t="str">
        <f>B16</f>
        <v>公共配套设施</v>
      </c>
      <c r="R16" s="771" t="s">
        <v>17</v>
      </c>
      <c r="S16" s="772">
        <f>F16</f>
        <v>100</v>
      </c>
      <c r="T16" s="771" t="s">
        <v>17</v>
      </c>
      <c r="U16" s="772">
        <f>H16</f>
        <v>100</v>
      </c>
      <c r="V16" s="771" t="s">
        <v>17</v>
      </c>
      <c r="W16" s="772">
        <f>J16</f>
        <v>100</v>
      </c>
      <c r="X16" s="1809"/>
      <c r="Y16" s="3199"/>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37"/>
      <c r="M17" s="1128"/>
      <c r="N17" s="1128"/>
      <c r="O17" s="1128"/>
      <c r="P17" s="3199"/>
      <c r="Q17" s="1806"/>
      <c r="R17" s="771"/>
      <c r="S17" s="772"/>
      <c r="T17" s="771"/>
      <c r="U17" s="772"/>
      <c r="V17" s="771"/>
      <c r="W17" s="772"/>
      <c r="X17" s="1809"/>
      <c r="Y17" s="3199"/>
      <c r="Z17" s="1810"/>
      <c r="AA17" s="1807">
        <v>1</v>
      </c>
      <c r="AB17" s="1807">
        <v>1</v>
      </c>
      <c r="AC17" s="1807">
        <v>1</v>
      </c>
    </row>
    <row r="18" spans="1:29" ht="28.5">
      <c r="A18" s="404"/>
      <c r="B18" s="633" t="s">
        <v>2688</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99"/>
      <c r="Q18" s="1806" t="str">
        <f>B18</f>
        <v>基础设施水平</v>
      </c>
      <c r="R18" s="771" t="s">
        <v>17</v>
      </c>
      <c r="S18" s="772">
        <f>F18</f>
        <v>100</v>
      </c>
      <c r="T18" s="771" t="s">
        <v>17</v>
      </c>
      <c r="U18" s="772">
        <f>H18</f>
        <v>100</v>
      </c>
      <c r="V18" s="771" t="s">
        <v>17</v>
      </c>
      <c r="W18" s="772">
        <f>J18</f>
        <v>100</v>
      </c>
      <c r="X18" s="1809"/>
      <c r="Y18" s="3199"/>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37"/>
      <c r="M19" s="1128"/>
      <c r="N19" s="1128"/>
      <c r="O19" s="1128"/>
      <c r="P19" s="3199"/>
      <c r="Q19" s="1806"/>
      <c r="R19" s="771"/>
      <c r="S19" s="772"/>
      <c r="T19" s="771"/>
      <c r="U19" s="772"/>
      <c r="V19" s="771"/>
      <c r="W19" s="772"/>
      <c r="X19" s="1809"/>
      <c r="Y19" s="3199"/>
      <c r="Z19" s="1810"/>
      <c r="AA19" s="1807">
        <v>1</v>
      </c>
      <c r="AB19" s="1807">
        <v>1</v>
      </c>
      <c r="AC19" s="1807">
        <v>1</v>
      </c>
    </row>
    <row r="20" spans="1:29" ht="57">
      <c r="A20" s="404"/>
      <c r="B20" s="631" t="s">
        <v>2709</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99"/>
      <c r="Q20" s="1806" t="str">
        <f>B20</f>
        <v>自然及人文环境</v>
      </c>
      <c r="R20" s="771" t="s">
        <v>17</v>
      </c>
      <c r="S20" s="772">
        <f>F20</f>
        <v>100</v>
      </c>
      <c r="T20" s="771" t="s">
        <v>17</v>
      </c>
      <c r="U20" s="772">
        <f>H20</f>
        <v>100</v>
      </c>
      <c r="V20" s="771" t="s">
        <v>17</v>
      </c>
      <c r="W20" s="772">
        <f>J20</f>
        <v>100</v>
      </c>
      <c r="X20" s="1809"/>
      <c r="Y20" s="3199"/>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199"/>
      <c r="Q21" s="1806"/>
      <c r="R21" s="771"/>
      <c r="S21" s="772"/>
      <c r="T21" s="771"/>
      <c r="U21" s="772"/>
      <c r="V21" s="771"/>
      <c r="W21" s="772"/>
      <c r="X21" s="1809"/>
      <c r="Y21" s="3199"/>
      <c r="Z21" s="1810"/>
      <c r="AA21" s="1807">
        <v>1</v>
      </c>
      <c r="AB21" s="1807">
        <v>1</v>
      </c>
      <c r="AC21" s="1807">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99"/>
      <c r="Q22" s="1806" t="str">
        <f>B22</f>
        <v>楼层</v>
      </c>
      <c r="R22" s="771" t="s">
        <v>17</v>
      </c>
      <c r="S22" s="772">
        <f>F22</f>
        <v>100</v>
      </c>
      <c r="T22" s="771" t="s">
        <v>17</v>
      </c>
      <c r="U22" s="772">
        <f>H22</f>
        <v>100</v>
      </c>
      <c r="V22" s="771" t="s">
        <v>17</v>
      </c>
      <c r="W22" s="772">
        <f>J22</f>
        <v>100</v>
      </c>
      <c r="X22" s="1809"/>
      <c r="Y22" s="3199"/>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99"/>
      <c r="Q23" s="1806">
        <f>B23</f>
        <v>111</v>
      </c>
      <c r="R23" s="771" t="s">
        <v>17</v>
      </c>
      <c r="S23" s="772">
        <f>F23</f>
        <v>100</v>
      </c>
      <c r="T23" s="771" t="s">
        <v>17</v>
      </c>
      <c r="U23" s="772">
        <f>H23</f>
        <v>100</v>
      </c>
      <c r="V23" s="771" t="s">
        <v>17</v>
      </c>
      <c r="W23" s="772">
        <f>J23</f>
        <v>100</v>
      </c>
      <c r="X23" s="1809"/>
      <c r="Y23" s="3199"/>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99"/>
      <c r="Q24" s="1806">
        <f t="shared" ref="Q24:Q36" si="11">B24</f>
        <v>111</v>
      </c>
      <c r="R24" s="771" t="s">
        <v>17</v>
      </c>
      <c r="S24" s="772">
        <f>F24</f>
        <v>100</v>
      </c>
      <c r="T24" s="771" t="s">
        <v>17</v>
      </c>
      <c r="U24" s="772">
        <f>H24</f>
        <v>100</v>
      </c>
      <c r="V24" s="771" t="s">
        <v>17</v>
      </c>
      <c r="W24" s="772">
        <f>J24</f>
        <v>100</v>
      </c>
      <c r="X24" s="1809"/>
      <c r="Y24" s="3199"/>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99"/>
      <c r="Q25" s="1791">
        <f t="shared" si="11"/>
        <v>111</v>
      </c>
      <c r="R25" s="767" t="s">
        <v>17</v>
      </c>
      <c r="S25" s="768">
        <f>F25</f>
        <v>100</v>
      </c>
      <c r="T25" s="767" t="s">
        <v>17</v>
      </c>
      <c r="U25" s="768">
        <f>H25</f>
        <v>100</v>
      </c>
      <c r="V25" s="767" t="s">
        <v>17</v>
      </c>
      <c r="W25" s="768">
        <f>J25</f>
        <v>100</v>
      </c>
      <c r="X25" s="769"/>
      <c r="Y25" s="3199"/>
      <c r="Z25" s="55">
        <f>Q25</f>
        <v>111</v>
      </c>
      <c r="AA25" s="1807">
        <f>D25/F25</f>
        <v>1</v>
      </c>
      <c r="AB25" s="1807">
        <f>D25/H25</f>
        <v>1</v>
      </c>
      <c r="AC25" s="1807">
        <f>D25/J25</f>
        <v>1</v>
      </c>
    </row>
    <row r="26" spans="1:29" ht="28.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56" t="s">
        <v>2564</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03" t="s">
        <v>2564</v>
      </c>
      <c r="Z26" s="1810" t="str">
        <f t="shared" ref="Z26:Z36" si="15">Q26</f>
        <v>配套类型</v>
      </c>
      <c r="AA26" s="1807">
        <f t="shared" si="3"/>
        <v>1</v>
      </c>
      <c r="AB26" s="1807">
        <f t="shared" si="4"/>
        <v>1</v>
      </c>
      <c r="AC26" s="1807">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03"/>
      <c r="Q27" s="773" t="str">
        <f t="shared" si="11"/>
        <v>项目停车位配比</v>
      </c>
      <c r="R27" s="774" t="s">
        <v>17</v>
      </c>
      <c r="S27" s="775">
        <f t="shared" si="12"/>
        <v>100</v>
      </c>
      <c r="T27" s="774" t="s">
        <v>17</v>
      </c>
      <c r="U27" s="775">
        <f t="shared" si="13"/>
        <v>100</v>
      </c>
      <c r="V27" s="774" t="s">
        <v>17</v>
      </c>
      <c r="W27" s="775">
        <f t="shared" si="14"/>
        <v>100</v>
      </c>
      <c r="X27" s="776"/>
      <c r="Y27" s="3203"/>
      <c r="Z27" s="777" t="str">
        <f t="shared" si="15"/>
        <v>项目停车位配比</v>
      </c>
      <c r="AA27" s="1807">
        <f t="shared" si="3"/>
        <v>1</v>
      </c>
      <c r="AB27" s="1807">
        <f t="shared" si="4"/>
        <v>1</v>
      </c>
      <c r="AC27" s="1807">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03"/>
      <c r="Q28" s="1806" t="str">
        <f t="shared" si="11"/>
        <v>公共部分装修</v>
      </c>
      <c r="R28" s="771" t="s">
        <v>17</v>
      </c>
      <c r="S28" s="772">
        <f t="shared" si="12"/>
        <v>100</v>
      </c>
      <c r="T28" s="771" t="s">
        <v>17</v>
      </c>
      <c r="U28" s="772">
        <f t="shared" si="13"/>
        <v>100</v>
      </c>
      <c r="V28" s="771" t="s">
        <v>17</v>
      </c>
      <c r="W28" s="772">
        <f t="shared" si="14"/>
        <v>100</v>
      </c>
      <c r="X28" s="1809"/>
      <c r="Y28" s="3203"/>
      <c r="Z28" s="1810" t="str">
        <f t="shared" si="15"/>
        <v>公共部分装修</v>
      </c>
      <c r="AA28" s="1807">
        <f t="shared" si="3"/>
        <v>1</v>
      </c>
      <c r="AB28" s="1807">
        <f t="shared" si="4"/>
        <v>1</v>
      </c>
      <c r="AC28" s="1807">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03"/>
      <c r="Q29" s="1806" t="str">
        <f t="shared" si="11"/>
        <v>成新率</v>
      </c>
      <c r="R29" s="771" t="s">
        <v>17</v>
      </c>
      <c r="S29" s="772" t="e">
        <f t="shared" si="12"/>
        <v>#N/A</v>
      </c>
      <c r="T29" s="771" t="s">
        <v>17</v>
      </c>
      <c r="U29" s="772" t="e">
        <f t="shared" si="13"/>
        <v>#N/A</v>
      </c>
      <c r="V29" s="771" t="s">
        <v>17</v>
      </c>
      <c r="W29" s="772" t="e">
        <f t="shared" si="14"/>
        <v>#N/A</v>
      </c>
      <c r="X29" s="1809"/>
      <c r="Y29" s="3203"/>
      <c r="Z29" s="1810" t="str">
        <f t="shared" si="15"/>
        <v>成新率</v>
      </c>
      <c r="AA29" s="1807" t="e">
        <f t="shared" si="3"/>
        <v>#N/A</v>
      </c>
      <c r="AB29" s="1807" t="e">
        <f t="shared" si="4"/>
        <v>#N/A</v>
      </c>
      <c r="AC29" s="1807"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03"/>
      <c r="Q30" s="1806" t="str">
        <f t="shared" si="11"/>
        <v>物业等级</v>
      </c>
      <c r="R30" s="771" t="s">
        <v>17</v>
      </c>
      <c r="S30" s="772">
        <f t="shared" si="12"/>
        <v>100</v>
      </c>
      <c r="T30" s="771" t="s">
        <v>17</v>
      </c>
      <c r="U30" s="772">
        <f t="shared" si="13"/>
        <v>100</v>
      </c>
      <c r="V30" s="771" t="s">
        <v>17</v>
      </c>
      <c r="W30" s="772">
        <f t="shared" si="14"/>
        <v>100</v>
      </c>
      <c r="X30" s="1809"/>
      <c r="Y30" s="3203"/>
      <c r="Z30" s="1810" t="str">
        <f t="shared" si="15"/>
        <v>物业等级</v>
      </c>
      <c r="AA30" s="1807">
        <f t="shared" si="3"/>
        <v>1</v>
      </c>
      <c r="AB30" s="1807">
        <f t="shared" si="4"/>
        <v>1</v>
      </c>
      <c r="AC30" s="1807">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03"/>
      <c r="Q31" s="1791" t="str">
        <f t="shared" si="11"/>
        <v>停车位面积</v>
      </c>
      <c r="R31" s="767" t="s">
        <v>17</v>
      </c>
      <c r="S31" s="768" t="e">
        <f t="shared" si="12"/>
        <v>#N/A</v>
      </c>
      <c r="T31" s="767" t="s">
        <v>17</v>
      </c>
      <c r="U31" s="768" t="e">
        <f t="shared" si="13"/>
        <v>#N/A</v>
      </c>
      <c r="V31" s="767" t="s">
        <v>17</v>
      </c>
      <c r="W31" s="768" t="e">
        <f t="shared" si="14"/>
        <v>#N/A</v>
      </c>
      <c r="X31" s="769"/>
      <c r="Y31" s="3203"/>
      <c r="Z31" s="55" t="str">
        <f t="shared" si="15"/>
        <v>停车位面积</v>
      </c>
      <c r="AA31" s="770" t="e">
        <f t="shared" si="3"/>
        <v>#N/A</v>
      </c>
      <c r="AB31" s="770" t="e">
        <f t="shared" si="4"/>
        <v>#N/A</v>
      </c>
      <c r="AC31" s="770"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03" t="s">
        <v>2564</v>
      </c>
      <c r="Q32" s="1806" t="str">
        <f t="shared" si="11"/>
        <v>车位类型</v>
      </c>
      <c r="R32" s="771" t="s">
        <v>17</v>
      </c>
      <c r="S32" s="772">
        <f t="shared" si="12"/>
        <v>100</v>
      </c>
      <c r="T32" s="771" t="s">
        <v>17</v>
      </c>
      <c r="U32" s="772">
        <f t="shared" si="13"/>
        <v>100</v>
      </c>
      <c r="V32" s="771" t="s">
        <v>17</v>
      </c>
      <c r="W32" s="772">
        <f t="shared" si="14"/>
        <v>100</v>
      </c>
      <c r="X32" s="1809"/>
      <c r="Y32" s="3203" t="s">
        <v>2564</v>
      </c>
      <c r="Z32" s="1810" t="str">
        <f t="shared" si="15"/>
        <v>车位类型</v>
      </c>
      <c r="AA32" s="1807">
        <f t="shared" si="3"/>
        <v>1</v>
      </c>
      <c r="AB32" s="1807">
        <f t="shared" si="4"/>
        <v>1</v>
      </c>
      <c r="AC32" s="1807">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03"/>
      <c r="Q33" s="1806" t="str">
        <f t="shared" si="11"/>
        <v>是否直接入户</v>
      </c>
      <c r="R33" s="771" t="s">
        <v>17</v>
      </c>
      <c r="S33" s="772">
        <f t="shared" si="12"/>
        <v>100</v>
      </c>
      <c r="T33" s="771" t="s">
        <v>17</v>
      </c>
      <c r="U33" s="772">
        <f t="shared" si="13"/>
        <v>100</v>
      </c>
      <c r="V33" s="771" t="s">
        <v>17</v>
      </c>
      <c r="W33" s="772">
        <f t="shared" si="14"/>
        <v>100</v>
      </c>
      <c r="X33" s="1809"/>
      <c r="Y33" s="3203"/>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03"/>
      <c r="Q34" s="1806">
        <f t="shared" si="11"/>
        <v>111</v>
      </c>
      <c r="R34" s="771" t="s">
        <v>17</v>
      </c>
      <c r="S34" s="772">
        <f t="shared" si="12"/>
        <v>100</v>
      </c>
      <c r="T34" s="771" t="s">
        <v>17</v>
      </c>
      <c r="U34" s="772">
        <f t="shared" si="13"/>
        <v>100</v>
      </c>
      <c r="V34" s="771" t="s">
        <v>17</v>
      </c>
      <c r="W34" s="772">
        <f t="shared" si="14"/>
        <v>100</v>
      </c>
      <c r="X34" s="1809"/>
      <c r="Y34" s="3203"/>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03"/>
      <c r="Q35" s="773">
        <f t="shared" si="11"/>
        <v>111</v>
      </c>
      <c r="R35" s="774" t="s">
        <v>17</v>
      </c>
      <c r="S35" s="775">
        <f t="shared" si="12"/>
        <v>100</v>
      </c>
      <c r="T35" s="774" t="s">
        <v>17</v>
      </c>
      <c r="U35" s="775">
        <f t="shared" si="13"/>
        <v>100</v>
      </c>
      <c r="V35" s="774" t="s">
        <v>17</v>
      </c>
      <c r="W35" s="775">
        <f t="shared" si="14"/>
        <v>100</v>
      </c>
      <c r="X35" s="776"/>
      <c r="Y35" s="3203"/>
      <c r="Z35" s="777">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03"/>
      <c r="Q36" s="1806">
        <f t="shared" si="11"/>
        <v>111</v>
      </c>
      <c r="R36" s="771" t="s">
        <v>17</v>
      </c>
      <c r="S36" s="772">
        <f t="shared" si="12"/>
        <v>100</v>
      </c>
      <c r="T36" s="771" t="s">
        <v>17</v>
      </c>
      <c r="U36" s="772">
        <f t="shared" si="13"/>
        <v>100</v>
      </c>
      <c r="V36" s="771" t="s">
        <v>17</v>
      </c>
      <c r="W36" s="772">
        <f t="shared" si="14"/>
        <v>100</v>
      </c>
      <c r="X36" s="1809"/>
      <c r="Y36" s="3203"/>
      <c r="Z36" s="1810">
        <f t="shared" si="15"/>
        <v>111</v>
      </c>
      <c r="AA36" s="1807">
        <f t="shared" si="3"/>
        <v>1</v>
      </c>
      <c r="AB36" s="1807">
        <f t="shared" si="4"/>
        <v>1</v>
      </c>
      <c r="AC36" s="1807">
        <f t="shared" si="5"/>
        <v>1</v>
      </c>
    </row>
    <row r="37" spans="1:29" ht="15">
      <c r="A37" s="479" t="s">
        <v>2719</v>
      </c>
      <c r="B37" s="2692" t="s">
        <v>2720</v>
      </c>
      <c r="C37" s="1403" t="s">
        <v>1</v>
      </c>
      <c r="D37" s="1404"/>
      <c r="E37" s="1405"/>
      <c r="F37" s="1406"/>
      <c r="G37" s="1407"/>
      <c r="H37" s="1408"/>
      <c r="I37" s="1405"/>
      <c r="J37" s="1408"/>
      <c r="K37" s="619"/>
      <c r="L37" s="1140"/>
      <c r="M37" s="1141"/>
      <c r="N37" s="1128"/>
      <c r="O37" s="1141"/>
      <c r="P37" s="3196" t="str">
        <f>A37</f>
        <v>成交单价</v>
      </c>
      <c r="Q37" s="3196"/>
      <c r="R37" s="3197">
        <f>E37</f>
        <v>0</v>
      </c>
      <c r="S37" s="3197"/>
      <c r="T37" s="3197">
        <f>G37</f>
        <v>0</v>
      </c>
      <c r="U37" s="3197"/>
      <c r="V37" s="3197">
        <f>I37</f>
        <v>0</v>
      </c>
      <c r="W37" s="3197"/>
      <c r="X37" s="756"/>
      <c r="Y37" s="778"/>
      <c r="Z37" s="756"/>
      <c r="AA37" s="756"/>
      <c r="AB37" s="756"/>
      <c r="AC37" s="756"/>
    </row>
    <row r="38" spans="1:29" ht="15.75" thickBot="1">
      <c r="A38" s="486" t="s">
        <v>2721</v>
      </c>
      <c r="B38" s="487" t="str">
        <f>B37</f>
        <v>元/车位</v>
      </c>
      <c r="C38" s="1409" t="e">
        <f>R39</f>
        <v>#DIV/0!</v>
      </c>
      <c r="D38" s="1410"/>
      <c r="E38" s="1411" t="e">
        <f>R38</f>
        <v>#DIV/0!</v>
      </c>
      <c r="F38" s="1411"/>
      <c r="G38" s="1409" t="e">
        <f>T38</f>
        <v>#DIV/0!</v>
      </c>
      <c r="H38" s="1410"/>
      <c r="I38" s="1411" t="e">
        <f>V38</f>
        <v>#DIV/0!</v>
      </c>
      <c r="J38" s="1410"/>
      <c r="K38" s="620"/>
      <c r="L38" s="1140"/>
      <c r="M38" s="1141"/>
      <c r="N38" s="1141"/>
      <c r="O38" s="1141"/>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6"/>
      <c r="Y38" s="756"/>
      <c r="Z38" s="756"/>
      <c r="AA38" s="756"/>
      <c r="AB38" s="756"/>
      <c r="AC38" s="756"/>
    </row>
    <row r="39" spans="1:29" ht="15.75" thickBot="1">
      <c r="A39" s="492" t="s">
        <v>2722</v>
      </c>
      <c r="B39" s="493"/>
      <c r="C39" s="1413" t="e">
        <f>R39</f>
        <v>#DIV/0!</v>
      </c>
      <c r="D39" s="1413"/>
      <c r="E39" s="1413"/>
      <c r="F39" s="1413"/>
      <c r="G39" s="1413"/>
      <c r="H39" s="1413"/>
      <c r="I39" s="1413"/>
      <c r="J39" s="1413"/>
      <c r="K39" s="621"/>
      <c r="L39" s="1140"/>
      <c r="M39" s="1141"/>
      <c r="N39" s="1141"/>
      <c r="O39" s="1141"/>
      <c r="P39" s="3193" t="str">
        <f>A39</f>
        <v>估价对象XX用房的比较价值（楼面单价，元/平方米）</v>
      </c>
      <c r="Q39" s="3194"/>
      <c r="R39" s="3195" t="e">
        <f>IF(F1="售价",ROUND(AVERAGE(R38:V38),0),ROUND(AVERAGE(R38:V38),1))</f>
        <v>#DIV/0!</v>
      </c>
      <c r="S39" s="3195"/>
      <c r="T39" s="3195"/>
      <c r="U39" s="3195"/>
      <c r="V39" s="3195"/>
      <c r="W39" s="3195"/>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1.75" thickBot="1">
      <c r="A47" s="1420" t="s">
        <v>2726</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5">
      <c r="A48" s="505" t="s">
        <v>2727</v>
      </c>
      <c r="B48" s="506"/>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2584</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2549</v>
      </c>
      <c r="B51" s="510"/>
      <c r="C51" s="522" t="s">
        <v>2651</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c r="A53" s="527" t="s">
        <v>2587</v>
      </c>
      <c r="B53" s="528" t="s">
        <v>2553</v>
      </c>
      <c r="C53" s="529">
        <f>C9</f>
        <v>0</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75" thickTop="1">
      <c r="A65" s="534"/>
      <c r="B65" s="538" t="s">
        <v>2602</v>
      </c>
      <c r="C65" s="578" t="s">
        <v>2596</v>
      </c>
      <c r="D65" s="578" t="s">
        <v>2597</v>
      </c>
      <c r="E65" s="578" t="s">
        <v>2598</v>
      </c>
      <c r="F65" s="578" t="s">
        <v>2599</v>
      </c>
      <c r="G65" s="578" t="s">
        <v>2600</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75" thickTop="1">
      <c r="A67" s="534"/>
      <c r="B67" s="546" t="s">
        <v>2688</v>
      </c>
      <c r="C67" s="660" t="s">
        <v>2674</v>
      </c>
      <c r="D67" s="660" t="s">
        <v>2675</v>
      </c>
      <c r="E67" s="660" t="s">
        <v>2676</v>
      </c>
      <c r="F67" s="660" t="s">
        <v>2677</v>
      </c>
      <c r="G67" s="660" t="s">
        <v>2678</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5"/>
      <c r="Q68" s="1419"/>
      <c r="R68" s="1141"/>
      <c r="S68" s="1141"/>
      <c r="T68" s="1141"/>
      <c r="U68" s="1141"/>
      <c r="V68" s="1141"/>
      <c r="W68" s="1141"/>
      <c r="X68" s="1141"/>
      <c r="Y68" s="1141"/>
      <c r="Z68" s="1141"/>
      <c r="AA68" s="1141"/>
      <c r="AB68" s="1141"/>
      <c r="AC68" s="1141"/>
    </row>
    <row r="69" spans="1:29" ht="15.75" thickTop="1">
      <c r="A69" s="534"/>
      <c r="B69" s="538" t="s">
        <v>2608</v>
      </c>
      <c r="C69" s="578" t="s">
        <v>2596</v>
      </c>
      <c r="D69" s="578" t="s">
        <v>2597</v>
      </c>
      <c r="E69" s="578" t="s">
        <v>2598</v>
      </c>
      <c r="F69" s="578" t="s">
        <v>2599</v>
      </c>
      <c r="G69" s="578" t="s">
        <v>2600</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75" thickTop="1">
      <c r="A71" s="534"/>
      <c r="B71" s="538" t="s">
        <v>2728</v>
      </c>
      <c r="C71" s="554"/>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7.75" thickTop="1">
      <c r="A79" s="527" t="s">
        <v>2562</v>
      </c>
      <c r="B79" s="528" t="s">
        <v>2729</v>
      </c>
      <c r="C79" s="529">
        <f>C26</f>
        <v>0</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5"/>
      <c r="Q80" s="1419"/>
      <c r="R80" s="1141"/>
      <c r="S80" s="1141"/>
      <c r="T80" s="1141"/>
      <c r="U80" s="1141"/>
      <c r="V80" s="1141"/>
      <c r="W80" s="1141"/>
      <c r="X80" s="1141"/>
      <c r="Y80" s="1141"/>
      <c r="Z80" s="1141"/>
      <c r="AA80" s="1141"/>
      <c r="AB80" s="1141"/>
      <c r="AC80" s="1141"/>
    </row>
    <row r="81" spans="1:29" ht="15.75" thickTop="1">
      <c r="A81" s="534"/>
      <c r="B81" s="538" t="s">
        <v>2730</v>
      </c>
      <c r="C81" s="661"/>
      <c r="D81" s="661"/>
      <c r="E81" s="661"/>
      <c r="F81" s="661"/>
      <c r="G81" s="661"/>
      <c r="H81" s="661"/>
      <c r="I81" s="661"/>
      <c r="J81" s="661"/>
      <c r="K81" s="662"/>
      <c r="L81" s="663"/>
      <c r="M81" s="664"/>
      <c r="N81" s="1148"/>
      <c r="O81" s="1148"/>
      <c r="P81" s="1425"/>
      <c r="Q81" s="1419"/>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2615</v>
      </c>
      <c r="C83" s="554"/>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5"/>
      <c r="Q86" s="1419"/>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2732</v>
      </c>
      <c r="C88" s="530"/>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2734</v>
      </c>
      <c r="C93" s="554"/>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2735</v>
      </c>
      <c r="C95" s="530"/>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20" sqref="G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2706</v>
      </c>
      <c r="B1" s="1615"/>
      <c r="C1" s="1616" t="s">
        <v>2529</v>
      </c>
      <c r="D1" s="1617"/>
      <c r="E1" s="1626"/>
      <c r="F1" s="2581"/>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IF(C2="——",ROUND(C37*D3/10000,0),ROUND(C37*D3/10000,0)-D2)</f>
        <v>#DIV/0!</v>
      </c>
      <c r="C2" s="2583"/>
      <c r="D2" s="1121" t="e">
        <f ca="1">SUMIF(INDIRECT("'"&amp;F2&amp;"'"&amp;"!A:A"),"承租人权益价值",INDIRECT("'"&amp;F2&amp;"'"&amp;"!c:c"))</f>
        <v>#REF!</v>
      </c>
      <c r="E2" s="2584" t="s">
        <v>2327</v>
      </c>
      <c r="F2" s="2585"/>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2328</v>
      </c>
      <c r="B3" s="609" t="e">
        <f ca="1">IF(C2="——",C37,ROUND(B2*10000/D3,0))</f>
        <v>#DIV/0!</v>
      </c>
      <c r="C3" s="400" t="s">
        <v>2643</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2644</v>
      </c>
      <c r="B4" s="402"/>
      <c r="C4" s="3211" t="s">
        <v>2645</v>
      </c>
      <c r="D4" s="3212"/>
      <c r="E4" s="3213" t="s">
        <v>2646</v>
      </c>
      <c r="F4" s="3214"/>
      <c r="G4" s="3211" t="s">
        <v>2647</v>
      </c>
      <c r="H4" s="3212"/>
      <c r="I4" s="3211" t="s">
        <v>2648</v>
      </c>
      <c r="J4" s="3212"/>
      <c r="K4" s="610" t="s">
        <v>2649</v>
      </c>
      <c r="L4" s="1127"/>
      <c r="M4" s="1128"/>
      <c r="N4" s="1128"/>
      <c r="O4" s="1128"/>
      <c r="P4" s="3215" t="s">
        <v>2650</v>
      </c>
      <c r="Q4" s="3216"/>
      <c r="R4" s="3221" t="s">
        <v>2646</v>
      </c>
      <c r="S4" s="3222"/>
      <c r="T4" s="3221" t="s">
        <v>2647</v>
      </c>
      <c r="U4" s="3222"/>
      <c r="V4" s="3227" t="s">
        <v>2648</v>
      </c>
      <c r="W4" s="3227"/>
      <c r="X4" s="1809"/>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27"/>
      <c r="M5" s="1128"/>
      <c r="N5" s="1128"/>
      <c r="O5" s="1128"/>
      <c r="P5" s="3217"/>
      <c r="Q5" s="3218"/>
      <c r="R5" s="3223"/>
      <c r="S5" s="3224"/>
      <c r="T5" s="3223"/>
      <c r="U5" s="3224"/>
      <c r="V5" s="3227"/>
      <c r="W5" s="3227"/>
      <c r="X5" s="1809"/>
      <c r="Y5" s="3223"/>
      <c r="Z5" s="3224"/>
      <c r="AA5" s="3209"/>
      <c r="AB5" s="3209"/>
      <c r="AC5" s="3209"/>
    </row>
    <row r="6" spans="1:29" ht="15.75" thickBot="1">
      <c r="A6" s="406"/>
      <c r="B6" s="407"/>
      <c r="C6" s="3228" t="s">
        <v>2545</v>
      </c>
      <c r="D6" s="3229"/>
      <c r="E6" s="3235" t="s">
        <v>2545</v>
      </c>
      <c r="F6" s="3236"/>
      <c r="G6" s="3228" t="s">
        <v>2545</v>
      </c>
      <c r="H6" s="3229"/>
      <c r="I6" s="3228" t="s">
        <v>2545</v>
      </c>
      <c r="J6" s="3229"/>
      <c r="K6" s="610" t="s">
        <v>2546</v>
      </c>
      <c r="L6" s="1127"/>
      <c r="M6" s="1128"/>
      <c r="N6" s="1128"/>
      <c r="O6" s="1128"/>
      <c r="P6" s="3219"/>
      <c r="Q6" s="3220"/>
      <c r="R6" s="3223"/>
      <c r="S6" s="3224"/>
      <c r="T6" s="3225"/>
      <c r="U6" s="3226"/>
      <c r="V6" s="3227"/>
      <c r="W6" s="3227"/>
      <c r="X6" s="1809"/>
      <c r="Y6" s="3225"/>
      <c r="Z6" s="3226"/>
      <c r="AA6" s="3210"/>
      <c r="AB6" s="3210"/>
      <c r="AC6" s="3210"/>
    </row>
    <row r="7" spans="1:29" s="117" customFormat="1" ht="15.75" thickBot="1">
      <c r="A7" s="408" t="s">
        <v>2547</v>
      </c>
      <c r="B7" s="409"/>
      <c r="C7" s="410">
        <f>'数据-取费表'!B2</f>
        <v>43790</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232" t="s">
        <v>2548</v>
      </c>
      <c r="Q7" s="3234"/>
      <c r="R7" s="767" t="s">
        <v>17</v>
      </c>
      <c r="S7" s="768">
        <f t="shared" ref="S7:S14" si="0">F7</f>
        <v>0</v>
      </c>
      <c r="T7" s="767" t="s">
        <v>17</v>
      </c>
      <c r="U7" s="768">
        <f t="shared" ref="U7:U14" si="1">H7</f>
        <v>0</v>
      </c>
      <c r="V7" s="767" t="s">
        <v>17</v>
      </c>
      <c r="W7" s="768">
        <f t="shared" ref="W7:W14" si="2">J7</f>
        <v>0</v>
      </c>
      <c r="X7" s="769"/>
      <c r="Y7" s="3232" t="s">
        <v>2548</v>
      </c>
      <c r="Z7" s="3233"/>
      <c r="AA7" s="770" t="e">
        <f>D7/F7</f>
        <v>#DIV/0!</v>
      </c>
      <c r="AB7" s="770" t="e">
        <f>D7/H7</f>
        <v>#DIV/0!</v>
      </c>
      <c r="AC7" s="770"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32" t="s">
        <v>2551</v>
      </c>
      <c r="Q8" s="3233"/>
      <c r="R8" s="767" t="s">
        <v>17</v>
      </c>
      <c r="S8" s="768">
        <f t="shared" si="0"/>
        <v>0</v>
      </c>
      <c r="T8" s="767" t="s">
        <v>17</v>
      </c>
      <c r="U8" s="768">
        <f t="shared" si="1"/>
        <v>0</v>
      </c>
      <c r="V8" s="767" t="s">
        <v>17</v>
      </c>
      <c r="W8" s="768">
        <f t="shared" si="2"/>
        <v>0</v>
      </c>
      <c r="X8" s="769"/>
      <c r="Y8" s="3232" t="s">
        <v>2551</v>
      </c>
      <c r="Z8" s="3233"/>
      <c r="AA8" s="770" t="e">
        <f t="shared" ref="AA8:AA34" si="3">D8/F8</f>
        <v>#DIV/0!</v>
      </c>
      <c r="AB8" s="770" t="e">
        <f t="shared" ref="AB8:AB34" si="4">D8/H8</f>
        <v>#DIV/0!</v>
      </c>
      <c r="AC8" s="770"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96" t="s">
        <v>2554</v>
      </c>
      <c r="Q9" s="1791" t="str">
        <f t="shared" ref="Q9:Q14" si="6">B9</f>
        <v>用途</v>
      </c>
      <c r="R9" s="767" t="s">
        <v>17</v>
      </c>
      <c r="S9" s="768">
        <f t="shared" si="0"/>
        <v>100</v>
      </c>
      <c r="T9" s="767" t="s">
        <v>17</v>
      </c>
      <c r="U9" s="768">
        <f t="shared" si="1"/>
        <v>100</v>
      </c>
      <c r="V9" s="767" t="s">
        <v>17</v>
      </c>
      <c r="W9" s="768">
        <f t="shared" si="2"/>
        <v>100</v>
      </c>
      <c r="X9" s="769"/>
      <c r="Y9" s="3024" t="s">
        <v>2555</v>
      </c>
      <c r="Z9" s="55" t="str">
        <f t="shared" ref="Z9:Z14" si="7">Q9</f>
        <v>用途</v>
      </c>
      <c r="AA9" s="770">
        <f t="shared" si="3"/>
        <v>1</v>
      </c>
      <c r="AB9" s="770">
        <f t="shared" si="4"/>
        <v>1</v>
      </c>
      <c r="AC9" s="770">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96"/>
      <c r="Q10" s="1791" t="str">
        <f t="shared" si="6"/>
        <v>土地使用年限（年）</v>
      </c>
      <c r="R10" s="767" t="s">
        <v>17</v>
      </c>
      <c r="S10" s="768">
        <f t="shared" si="0"/>
        <v>100</v>
      </c>
      <c r="T10" s="767" t="s">
        <v>17</v>
      </c>
      <c r="U10" s="768">
        <f t="shared" si="1"/>
        <v>100</v>
      </c>
      <c r="V10" s="767" t="s">
        <v>17</v>
      </c>
      <c r="W10" s="768">
        <f t="shared" si="2"/>
        <v>100</v>
      </c>
      <c r="X10" s="769"/>
      <c r="Y10" s="3024"/>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96"/>
      <c r="Q11" s="1791">
        <f t="shared" si="6"/>
        <v>111</v>
      </c>
      <c r="R11" s="767" t="s">
        <v>17</v>
      </c>
      <c r="S11" s="768">
        <f t="shared" si="0"/>
        <v>100</v>
      </c>
      <c r="T11" s="767" t="s">
        <v>17</v>
      </c>
      <c r="U11" s="768">
        <f t="shared" si="1"/>
        <v>100</v>
      </c>
      <c r="V11" s="767" t="s">
        <v>17</v>
      </c>
      <c r="W11" s="768">
        <f t="shared" si="2"/>
        <v>100</v>
      </c>
      <c r="X11" s="769"/>
      <c r="Y11" s="3024"/>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96"/>
      <c r="Q12" s="1791">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196"/>
      <c r="Q13" s="1791">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85.5">
      <c r="A14" s="440" t="s">
        <v>2558</v>
      </c>
      <c r="B14" s="69" t="s">
        <v>2708</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98" t="s">
        <v>2559</v>
      </c>
      <c r="Q14" s="1806" t="str">
        <f t="shared" si="6"/>
        <v>交通便捷度</v>
      </c>
      <c r="R14" s="771" t="s">
        <v>17</v>
      </c>
      <c r="S14" s="772">
        <f t="shared" si="0"/>
        <v>100</v>
      </c>
      <c r="T14" s="771" t="s">
        <v>17</v>
      </c>
      <c r="U14" s="772">
        <f t="shared" si="1"/>
        <v>100</v>
      </c>
      <c r="V14" s="771" t="s">
        <v>17</v>
      </c>
      <c r="W14" s="772">
        <f t="shared" si="2"/>
        <v>100</v>
      </c>
      <c r="X14" s="1809"/>
      <c r="Y14" s="3198" t="s">
        <v>2559</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199"/>
      <c r="Q15" s="1806"/>
      <c r="R15" s="771"/>
      <c r="S15" s="772"/>
      <c r="T15" s="771"/>
      <c r="U15" s="772"/>
      <c r="V15" s="771"/>
      <c r="W15" s="772"/>
      <c r="X15" s="1809"/>
      <c r="Y15" s="3199"/>
      <c r="Z15" s="1810"/>
      <c r="AA15" s="1807">
        <v>1</v>
      </c>
      <c r="AB15" s="1807">
        <v>1</v>
      </c>
      <c r="AC15" s="1807">
        <v>1</v>
      </c>
    </row>
    <row r="16" spans="1:29" ht="42.75">
      <c r="A16" s="428"/>
      <c r="B16" s="451" t="s">
        <v>2687</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99"/>
      <c r="Q16" s="1806" t="str">
        <f>B16</f>
        <v>公共配套设施</v>
      </c>
      <c r="R16" s="771" t="s">
        <v>17</v>
      </c>
      <c r="S16" s="772">
        <f>F16</f>
        <v>100</v>
      </c>
      <c r="T16" s="771" t="s">
        <v>17</v>
      </c>
      <c r="U16" s="772">
        <f>H16</f>
        <v>100</v>
      </c>
      <c r="V16" s="771" t="s">
        <v>17</v>
      </c>
      <c r="W16" s="772">
        <f>J16</f>
        <v>100</v>
      </c>
      <c r="X16" s="1809"/>
      <c r="Y16" s="3199"/>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7"/>
      <c r="M17" s="1128"/>
      <c r="N17" s="1128"/>
      <c r="O17" s="1136"/>
      <c r="P17" s="3199"/>
      <c r="Q17" s="1806"/>
      <c r="R17" s="771"/>
      <c r="S17" s="772"/>
      <c r="T17" s="771"/>
      <c r="U17" s="772"/>
      <c r="V17" s="771"/>
      <c r="W17" s="772"/>
      <c r="X17" s="1809"/>
      <c r="Y17" s="3199"/>
      <c r="Z17" s="1810"/>
      <c r="AA17" s="1807">
        <v>1</v>
      </c>
      <c r="AB17" s="1807">
        <v>1</v>
      </c>
      <c r="AC17" s="1807">
        <v>1</v>
      </c>
    </row>
    <row r="18" spans="1:29" ht="28.5">
      <c r="A18" s="428"/>
      <c r="B18" s="1380" t="s">
        <v>2688</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99"/>
      <c r="Q18" s="1806" t="str">
        <f>B18</f>
        <v>基础设施水平</v>
      </c>
      <c r="R18" s="771" t="s">
        <v>17</v>
      </c>
      <c r="S18" s="772">
        <f>F18</f>
        <v>100</v>
      </c>
      <c r="T18" s="771" t="s">
        <v>17</v>
      </c>
      <c r="U18" s="772">
        <f>H18</f>
        <v>100</v>
      </c>
      <c r="V18" s="771" t="s">
        <v>17</v>
      </c>
      <c r="W18" s="772">
        <f>J18</f>
        <v>100</v>
      </c>
      <c r="X18" s="1809"/>
      <c r="Y18" s="3199"/>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37"/>
      <c r="M19" s="1128"/>
      <c r="N19" s="1128"/>
      <c r="O19" s="1136"/>
      <c r="P19" s="3199"/>
      <c r="Q19" s="1806"/>
      <c r="R19" s="771"/>
      <c r="S19" s="772"/>
      <c r="T19" s="771"/>
      <c r="U19" s="772"/>
      <c r="V19" s="771"/>
      <c r="W19" s="772"/>
      <c r="X19" s="1809"/>
      <c r="Y19" s="3199"/>
      <c r="Z19" s="1810"/>
      <c r="AA19" s="1807">
        <v>1</v>
      </c>
      <c r="AB19" s="1807">
        <v>1</v>
      </c>
      <c r="AC19" s="1807">
        <v>1</v>
      </c>
    </row>
    <row r="20" spans="1:29" ht="57">
      <c r="A20" s="428"/>
      <c r="B20" s="451" t="s">
        <v>2709</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99"/>
      <c r="Q20" s="1806" t="str">
        <f>B20</f>
        <v>自然及人文环境</v>
      </c>
      <c r="R20" s="771" t="s">
        <v>17</v>
      </c>
      <c r="S20" s="772">
        <f>F20</f>
        <v>100</v>
      </c>
      <c r="T20" s="771" t="s">
        <v>17</v>
      </c>
      <c r="U20" s="772">
        <f>H20</f>
        <v>100</v>
      </c>
      <c r="V20" s="771" t="s">
        <v>17</v>
      </c>
      <c r="W20" s="772">
        <f>J20</f>
        <v>100</v>
      </c>
      <c r="X20" s="1809"/>
      <c r="Y20" s="3199"/>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199"/>
      <c r="Q21" s="1806"/>
      <c r="R21" s="771"/>
      <c r="S21" s="772"/>
      <c r="T21" s="771"/>
      <c r="U21" s="772"/>
      <c r="V21" s="771"/>
      <c r="W21" s="772"/>
      <c r="X21" s="1809"/>
      <c r="Y21" s="3199"/>
      <c r="Z21" s="1810"/>
      <c r="AA21" s="1807">
        <v>1</v>
      </c>
      <c r="AB21" s="1807">
        <v>1</v>
      </c>
      <c r="AC21" s="1807">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99"/>
      <c r="Q22" s="1806" t="str">
        <f>B22</f>
        <v>楼层</v>
      </c>
      <c r="R22" s="771" t="s">
        <v>17</v>
      </c>
      <c r="S22" s="772">
        <f>F22</f>
        <v>100</v>
      </c>
      <c r="T22" s="771" t="s">
        <v>17</v>
      </c>
      <c r="U22" s="772">
        <f>H22</f>
        <v>100</v>
      </c>
      <c r="V22" s="771" t="s">
        <v>17</v>
      </c>
      <c r="W22" s="772">
        <f>J22</f>
        <v>100</v>
      </c>
      <c r="X22" s="1809"/>
      <c r="Y22" s="3199"/>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99"/>
      <c r="Q23" s="1806">
        <f>B23</f>
        <v>111</v>
      </c>
      <c r="R23" s="771" t="s">
        <v>17</v>
      </c>
      <c r="S23" s="772">
        <f>F23</f>
        <v>100</v>
      </c>
      <c r="T23" s="771" t="s">
        <v>17</v>
      </c>
      <c r="U23" s="772">
        <f>H23</f>
        <v>100</v>
      </c>
      <c r="V23" s="771" t="s">
        <v>17</v>
      </c>
      <c r="W23" s="772">
        <f>J23</f>
        <v>100</v>
      </c>
      <c r="X23" s="1809"/>
      <c r="Y23" s="3199"/>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99"/>
      <c r="Q24" s="1806">
        <f t="shared" ref="Q24:Q34" si="11">B24</f>
        <v>111</v>
      </c>
      <c r="R24" s="771" t="s">
        <v>17</v>
      </c>
      <c r="S24" s="772">
        <f>F24</f>
        <v>100</v>
      </c>
      <c r="T24" s="771" t="s">
        <v>17</v>
      </c>
      <c r="U24" s="772">
        <f>H24</f>
        <v>100</v>
      </c>
      <c r="V24" s="771" t="s">
        <v>17</v>
      </c>
      <c r="W24" s="772">
        <f>J24</f>
        <v>100</v>
      </c>
      <c r="X24" s="1809"/>
      <c r="Y24" s="3199"/>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199"/>
      <c r="Q25" s="1791">
        <f t="shared" si="11"/>
        <v>111</v>
      </c>
      <c r="R25" s="767" t="s">
        <v>17</v>
      </c>
      <c r="S25" s="768">
        <f>F25</f>
        <v>100</v>
      </c>
      <c r="T25" s="767" t="s">
        <v>17</v>
      </c>
      <c r="U25" s="768">
        <f>H25</f>
        <v>100</v>
      </c>
      <c r="V25" s="767" t="s">
        <v>17</v>
      </c>
      <c r="W25" s="768">
        <f>J25</f>
        <v>100</v>
      </c>
      <c r="X25" s="769"/>
      <c r="Y25" s="3199"/>
      <c r="Z25" s="55">
        <f>Q25</f>
        <v>111</v>
      </c>
      <c r="AA25" s="1807">
        <f>D25/F25</f>
        <v>1</v>
      </c>
      <c r="AB25" s="1807">
        <f>D25/H25</f>
        <v>1</v>
      </c>
      <c r="AC25" s="1807">
        <f>D25/J25</f>
        <v>1</v>
      </c>
    </row>
    <row r="26" spans="1:29" ht="28.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256" t="s">
        <v>2564</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03" t="s">
        <v>2564</v>
      </c>
      <c r="Z26" s="1810" t="str">
        <f t="shared" ref="Z26:Z34" si="15">Q26</f>
        <v>公共部分装修</v>
      </c>
      <c r="AA26" s="1807">
        <f t="shared" si="3"/>
        <v>1</v>
      </c>
      <c r="AB26" s="1807">
        <f t="shared" si="4"/>
        <v>1</v>
      </c>
      <c r="AC26" s="1807">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03"/>
      <c r="Q27" s="773" t="str">
        <f t="shared" si="11"/>
        <v>成新率</v>
      </c>
      <c r="R27" s="774" t="s">
        <v>17</v>
      </c>
      <c r="S27" s="775" t="e">
        <f t="shared" si="12"/>
        <v>#N/A</v>
      </c>
      <c r="T27" s="774" t="s">
        <v>17</v>
      </c>
      <c r="U27" s="775" t="e">
        <f t="shared" si="13"/>
        <v>#N/A</v>
      </c>
      <c r="V27" s="774" t="s">
        <v>17</v>
      </c>
      <c r="W27" s="775" t="e">
        <f t="shared" si="14"/>
        <v>#N/A</v>
      </c>
      <c r="X27" s="776"/>
      <c r="Y27" s="3203"/>
      <c r="Z27" s="777" t="str">
        <f t="shared" si="15"/>
        <v>成新率</v>
      </c>
      <c r="AA27" s="1807" t="e">
        <f t="shared" si="3"/>
        <v>#N/A</v>
      </c>
      <c r="AB27" s="1807" t="e">
        <f t="shared" si="4"/>
        <v>#N/A</v>
      </c>
      <c r="AC27" s="1807"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03"/>
      <c r="Q28" s="1806" t="str">
        <f t="shared" si="11"/>
        <v>物业等级</v>
      </c>
      <c r="R28" s="771" t="s">
        <v>17</v>
      </c>
      <c r="S28" s="772">
        <f t="shared" si="12"/>
        <v>100</v>
      </c>
      <c r="T28" s="771" t="s">
        <v>17</v>
      </c>
      <c r="U28" s="772">
        <f t="shared" si="13"/>
        <v>100</v>
      </c>
      <c r="V28" s="771" t="s">
        <v>17</v>
      </c>
      <c r="W28" s="772">
        <f t="shared" si="14"/>
        <v>100</v>
      </c>
      <c r="X28" s="1809"/>
      <c r="Y28" s="3203"/>
      <c r="Z28" s="1810" t="str">
        <f t="shared" si="15"/>
        <v>物业等级</v>
      </c>
      <c r="AA28" s="1807">
        <f t="shared" si="3"/>
        <v>1</v>
      </c>
      <c r="AB28" s="1807">
        <f t="shared" si="4"/>
        <v>1</v>
      </c>
      <c r="AC28" s="1807">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03"/>
      <c r="Q29" s="1806" t="str">
        <f t="shared" si="11"/>
        <v>有无电梯</v>
      </c>
      <c r="R29" s="771" t="s">
        <v>17</v>
      </c>
      <c r="S29" s="772">
        <f t="shared" si="12"/>
        <v>100</v>
      </c>
      <c r="T29" s="771" t="s">
        <v>17</v>
      </c>
      <c r="U29" s="772">
        <f t="shared" si="13"/>
        <v>100</v>
      </c>
      <c r="V29" s="771" t="s">
        <v>17</v>
      </c>
      <c r="W29" s="772">
        <f t="shared" si="14"/>
        <v>100</v>
      </c>
      <c r="X29" s="1809"/>
      <c r="Y29" s="3203"/>
      <c r="Z29" s="1810" t="str">
        <f t="shared" si="15"/>
        <v>有无电梯</v>
      </c>
      <c r="AA29" s="1807">
        <f t="shared" si="3"/>
        <v>1</v>
      </c>
      <c r="AB29" s="1807">
        <f t="shared" si="4"/>
        <v>1</v>
      </c>
      <c r="AC29" s="1807">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03"/>
      <c r="Q30" s="1806" t="str">
        <f t="shared" si="11"/>
        <v>建筑面积</v>
      </c>
      <c r="R30" s="771" t="s">
        <v>17</v>
      </c>
      <c r="S30" s="772" t="e">
        <f t="shared" si="12"/>
        <v>#N/A</v>
      </c>
      <c r="T30" s="771" t="s">
        <v>17</v>
      </c>
      <c r="U30" s="772" t="e">
        <f t="shared" si="13"/>
        <v>#N/A</v>
      </c>
      <c r="V30" s="771" t="s">
        <v>17</v>
      </c>
      <c r="W30" s="772" t="e">
        <f t="shared" si="14"/>
        <v>#N/A</v>
      </c>
      <c r="X30" s="1809"/>
      <c r="Y30" s="3203"/>
      <c r="Z30" s="1810" t="str">
        <f t="shared" si="15"/>
        <v>建筑面积</v>
      </c>
      <c r="AA30" s="1807" t="e">
        <f t="shared" si="3"/>
        <v>#N/A</v>
      </c>
      <c r="AB30" s="1807" t="e">
        <f t="shared" si="4"/>
        <v>#N/A</v>
      </c>
      <c r="AC30" s="1807"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03"/>
      <c r="Q31" s="1791" t="str">
        <f t="shared" si="11"/>
        <v>是否封闭</v>
      </c>
      <c r="R31" s="767" t="s">
        <v>17</v>
      </c>
      <c r="S31" s="768">
        <f t="shared" si="12"/>
        <v>100</v>
      </c>
      <c r="T31" s="767" t="s">
        <v>17</v>
      </c>
      <c r="U31" s="768">
        <f t="shared" si="13"/>
        <v>100</v>
      </c>
      <c r="V31" s="767" t="s">
        <v>17</v>
      </c>
      <c r="W31" s="768">
        <f t="shared" si="14"/>
        <v>100</v>
      </c>
      <c r="X31" s="769"/>
      <c r="Y31" s="3203"/>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03" t="s">
        <v>2564</v>
      </c>
      <c r="Q32" s="1806">
        <f t="shared" si="11"/>
        <v>111</v>
      </c>
      <c r="R32" s="771" t="s">
        <v>17</v>
      </c>
      <c r="S32" s="772">
        <f t="shared" si="12"/>
        <v>100</v>
      </c>
      <c r="T32" s="771" t="s">
        <v>17</v>
      </c>
      <c r="U32" s="772">
        <f t="shared" si="13"/>
        <v>100</v>
      </c>
      <c r="V32" s="771" t="s">
        <v>17</v>
      </c>
      <c r="W32" s="772">
        <f t="shared" si="14"/>
        <v>100</v>
      </c>
      <c r="X32" s="1809"/>
      <c r="Y32" s="3203" t="s">
        <v>2564</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03"/>
      <c r="Q33" s="1806">
        <f t="shared" si="11"/>
        <v>111</v>
      </c>
      <c r="R33" s="771" t="s">
        <v>17</v>
      </c>
      <c r="S33" s="772">
        <f t="shared" si="12"/>
        <v>100</v>
      </c>
      <c r="T33" s="771" t="s">
        <v>17</v>
      </c>
      <c r="U33" s="772">
        <f t="shared" si="13"/>
        <v>100</v>
      </c>
      <c r="V33" s="771" t="s">
        <v>17</v>
      </c>
      <c r="W33" s="772">
        <f t="shared" si="14"/>
        <v>100</v>
      </c>
      <c r="X33" s="1809"/>
      <c r="Y33" s="3203"/>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203"/>
      <c r="Q34" s="1806">
        <f t="shared" si="11"/>
        <v>111</v>
      </c>
      <c r="R34" s="771" t="s">
        <v>17</v>
      </c>
      <c r="S34" s="772">
        <f t="shared" si="12"/>
        <v>100</v>
      </c>
      <c r="T34" s="771" t="s">
        <v>17</v>
      </c>
      <c r="U34" s="772">
        <f t="shared" si="13"/>
        <v>100</v>
      </c>
      <c r="V34" s="771" t="s">
        <v>17</v>
      </c>
      <c r="W34" s="772">
        <f t="shared" si="14"/>
        <v>100</v>
      </c>
      <c r="X34" s="1809"/>
      <c r="Y34" s="3203"/>
      <c r="Z34" s="1810">
        <f t="shared" si="15"/>
        <v>111</v>
      </c>
      <c r="AA34" s="1807">
        <f t="shared" si="3"/>
        <v>1</v>
      </c>
      <c r="AB34" s="1807">
        <f t="shared" si="4"/>
        <v>1</v>
      </c>
      <c r="AC34" s="1807">
        <f t="shared" si="5"/>
        <v>1</v>
      </c>
    </row>
    <row r="35" spans="1:29" ht="15">
      <c r="A35" s="479" t="s">
        <v>2576</v>
      </c>
      <c r="B35" s="480"/>
      <c r="C35" s="1403" t="s">
        <v>1</v>
      </c>
      <c r="D35" s="1404"/>
      <c r="E35" s="1405"/>
      <c r="F35" s="1406"/>
      <c r="G35" s="1407"/>
      <c r="H35" s="1408"/>
      <c r="I35" s="1405"/>
      <c r="J35" s="1408"/>
      <c r="K35" s="780"/>
      <c r="L35" s="1140"/>
      <c r="M35" s="1141"/>
      <c r="N35" s="1128"/>
      <c r="O35" s="1141"/>
      <c r="P35" s="3196" t="str">
        <f>A35</f>
        <v>成交单价（元/平方米）</v>
      </c>
      <c r="Q35" s="3196"/>
      <c r="R35" s="3197">
        <f>E35</f>
        <v>0</v>
      </c>
      <c r="S35" s="3197"/>
      <c r="T35" s="3197">
        <f>G35</f>
        <v>0</v>
      </c>
      <c r="U35" s="3197"/>
      <c r="V35" s="3197">
        <f>I35</f>
        <v>0</v>
      </c>
      <c r="W35" s="3197"/>
      <c r="X35" s="756"/>
      <c r="Y35" s="778"/>
      <c r="Z35" s="756"/>
      <c r="AA35" s="756"/>
      <c r="AB35" s="756"/>
      <c r="AC35" s="756"/>
    </row>
    <row r="36" spans="1:29" ht="15.75" thickBot="1">
      <c r="A36" s="486" t="s">
        <v>2668</v>
      </c>
      <c r="B36" s="487"/>
      <c r="C36" s="1409" t="e">
        <f>R37</f>
        <v>#DIV/0!</v>
      </c>
      <c r="D36" s="1410"/>
      <c r="E36" s="1411" t="e">
        <f>R36</f>
        <v>#DIV/0!</v>
      </c>
      <c r="F36" s="1411"/>
      <c r="G36" s="1409" t="e">
        <f>T36</f>
        <v>#DIV/0!</v>
      </c>
      <c r="H36" s="1410"/>
      <c r="I36" s="1411" t="e">
        <f>V36</f>
        <v>#DIV/0!</v>
      </c>
      <c r="J36" s="1410"/>
      <c r="K36" s="781"/>
      <c r="L36" s="1140"/>
      <c r="M36" s="1141"/>
      <c r="N36" s="1128"/>
      <c r="O36" s="1141"/>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6"/>
      <c r="Y36" s="756"/>
      <c r="Z36" s="756"/>
      <c r="AA36" s="756"/>
      <c r="AB36" s="756"/>
      <c r="AC36" s="756"/>
    </row>
    <row r="37" spans="1:29" ht="15.75" thickBot="1">
      <c r="A37" s="492" t="s">
        <v>2669</v>
      </c>
      <c r="B37" s="493"/>
      <c r="C37" s="1413" t="e">
        <f>R37</f>
        <v>#DIV/0!</v>
      </c>
      <c r="D37" s="1413"/>
      <c r="E37" s="1413"/>
      <c r="F37" s="1413"/>
      <c r="G37" s="1413"/>
      <c r="H37" s="1413"/>
      <c r="I37" s="1413"/>
      <c r="J37" s="1413"/>
      <c r="K37" s="782"/>
      <c r="L37" s="1140"/>
      <c r="M37" s="1141"/>
      <c r="N37" s="1141"/>
      <c r="O37" s="1141"/>
      <c r="P37" s="3193" t="str">
        <f>A37</f>
        <v>估价对象XX用房的比较价值（楼面单价，元/平方米）</v>
      </c>
      <c r="Q37" s="3194"/>
      <c r="R37" s="3195" t="e">
        <f>IF(F1="售价",ROUND(AVERAGE(R36:V36),0),ROUND(AVERAGE(R36:V36),1))</f>
        <v>#DIV/0!</v>
      </c>
      <c r="S37" s="3195"/>
      <c r="T37" s="3195"/>
      <c r="U37" s="3195"/>
      <c r="V37" s="3195"/>
      <c r="W37" s="3195"/>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2673</v>
      </c>
      <c r="B45" s="756"/>
      <c r="C45" s="761"/>
      <c r="D45" s="761"/>
      <c r="E45" s="761"/>
      <c r="F45" s="762"/>
      <c r="G45" s="762"/>
      <c r="H45" s="761"/>
      <c r="I45" s="761"/>
      <c r="J45" s="761"/>
      <c r="K45" s="763"/>
      <c r="L45" s="764"/>
      <c r="M45" s="761"/>
      <c r="N45" s="761"/>
      <c r="O45" s="761"/>
      <c r="P45" s="503"/>
      <c r="Q45" s="504"/>
    </row>
    <row r="46" spans="1:29" s="508" customFormat="1" ht="15">
      <c r="A46" s="505" t="s">
        <v>2547</v>
      </c>
      <c r="B46" s="506"/>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2587</v>
      </c>
      <c r="B51" s="528" t="s">
        <v>2553</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8"/>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2728</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2562</v>
      </c>
      <c r="B77" s="528" t="s">
        <v>2615</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2732</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2740</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2742</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2326</v>
      </c>
      <c r="B2" s="671"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2328</v>
      </c>
      <c r="B3" s="609" t="e">
        <f>ROUND(IF(D3="",B2*10000/'数据-汇总表'!E3,B2*10000/D3),0)</f>
        <v>#DIV/0!</v>
      </c>
      <c r="C3" s="247" t="s">
        <v>2745</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2644</v>
      </c>
      <c r="B4" s="402"/>
      <c r="C4" s="3211" t="s">
        <v>2645</v>
      </c>
      <c r="D4" s="3212"/>
      <c r="E4" s="3213" t="s">
        <v>2646</v>
      </c>
      <c r="F4" s="3214"/>
      <c r="G4" s="3211" t="s">
        <v>2647</v>
      </c>
      <c r="H4" s="3212"/>
      <c r="I4" s="3211" t="s">
        <v>2648</v>
      </c>
      <c r="J4" s="3212"/>
      <c r="K4" s="610" t="s">
        <v>2649</v>
      </c>
      <c r="L4" s="1127"/>
      <c r="M4" s="1128"/>
      <c r="N4" s="1128"/>
      <c r="O4" s="1128"/>
      <c r="P4" s="3215" t="s">
        <v>2650</v>
      </c>
      <c r="Q4" s="3216"/>
      <c r="R4" s="3221" t="s">
        <v>2646</v>
      </c>
      <c r="S4" s="3222"/>
      <c r="T4" s="3221" t="s">
        <v>2647</v>
      </c>
      <c r="U4" s="3222"/>
      <c r="V4" s="3227" t="s">
        <v>2648</v>
      </c>
      <c r="W4" s="3227"/>
      <c r="X4" s="1809"/>
      <c r="Y4" s="3221" t="s">
        <v>2650</v>
      </c>
      <c r="Z4" s="3222"/>
      <c r="AA4" s="3208" t="s">
        <v>2646</v>
      </c>
      <c r="AB4" s="3209" t="s">
        <v>2647</v>
      </c>
      <c r="AC4" s="3208" t="s">
        <v>2648</v>
      </c>
    </row>
    <row r="5" spans="1:30" ht="15">
      <c r="A5" s="404"/>
      <c r="B5" s="405"/>
      <c r="C5" s="3230" t="s">
        <v>2541</v>
      </c>
      <c r="D5" s="3231"/>
      <c r="E5" s="3237" t="s">
        <v>2542</v>
      </c>
      <c r="F5" s="3238"/>
      <c r="G5" s="3230" t="s">
        <v>2543</v>
      </c>
      <c r="H5" s="3231"/>
      <c r="I5" s="3230" t="s">
        <v>2544</v>
      </c>
      <c r="J5" s="3231"/>
      <c r="K5" s="610"/>
      <c r="L5" s="1127"/>
      <c r="M5" s="1128"/>
      <c r="N5" s="1128"/>
      <c r="O5" s="1128"/>
      <c r="P5" s="3217"/>
      <c r="Q5" s="3218"/>
      <c r="R5" s="3223"/>
      <c r="S5" s="3224"/>
      <c r="T5" s="3223"/>
      <c r="U5" s="3224"/>
      <c r="V5" s="3227"/>
      <c r="W5" s="3227"/>
      <c r="X5" s="1809"/>
      <c r="Y5" s="3223"/>
      <c r="Z5" s="3224"/>
      <c r="AA5" s="3209"/>
      <c r="AB5" s="3209"/>
      <c r="AC5" s="3209"/>
    </row>
    <row r="6" spans="1:30" ht="15.75" thickBot="1">
      <c r="A6" s="406"/>
      <c r="B6" s="407"/>
      <c r="C6" s="3228" t="s">
        <v>2545</v>
      </c>
      <c r="D6" s="3229"/>
      <c r="E6" s="3235" t="s">
        <v>2545</v>
      </c>
      <c r="F6" s="3236"/>
      <c r="G6" s="3228" t="s">
        <v>2545</v>
      </c>
      <c r="H6" s="3229"/>
      <c r="I6" s="3228" t="s">
        <v>2545</v>
      </c>
      <c r="J6" s="3229"/>
      <c r="K6" s="610" t="s">
        <v>2546</v>
      </c>
      <c r="L6" s="1127"/>
      <c r="M6" s="1128"/>
      <c r="N6" s="1128"/>
      <c r="O6" s="1128"/>
      <c r="P6" s="3219"/>
      <c r="Q6" s="3220"/>
      <c r="R6" s="3223"/>
      <c r="S6" s="3224"/>
      <c r="T6" s="3225"/>
      <c r="U6" s="3226"/>
      <c r="V6" s="3227"/>
      <c r="W6" s="3227"/>
      <c r="X6" s="1809"/>
      <c r="Y6" s="3225"/>
      <c r="Z6" s="3226"/>
      <c r="AA6" s="3210"/>
      <c r="AB6" s="3210"/>
      <c r="AC6" s="3210"/>
    </row>
    <row r="7" spans="1:30" s="117" customFormat="1" ht="15.75" thickBot="1">
      <c r="A7" s="408" t="s">
        <v>2547</v>
      </c>
      <c r="B7" s="409"/>
      <c r="C7" s="410">
        <f>'数据-取费表'!B2</f>
        <v>43790</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232" t="s">
        <v>2548</v>
      </c>
      <c r="Q7" s="3234"/>
      <c r="R7" s="767" t="s">
        <v>17</v>
      </c>
      <c r="S7" s="768">
        <f t="shared" ref="S7:S15" si="0">F7</f>
        <v>0</v>
      </c>
      <c r="T7" s="767" t="s">
        <v>17</v>
      </c>
      <c r="U7" s="768">
        <f t="shared" ref="U7:U15" si="1">H7</f>
        <v>0</v>
      </c>
      <c r="V7" s="767" t="s">
        <v>17</v>
      </c>
      <c r="W7" s="768">
        <f t="shared" ref="W7:W15" si="2">J7</f>
        <v>0</v>
      </c>
      <c r="X7" s="769"/>
      <c r="Y7" s="3232" t="s">
        <v>2548</v>
      </c>
      <c r="Z7" s="3233"/>
      <c r="AA7" s="770" t="e">
        <f>D7/F7</f>
        <v>#DIV/0!</v>
      </c>
      <c r="AB7" s="770" t="e">
        <f>D7/H7</f>
        <v>#DIV/0!</v>
      </c>
      <c r="AC7" s="770"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32" t="s">
        <v>2551</v>
      </c>
      <c r="Q8" s="3233"/>
      <c r="R8" s="767" t="s">
        <v>17</v>
      </c>
      <c r="S8" s="768">
        <f t="shared" si="0"/>
        <v>0</v>
      </c>
      <c r="T8" s="767" t="s">
        <v>17</v>
      </c>
      <c r="U8" s="768">
        <f t="shared" si="1"/>
        <v>0</v>
      </c>
      <c r="V8" s="767" t="s">
        <v>17</v>
      </c>
      <c r="W8" s="768">
        <f t="shared" si="2"/>
        <v>0</v>
      </c>
      <c r="X8" s="769"/>
      <c r="Y8" s="3232" t="s">
        <v>2551</v>
      </c>
      <c r="Z8" s="3233"/>
      <c r="AA8" s="770" t="e">
        <f t="shared" ref="AA8:AA45" si="3">D8/F8</f>
        <v>#DIV/0!</v>
      </c>
      <c r="AB8" s="770" t="e">
        <f t="shared" ref="AB8:AB45" si="4">D8/H8</f>
        <v>#DIV/0!</v>
      </c>
      <c r="AC8" s="770" t="e">
        <f t="shared" ref="AC8:AC45" si="5">D8/J8</f>
        <v>#DIV/0!</v>
      </c>
    </row>
    <row r="9" spans="1:30" s="117" customFormat="1">
      <c r="A9" s="415" t="s">
        <v>2552</v>
      </c>
      <c r="B9" s="71" t="s">
        <v>2553</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196" t="s">
        <v>2554</v>
      </c>
      <c r="Q9" s="1791" t="str">
        <f t="shared" ref="Q9:Q15" si="6">B9</f>
        <v>用途</v>
      </c>
      <c r="R9" s="767" t="s">
        <v>17</v>
      </c>
      <c r="S9" s="768">
        <f t="shared" si="0"/>
        <v>100</v>
      </c>
      <c r="T9" s="767" t="s">
        <v>17</v>
      </c>
      <c r="U9" s="768">
        <f t="shared" si="1"/>
        <v>100</v>
      </c>
      <c r="V9" s="767" t="s">
        <v>17</v>
      </c>
      <c r="W9" s="768">
        <f t="shared" si="2"/>
        <v>100</v>
      </c>
      <c r="X9" s="769"/>
      <c r="Y9" s="3024" t="s">
        <v>2555</v>
      </c>
      <c r="Z9" s="55" t="str">
        <f t="shared" ref="Z9:Z15" si="7">Q9</f>
        <v>用途</v>
      </c>
      <c r="AA9" s="770">
        <f t="shared" si="3"/>
        <v>1</v>
      </c>
      <c r="AB9" s="770">
        <f t="shared" si="4"/>
        <v>1</v>
      </c>
      <c r="AC9" s="770">
        <f t="shared" si="5"/>
        <v>1</v>
      </c>
    </row>
    <row r="10" spans="1:30" s="427" customFormat="1" ht="27">
      <c r="A10" s="421"/>
      <c r="B10" s="422" t="s">
        <v>2556</v>
      </c>
      <c r="C10" s="432"/>
      <c r="D10" s="136">
        <v>100</v>
      </c>
      <c r="E10" s="465"/>
      <c r="F10" s="136">
        <f>ROUND(100/'数据-取费表'!G16,0)</f>
        <v>146</v>
      </c>
      <c r="G10" s="463"/>
      <c r="H10" s="136">
        <f>ROUND(100/'数据-取费表'!G16,0)</f>
        <v>146</v>
      </c>
      <c r="I10" s="463"/>
      <c r="J10" s="136">
        <f>ROUND(100/'数据-取费表'!G16,0)</f>
        <v>146</v>
      </c>
      <c r="K10" s="672"/>
      <c r="L10" s="1132"/>
      <c r="M10" s="1133"/>
      <c r="N10" s="1133"/>
      <c r="O10" s="1134"/>
      <c r="P10" s="3196"/>
      <c r="Q10" s="1791" t="str">
        <f t="shared" si="6"/>
        <v>土地使用年限（年）</v>
      </c>
      <c r="R10" s="767" t="s">
        <v>17</v>
      </c>
      <c r="S10" s="768">
        <f t="shared" si="0"/>
        <v>146</v>
      </c>
      <c r="T10" s="767" t="s">
        <v>17</v>
      </c>
      <c r="U10" s="768">
        <f t="shared" si="1"/>
        <v>146</v>
      </c>
      <c r="V10" s="767" t="s">
        <v>17</v>
      </c>
      <c r="W10" s="768">
        <f t="shared" si="2"/>
        <v>146</v>
      </c>
      <c r="X10" s="769"/>
      <c r="Y10" s="3024"/>
      <c r="Z10" s="55" t="str">
        <f t="shared" si="7"/>
        <v>土地使用年限（年）</v>
      </c>
      <c r="AA10" s="770">
        <f t="shared" si="3"/>
        <v>0.68493150684931503</v>
      </c>
      <c r="AB10" s="770">
        <f t="shared" si="4"/>
        <v>0.68493150684931503</v>
      </c>
      <c r="AC10" s="770">
        <f t="shared" si="5"/>
        <v>0.68493150684931503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96"/>
      <c r="Q11" s="1791"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30" s="117" customFormat="1" ht="15">
      <c r="A12" s="431"/>
      <c r="B12" s="2597" t="s">
        <v>2746</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96"/>
      <c r="Q12" s="1791" t="str">
        <f t="shared" si="6"/>
        <v>配建</v>
      </c>
      <c r="R12" s="767" t="s">
        <v>17</v>
      </c>
      <c r="S12" s="768">
        <f t="shared" si="0"/>
        <v>100</v>
      </c>
      <c r="T12" s="767" t="s">
        <v>17</v>
      </c>
      <c r="U12" s="768">
        <f t="shared" si="1"/>
        <v>100</v>
      </c>
      <c r="V12" s="767" t="s">
        <v>17</v>
      </c>
      <c r="W12" s="768">
        <f t="shared" si="2"/>
        <v>100</v>
      </c>
      <c r="X12" s="769"/>
      <c r="Y12" s="3024"/>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96"/>
      <c r="Q13" s="1791">
        <f t="shared" si="6"/>
        <v>111</v>
      </c>
      <c r="R13" s="767" t="s">
        <v>17</v>
      </c>
      <c r="S13" s="768">
        <f t="shared" si="0"/>
        <v>100</v>
      </c>
      <c r="T13" s="767" t="s">
        <v>17</v>
      </c>
      <c r="U13" s="768">
        <f t="shared" si="1"/>
        <v>100</v>
      </c>
      <c r="V13" s="767" t="s">
        <v>17</v>
      </c>
      <c r="W13" s="768">
        <f t="shared" si="2"/>
        <v>100</v>
      </c>
      <c r="X13" s="769"/>
      <c r="Y13" s="3024"/>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96"/>
      <c r="Q14" s="1791">
        <f t="shared" si="6"/>
        <v>111</v>
      </c>
      <c r="R14" s="767" t="s">
        <v>17</v>
      </c>
      <c r="S14" s="768">
        <f t="shared" si="0"/>
        <v>100</v>
      </c>
      <c r="T14" s="767" t="s">
        <v>17</v>
      </c>
      <c r="U14" s="768">
        <f t="shared" si="1"/>
        <v>100</v>
      </c>
      <c r="V14" s="767" t="s">
        <v>17</v>
      </c>
      <c r="W14" s="768">
        <f t="shared" si="2"/>
        <v>100</v>
      </c>
      <c r="X14" s="769"/>
      <c r="Y14" s="3024"/>
      <c r="Z14" s="55">
        <f t="shared" si="7"/>
        <v>111</v>
      </c>
      <c r="AA14" s="770">
        <f>D14/F14</f>
        <v>1</v>
      </c>
      <c r="AB14" s="770">
        <f>D14/H14</f>
        <v>1</v>
      </c>
      <c r="AC14" s="770">
        <f>D14/J14</f>
        <v>1</v>
      </c>
    </row>
    <row r="15" spans="1:30" ht="99.75">
      <c r="A15" s="440" t="s">
        <v>2558</v>
      </c>
      <c r="B15" s="69" t="s">
        <v>2084</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98" t="s">
        <v>2559</v>
      </c>
      <c r="Q15" s="1806" t="str">
        <f t="shared" si="6"/>
        <v>居住社区成熟度</v>
      </c>
      <c r="R15" s="771" t="s">
        <v>17</v>
      </c>
      <c r="S15" s="772">
        <f t="shared" si="0"/>
        <v>100</v>
      </c>
      <c r="T15" s="771" t="s">
        <v>17</v>
      </c>
      <c r="U15" s="772">
        <f t="shared" si="1"/>
        <v>100</v>
      </c>
      <c r="V15" s="771" t="s">
        <v>17</v>
      </c>
      <c r="W15" s="772">
        <f t="shared" si="2"/>
        <v>100</v>
      </c>
      <c r="X15" s="1809"/>
      <c r="Y15" s="3198" t="s">
        <v>2559</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37"/>
      <c r="M16" s="1128"/>
      <c r="N16" s="1128"/>
      <c r="O16" s="1136"/>
      <c r="P16" s="3199"/>
      <c r="Q16" s="1806"/>
      <c r="R16" s="771"/>
      <c r="S16" s="772"/>
      <c r="T16" s="771"/>
      <c r="U16" s="772"/>
      <c r="V16" s="771"/>
      <c r="W16" s="772"/>
      <c r="X16" s="1809"/>
      <c r="Y16" s="3199"/>
      <c r="Z16" s="1810"/>
      <c r="AA16" s="1807">
        <v>1</v>
      </c>
      <c r="AB16" s="1807">
        <v>1</v>
      </c>
      <c r="AC16" s="1807">
        <v>1</v>
      </c>
    </row>
    <row r="17" spans="1:29" ht="71.25">
      <c r="A17" s="428"/>
      <c r="B17" s="451" t="s">
        <v>2652</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99"/>
      <c r="Q17" s="1806" t="str">
        <f>B17</f>
        <v>商业繁华度</v>
      </c>
      <c r="R17" s="771" t="s">
        <v>17</v>
      </c>
      <c r="S17" s="772">
        <f>F17</f>
        <v>100</v>
      </c>
      <c r="T17" s="771" t="s">
        <v>17</v>
      </c>
      <c r="U17" s="772">
        <f>H17</f>
        <v>100</v>
      </c>
      <c r="V17" s="771" t="s">
        <v>17</v>
      </c>
      <c r="W17" s="772">
        <f>J17</f>
        <v>100</v>
      </c>
      <c r="X17" s="1809"/>
      <c r="Y17" s="3199"/>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37"/>
      <c r="M18" s="1128"/>
      <c r="N18" s="1128"/>
      <c r="O18" s="1136"/>
      <c r="P18" s="3199"/>
      <c r="Q18" s="1806"/>
      <c r="R18" s="771"/>
      <c r="S18" s="772"/>
      <c r="T18" s="771"/>
      <c r="U18" s="772"/>
      <c r="V18" s="771"/>
      <c r="W18" s="772"/>
      <c r="X18" s="1809"/>
      <c r="Y18" s="3199"/>
      <c r="Z18" s="1810"/>
      <c r="AA18" s="1807">
        <v>1</v>
      </c>
      <c r="AB18" s="1807">
        <v>1</v>
      </c>
      <c r="AC18" s="1807">
        <v>1</v>
      </c>
    </row>
    <row r="19" spans="1:29" ht="71.25">
      <c r="A19" s="428"/>
      <c r="B19" s="451" t="s">
        <v>2686</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99"/>
      <c r="Q19" s="1806" t="str">
        <f>B19</f>
        <v>办公集聚程度</v>
      </c>
      <c r="R19" s="771" t="s">
        <v>17</v>
      </c>
      <c r="S19" s="772">
        <f>F19</f>
        <v>100</v>
      </c>
      <c r="T19" s="771" t="s">
        <v>17</v>
      </c>
      <c r="U19" s="772">
        <f>H19</f>
        <v>100</v>
      </c>
      <c r="V19" s="771" t="s">
        <v>17</v>
      </c>
      <c r="W19" s="772">
        <f>J19</f>
        <v>100</v>
      </c>
      <c r="X19" s="1809"/>
      <c r="Y19" s="3199"/>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37"/>
      <c r="M20" s="1128"/>
      <c r="N20" s="1128"/>
      <c r="O20" s="1136"/>
      <c r="P20" s="3199"/>
      <c r="Q20" s="1806"/>
      <c r="R20" s="771"/>
      <c r="S20" s="772"/>
      <c r="T20" s="771"/>
      <c r="U20" s="772"/>
      <c r="V20" s="771"/>
      <c r="W20" s="772"/>
      <c r="X20" s="1809"/>
      <c r="Y20" s="3199"/>
      <c r="Z20" s="1810"/>
      <c r="AA20" s="1807">
        <v>1</v>
      </c>
      <c r="AB20" s="1807">
        <v>1</v>
      </c>
      <c r="AC20" s="1807">
        <v>1</v>
      </c>
    </row>
    <row r="21" spans="1:29" ht="85.5">
      <c r="A21" s="428"/>
      <c r="B21" s="451" t="s">
        <v>2708</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99"/>
      <c r="Q21" s="1806" t="str">
        <f>B21</f>
        <v>交通便捷度</v>
      </c>
      <c r="R21" s="771" t="s">
        <v>17</v>
      </c>
      <c r="S21" s="772">
        <f>F21</f>
        <v>100</v>
      </c>
      <c r="T21" s="771" t="s">
        <v>17</v>
      </c>
      <c r="U21" s="772">
        <f>H21</f>
        <v>100</v>
      </c>
      <c r="V21" s="771" t="s">
        <v>17</v>
      </c>
      <c r="W21" s="772">
        <f>J21</f>
        <v>100</v>
      </c>
      <c r="X21" s="1809"/>
      <c r="Y21" s="3199"/>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37"/>
      <c r="M22" s="1128"/>
      <c r="N22" s="1128"/>
      <c r="O22" s="1136"/>
      <c r="P22" s="3199"/>
      <c r="Q22" s="1806"/>
      <c r="R22" s="771"/>
      <c r="S22" s="772"/>
      <c r="T22" s="771"/>
      <c r="U22" s="772"/>
      <c r="V22" s="771"/>
      <c r="W22" s="772"/>
      <c r="X22" s="1809"/>
      <c r="Y22" s="3199"/>
      <c r="Z22" s="1810"/>
      <c r="AA22" s="1807">
        <v>1</v>
      </c>
      <c r="AB22" s="1807">
        <v>1</v>
      </c>
      <c r="AC22" s="1807">
        <v>1</v>
      </c>
    </row>
    <row r="23" spans="1:29" ht="15">
      <c r="A23" s="404"/>
      <c r="B23" s="451" t="s">
        <v>2747</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99"/>
      <c r="Q23" s="1806" t="str">
        <f t="shared" ref="Q23:Q37" si="8">B23</f>
        <v>区域土地利用方向</v>
      </c>
      <c r="R23" s="771" t="s">
        <v>17</v>
      </c>
      <c r="S23" s="772">
        <f>F23</f>
        <v>100</v>
      </c>
      <c r="T23" s="771" t="s">
        <v>17</v>
      </c>
      <c r="U23" s="772">
        <f>H23</f>
        <v>100</v>
      </c>
      <c r="V23" s="771" t="s">
        <v>17</v>
      </c>
      <c r="W23" s="772">
        <f>J23</f>
        <v>100</v>
      </c>
      <c r="X23" s="1809"/>
      <c r="Y23" s="3199"/>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9"/>
      <c r="L24" s="1137"/>
      <c r="M24" s="1128"/>
      <c r="N24" s="1128"/>
      <c r="O24" s="1136"/>
      <c r="P24" s="3199"/>
      <c r="Q24" s="1806"/>
      <c r="R24" s="771"/>
      <c r="S24" s="772"/>
      <c r="T24" s="771"/>
      <c r="U24" s="772"/>
      <c r="V24" s="771"/>
      <c r="W24" s="772"/>
      <c r="X24" s="1809"/>
      <c r="Y24" s="3199"/>
      <c r="Z24" s="1810"/>
      <c r="AA24" s="1807"/>
      <c r="AB24" s="1807"/>
      <c r="AC24" s="1807"/>
    </row>
    <row r="25" spans="1:29" ht="57">
      <c r="A25" s="404"/>
      <c r="B25" s="1380" t="s">
        <v>2748</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99"/>
      <c r="Q25" s="1806" t="str">
        <f t="shared" si="8"/>
        <v>自然及人文环境状况</v>
      </c>
      <c r="R25" s="771" t="s">
        <v>17</v>
      </c>
      <c r="S25" s="772">
        <f>F25</f>
        <v>100</v>
      </c>
      <c r="T25" s="771" t="s">
        <v>17</v>
      </c>
      <c r="U25" s="772">
        <f>H25</f>
        <v>100</v>
      </c>
      <c r="V25" s="771" t="s">
        <v>17</v>
      </c>
      <c r="W25" s="772">
        <f>J25</f>
        <v>100</v>
      </c>
      <c r="X25" s="1809"/>
      <c r="Y25" s="3199"/>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37"/>
      <c r="M26" s="1128"/>
      <c r="N26" s="1128"/>
      <c r="O26" s="1136"/>
      <c r="P26" s="3199"/>
      <c r="Q26" s="1806"/>
      <c r="R26" s="771"/>
      <c r="S26" s="772"/>
      <c r="T26" s="771"/>
      <c r="U26" s="772"/>
      <c r="V26" s="771"/>
      <c r="W26" s="772"/>
      <c r="X26" s="1809"/>
      <c r="Y26" s="3199"/>
      <c r="Z26" s="1810"/>
      <c r="AA26" s="1807">
        <v>1</v>
      </c>
      <c r="AB26" s="1807">
        <v>1</v>
      </c>
      <c r="AC26" s="1807">
        <v>1</v>
      </c>
    </row>
    <row r="27" spans="1:29" s="117" customFormat="1" ht="42.75">
      <c r="A27" s="649"/>
      <c r="B27" s="1380" t="s">
        <v>2653</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99"/>
      <c r="Q27" s="1791" t="str">
        <f t="shared" si="8"/>
        <v>公共配套设施</v>
      </c>
      <c r="R27" s="767" t="s">
        <v>17</v>
      </c>
      <c r="S27" s="768">
        <f>F27</f>
        <v>100</v>
      </c>
      <c r="T27" s="767" t="s">
        <v>17</v>
      </c>
      <c r="U27" s="768">
        <f>H27</f>
        <v>100</v>
      </c>
      <c r="V27" s="767" t="s">
        <v>17</v>
      </c>
      <c r="W27" s="768">
        <f>J27</f>
        <v>100</v>
      </c>
      <c r="X27" s="769"/>
      <c r="Y27" s="3199"/>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29"/>
      <c r="M28" s="1130"/>
      <c r="N28" s="1130"/>
      <c r="O28" s="1131"/>
      <c r="P28" s="3199"/>
      <c r="Q28" s="1791"/>
      <c r="R28" s="767"/>
      <c r="S28" s="768"/>
      <c r="T28" s="767"/>
      <c r="U28" s="768"/>
      <c r="V28" s="767"/>
      <c r="W28" s="768"/>
      <c r="X28" s="769"/>
      <c r="Y28" s="3199"/>
      <c r="Z28" s="55"/>
      <c r="AA28" s="1807">
        <v>1</v>
      </c>
      <c r="AB28" s="1807">
        <v>1</v>
      </c>
      <c r="AC28" s="1807">
        <v>1</v>
      </c>
    </row>
    <row r="29" spans="1:29" s="117" customFormat="1" ht="28.5">
      <c r="A29" s="649"/>
      <c r="B29" s="1380" t="s">
        <v>2654</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99"/>
      <c r="Q29" s="1791" t="str">
        <f t="shared" ref="Q29" si="9">B29</f>
        <v>基础设施水平</v>
      </c>
      <c r="R29" s="767" t="s">
        <v>17</v>
      </c>
      <c r="S29" s="768">
        <f>F29</f>
        <v>100</v>
      </c>
      <c r="T29" s="767" t="s">
        <v>17</v>
      </c>
      <c r="U29" s="768">
        <f>H29</f>
        <v>100</v>
      </c>
      <c r="V29" s="767" t="s">
        <v>17</v>
      </c>
      <c r="W29" s="768">
        <f>J29</f>
        <v>100</v>
      </c>
      <c r="X29" s="769"/>
      <c r="Y29" s="3199"/>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29"/>
      <c r="M30" s="1130"/>
      <c r="N30" s="1130"/>
      <c r="O30" s="1131"/>
      <c r="P30" s="3199"/>
      <c r="Q30" s="1791"/>
      <c r="R30" s="767"/>
      <c r="S30" s="768"/>
      <c r="T30" s="767"/>
      <c r="U30" s="768"/>
      <c r="V30" s="767"/>
      <c r="W30" s="768"/>
      <c r="X30" s="769"/>
      <c r="Y30" s="3199"/>
      <c r="Z30" s="55"/>
      <c r="AA30" s="1807">
        <v>1</v>
      </c>
      <c r="AB30" s="1807">
        <v>1</v>
      </c>
      <c r="AC30" s="1807">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99"/>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199"/>
      <c r="Z31" s="1810" t="str">
        <f t="shared" ref="Z31:Z45" si="13">Q31</f>
        <v>临街状况</v>
      </c>
      <c r="AA31" s="1807">
        <f t="shared" si="3"/>
        <v>1</v>
      </c>
      <c r="AB31" s="1807">
        <f t="shared" si="4"/>
        <v>1</v>
      </c>
      <c r="AC31" s="1807">
        <f t="shared" si="5"/>
        <v>1</v>
      </c>
    </row>
    <row r="32" spans="1:29" ht="27">
      <c r="A32" s="428"/>
      <c r="B32" s="1380"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99"/>
      <c r="Q32" s="1806" t="str">
        <f t="shared" si="8"/>
        <v>毗邻道路的类型与等级</v>
      </c>
      <c r="R32" s="771" t="s">
        <v>17</v>
      </c>
      <c r="S32" s="772">
        <f t="shared" si="10"/>
        <v>100</v>
      </c>
      <c r="T32" s="771" t="s">
        <v>17</v>
      </c>
      <c r="U32" s="772">
        <f t="shared" si="11"/>
        <v>100</v>
      </c>
      <c r="V32" s="771" t="s">
        <v>17</v>
      </c>
      <c r="W32" s="772">
        <f t="shared" si="12"/>
        <v>100</v>
      </c>
      <c r="X32" s="1809"/>
      <c r="Y32" s="3199"/>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7"/>
      <c r="M33" s="1128"/>
      <c r="N33" s="1128"/>
      <c r="O33" s="1136"/>
      <c r="P33" s="3199"/>
      <c r="Q33" s="1806"/>
      <c r="R33" s="771"/>
      <c r="S33" s="772"/>
      <c r="T33" s="771"/>
      <c r="U33" s="772"/>
      <c r="V33" s="771"/>
      <c r="W33" s="772"/>
      <c r="X33" s="1809"/>
      <c r="Y33" s="3199"/>
      <c r="Z33" s="1810"/>
      <c r="AA33" s="1807">
        <v>1</v>
      </c>
      <c r="AB33" s="1807">
        <v>1</v>
      </c>
      <c r="AC33" s="1807">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99"/>
      <c r="Q34" s="1806" t="str">
        <f t="shared" si="8"/>
        <v>土地级别</v>
      </c>
      <c r="R34" s="771" t="s">
        <v>17</v>
      </c>
      <c r="S34" s="772">
        <f t="shared" si="10"/>
        <v>100</v>
      </c>
      <c r="T34" s="771" t="s">
        <v>17</v>
      </c>
      <c r="U34" s="772">
        <f t="shared" si="11"/>
        <v>100</v>
      </c>
      <c r="V34" s="771" t="s">
        <v>17</v>
      </c>
      <c r="W34" s="772">
        <f t="shared" si="12"/>
        <v>100</v>
      </c>
      <c r="X34" s="1809"/>
      <c r="Y34" s="3199"/>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99"/>
      <c r="Q35" s="1806">
        <f t="shared" si="8"/>
        <v>111</v>
      </c>
      <c r="R35" s="771" t="s">
        <v>17</v>
      </c>
      <c r="S35" s="772">
        <f t="shared" si="10"/>
        <v>100</v>
      </c>
      <c r="T35" s="771" t="s">
        <v>17</v>
      </c>
      <c r="U35" s="772">
        <f t="shared" si="11"/>
        <v>100</v>
      </c>
      <c r="V35" s="771" t="s">
        <v>17</v>
      </c>
      <c r="W35" s="772">
        <f t="shared" si="12"/>
        <v>100</v>
      </c>
      <c r="X35" s="1809"/>
      <c r="Y35" s="3199"/>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56" t="s">
        <v>2564</v>
      </c>
      <c r="Q36" s="1806">
        <f t="shared" si="8"/>
        <v>111</v>
      </c>
      <c r="R36" s="771" t="s">
        <v>17</v>
      </c>
      <c r="S36" s="772">
        <f t="shared" si="10"/>
        <v>100</v>
      </c>
      <c r="T36" s="771" t="s">
        <v>17</v>
      </c>
      <c r="U36" s="772">
        <f t="shared" si="11"/>
        <v>100</v>
      </c>
      <c r="V36" s="771" t="s">
        <v>17</v>
      </c>
      <c r="W36" s="772">
        <f t="shared" si="12"/>
        <v>100</v>
      </c>
      <c r="X36" s="1809"/>
      <c r="Y36" s="3203" t="s">
        <v>2564</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03"/>
      <c r="Q37" s="1806">
        <f t="shared" si="8"/>
        <v>111</v>
      </c>
      <c r="R37" s="774" t="s">
        <v>17</v>
      </c>
      <c r="S37" s="775">
        <f t="shared" si="10"/>
        <v>100</v>
      </c>
      <c r="T37" s="774" t="s">
        <v>17</v>
      </c>
      <c r="U37" s="775">
        <f t="shared" si="11"/>
        <v>100</v>
      </c>
      <c r="V37" s="774" t="s">
        <v>17</v>
      </c>
      <c r="W37" s="775">
        <f t="shared" si="12"/>
        <v>100</v>
      </c>
      <c r="X37" s="776"/>
      <c r="Y37" s="3203"/>
      <c r="Z37" s="777">
        <f t="shared" si="13"/>
        <v>111</v>
      </c>
      <c r="AA37" s="1807">
        <f t="shared" si="3"/>
        <v>1</v>
      </c>
      <c r="AB37" s="1807">
        <f t="shared" si="4"/>
        <v>1</v>
      </c>
      <c r="AC37" s="1807">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03"/>
      <c r="Q38" s="1806" t="str">
        <f>B38</f>
        <v>宗地面积</v>
      </c>
      <c r="R38" s="771" t="s">
        <v>17</v>
      </c>
      <c r="S38" s="772" t="e">
        <f t="shared" si="10"/>
        <v>#N/A</v>
      </c>
      <c r="T38" s="771" t="s">
        <v>17</v>
      </c>
      <c r="U38" s="772" t="e">
        <f t="shared" si="11"/>
        <v>#N/A</v>
      </c>
      <c r="V38" s="771" t="s">
        <v>17</v>
      </c>
      <c r="W38" s="772" t="e">
        <f t="shared" si="12"/>
        <v>#N/A</v>
      </c>
      <c r="X38" s="1809"/>
      <c r="Y38" s="3203"/>
      <c r="Z38" s="1810" t="str">
        <f t="shared" si="13"/>
        <v>宗地面积</v>
      </c>
      <c r="AA38" s="1807" t="e">
        <f t="shared" si="3"/>
        <v>#N/A</v>
      </c>
      <c r="AB38" s="1807" t="e">
        <f t="shared" si="4"/>
        <v>#N/A</v>
      </c>
      <c r="AC38" s="1807" t="e">
        <f t="shared" si="5"/>
        <v>#N/A</v>
      </c>
    </row>
    <row r="39" spans="1:29" ht="15">
      <c r="A39" s="472"/>
      <c r="B39" s="422" t="s">
        <v>2751</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203"/>
      <c r="Q39" s="1806" t="str">
        <f t="shared" ref="Q39:Q45" si="14">B39</f>
        <v>宗地形状</v>
      </c>
      <c r="R39" s="771" t="s">
        <v>17</v>
      </c>
      <c r="S39" s="772">
        <f t="shared" si="10"/>
        <v>100</v>
      </c>
      <c r="T39" s="771" t="s">
        <v>17</v>
      </c>
      <c r="U39" s="772">
        <f t="shared" si="11"/>
        <v>100</v>
      </c>
      <c r="V39" s="771" t="s">
        <v>17</v>
      </c>
      <c r="W39" s="772">
        <f t="shared" si="12"/>
        <v>100</v>
      </c>
      <c r="X39" s="1809"/>
      <c r="Y39" s="3203"/>
      <c r="Z39" s="1810" t="str">
        <f t="shared" si="13"/>
        <v>宗地形状</v>
      </c>
      <c r="AA39" s="1807">
        <f t="shared" si="3"/>
        <v>1</v>
      </c>
      <c r="AB39" s="1807">
        <f t="shared" si="4"/>
        <v>1</v>
      </c>
      <c r="AC39" s="1807">
        <f t="shared" si="5"/>
        <v>1</v>
      </c>
    </row>
    <row r="40" spans="1:29" ht="15">
      <c r="A40" s="472"/>
      <c r="B40" s="422" t="s">
        <v>2752</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203"/>
      <c r="Q40" s="1806" t="str">
        <f t="shared" si="14"/>
        <v>临街宽度及深度</v>
      </c>
      <c r="R40" s="771" t="s">
        <v>17</v>
      </c>
      <c r="S40" s="772">
        <f t="shared" si="10"/>
        <v>100</v>
      </c>
      <c r="T40" s="771" t="s">
        <v>17</v>
      </c>
      <c r="U40" s="772">
        <f t="shared" si="11"/>
        <v>100</v>
      </c>
      <c r="V40" s="771" t="s">
        <v>17</v>
      </c>
      <c r="W40" s="772">
        <f t="shared" si="12"/>
        <v>100</v>
      </c>
      <c r="X40" s="1809"/>
      <c r="Y40" s="3203"/>
      <c r="Z40" s="1810" t="str">
        <f t="shared" si="13"/>
        <v>临街宽度及深度</v>
      </c>
      <c r="AA40" s="1807">
        <f t="shared" si="3"/>
        <v>1</v>
      </c>
      <c r="AB40" s="1807">
        <f t="shared" si="4"/>
        <v>1</v>
      </c>
      <c r="AC40" s="1807">
        <f t="shared" si="5"/>
        <v>1</v>
      </c>
    </row>
    <row r="41" spans="1:29" s="117" customFormat="1" ht="15">
      <c r="A41" s="473"/>
      <c r="B41" s="422" t="s">
        <v>2753</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203"/>
      <c r="Q41" s="1806" t="str">
        <f t="shared" si="14"/>
        <v>宗地开发程度</v>
      </c>
      <c r="R41" s="767" t="s">
        <v>17</v>
      </c>
      <c r="S41" s="768">
        <f t="shared" si="10"/>
        <v>100</v>
      </c>
      <c r="T41" s="767" t="s">
        <v>17</v>
      </c>
      <c r="U41" s="768">
        <f t="shared" si="11"/>
        <v>100</v>
      </c>
      <c r="V41" s="767" t="s">
        <v>17</v>
      </c>
      <c r="W41" s="768">
        <f t="shared" si="12"/>
        <v>100</v>
      </c>
      <c r="X41" s="769"/>
      <c r="Y41" s="3203"/>
      <c r="Z41" s="55" t="str">
        <f t="shared" si="13"/>
        <v>宗地开发程度</v>
      </c>
      <c r="AA41" s="770">
        <f t="shared" si="3"/>
        <v>1</v>
      </c>
      <c r="AB41" s="770">
        <f t="shared" si="4"/>
        <v>1</v>
      </c>
      <c r="AC41" s="770">
        <f t="shared" si="5"/>
        <v>1</v>
      </c>
    </row>
    <row r="42" spans="1:29" ht="15">
      <c r="A42" s="472"/>
      <c r="B42" s="422" t="s">
        <v>2754</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203" t="s">
        <v>2564</v>
      </c>
      <c r="Q42" s="1806" t="str">
        <f t="shared" si="14"/>
        <v>工程地质条件</v>
      </c>
      <c r="R42" s="771" t="s">
        <v>17</v>
      </c>
      <c r="S42" s="772">
        <f t="shared" si="10"/>
        <v>100</v>
      </c>
      <c r="T42" s="771" t="s">
        <v>17</v>
      </c>
      <c r="U42" s="772">
        <f t="shared" si="11"/>
        <v>100</v>
      </c>
      <c r="V42" s="771" t="s">
        <v>17</v>
      </c>
      <c r="W42" s="772">
        <f t="shared" si="12"/>
        <v>100</v>
      </c>
      <c r="X42" s="1809"/>
      <c r="Y42" s="3203" t="s">
        <v>2564</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03"/>
      <c r="Q43" s="1806">
        <f t="shared" si="14"/>
        <v>111</v>
      </c>
      <c r="R43" s="771" t="s">
        <v>17</v>
      </c>
      <c r="S43" s="772">
        <f t="shared" si="10"/>
        <v>100</v>
      </c>
      <c r="T43" s="771" t="s">
        <v>17</v>
      </c>
      <c r="U43" s="772">
        <f t="shared" si="11"/>
        <v>100</v>
      </c>
      <c r="V43" s="771" t="s">
        <v>17</v>
      </c>
      <c r="W43" s="772">
        <f t="shared" si="12"/>
        <v>100</v>
      </c>
      <c r="X43" s="1809"/>
      <c r="Y43" s="3203"/>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03"/>
      <c r="Q44" s="1806">
        <f t="shared" si="14"/>
        <v>111</v>
      </c>
      <c r="R44" s="771" t="s">
        <v>17</v>
      </c>
      <c r="S44" s="772">
        <f t="shared" si="10"/>
        <v>100</v>
      </c>
      <c r="T44" s="771" t="s">
        <v>17</v>
      </c>
      <c r="U44" s="772">
        <f t="shared" si="11"/>
        <v>100</v>
      </c>
      <c r="V44" s="771" t="s">
        <v>17</v>
      </c>
      <c r="W44" s="772">
        <f t="shared" si="12"/>
        <v>100</v>
      </c>
      <c r="X44" s="1809"/>
      <c r="Y44" s="3203"/>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03"/>
      <c r="Q45" s="1806">
        <f t="shared" si="14"/>
        <v>111</v>
      </c>
      <c r="R45" s="774" t="s">
        <v>17</v>
      </c>
      <c r="S45" s="775">
        <f t="shared" si="10"/>
        <v>100</v>
      </c>
      <c r="T45" s="774" t="s">
        <v>17</v>
      </c>
      <c r="U45" s="775">
        <f t="shared" si="11"/>
        <v>100</v>
      </c>
      <c r="V45" s="774" t="s">
        <v>17</v>
      </c>
      <c r="W45" s="775">
        <f t="shared" si="12"/>
        <v>100</v>
      </c>
      <c r="X45" s="776"/>
      <c r="Y45" s="3203"/>
      <c r="Z45" s="777">
        <f t="shared" si="13"/>
        <v>111</v>
      </c>
      <c r="AA45" s="1807">
        <f t="shared" si="3"/>
        <v>1</v>
      </c>
      <c r="AB45" s="1807">
        <f t="shared" si="4"/>
        <v>1</v>
      </c>
      <c r="AC45" s="1807">
        <f t="shared" si="5"/>
        <v>1</v>
      </c>
    </row>
    <row r="46" spans="1:29" ht="15">
      <c r="A46" s="479" t="s">
        <v>2719</v>
      </c>
      <c r="B46" s="2701" t="s">
        <v>2755</v>
      </c>
      <c r="C46" s="682" t="s">
        <v>1</v>
      </c>
      <c r="D46" s="481"/>
      <c r="E46" s="482"/>
      <c r="F46" s="483"/>
      <c r="G46" s="484"/>
      <c r="H46" s="485"/>
      <c r="I46" s="482"/>
      <c r="J46" s="485"/>
      <c r="K46" s="780"/>
      <c r="L46" s="1140"/>
      <c r="M46" s="1141"/>
      <c r="N46" s="1128"/>
      <c r="O46" s="1141"/>
      <c r="P46" s="3196" t="str">
        <f>A46</f>
        <v>成交单价</v>
      </c>
      <c r="Q46" s="3196"/>
      <c r="R46" s="3227">
        <f>E46</f>
        <v>0</v>
      </c>
      <c r="S46" s="3227"/>
      <c r="T46" s="3227">
        <f>G46</f>
        <v>0</v>
      </c>
      <c r="U46" s="3227"/>
      <c r="V46" s="3227">
        <f>I46</f>
        <v>0</v>
      </c>
      <c r="W46" s="3227"/>
      <c r="X46" s="756"/>
      <c r="Y46" s="778"/>
      <c r="Z46" s="756"/>
      <c r="AA46" s="756"/>
      <c r="AB46" s="756"/>
      <c r="AC46" s="756"/>
    </row>
    <row r="47" spans="1:29" ht="15.75" thickBot="1">
      <c r="A47" s="486" t="s">
        <v>2668</v>
      </c>
      <c r="B47" s="683"/>
      <c r="C47" s="490" t="e">
        <f>R48</f>
        <v>#DIV/0!</v>
      </c>
      <c r="D47" s="489"/>
      <c r="E47" s="490" t="e">
        <f>R47</f>
        <v>#DIV/0!</v>
      </c>
      <c r="F47" s="491"/>
      <c r="G47" s="488" t="e">
        <f>T47</f>
        <v>#DIV/0!</v>
      </c>
      <c r="H47" s="489"/>
      <c r="I47" s="490" t="e">
        <f>V47</f>
        <v>#DIV/0!</v>
      </c>
      <c r="J47" s="489"/>
      <c r="K47" s="781"/>
      <c r="L47" s="1140"/>
      <c r="M47" s="1141"/>
      <c r="N47" s="1141"/>
      <c r="O47" s="1141"/>
      <c r="P47" s="3196" t="str">
        <f>A47</f>
        <v>比较价值（元/平方米）</v>
      </c>
      <c r="Q47" s="3196"/>
      <c r="R47" s="3264" t="e">
        <f>ROUND(PRODUCT(R46,AA7:AA45),0)</f>
        <v>#DIV/0!</v>
      </c>
      <c r="S47" s="3264"/>
      <c r="T47" s="3264" t="e">
        <f>ROUND(PRODUCT(T46,AB7:AB45),0)</f>
        <v>#DIV/0!</v>
      </c>
      <c r="U47" s="3264"/>
      <c r="V47" s="3264" t="e">
        <f>ROUND(PRODUCT(V46,AC7:AC45),0)</f>
        <v>#DIV/0!</v>
      </c>
      <c r="W47" s="3264"/>
      <c r="X47" s="756"/>
      <c r="Y47" s="756"/>
      <c r="Z47" s="756"/>
      <c r="AA47" s="756"/>
      <c r="AB47" s="756"/>
      <c r="AC47" s="756"/>
    </row>
    <row r="48" spans="1:29" ht="15.75" thickBot="1">
      <c r="A48" s="492" t="s">
        <v>2756</v>
      </c>
      <c r="B48" s="493"/>
      <c r="C48" s="494" t="e">
        <f>R48</f>
        <v>#DIV/0!</v>
      </c>
      <c r="D48" s="494"/>
      <c r="E48" s="494"/>
      <c r="F48" s="494"/>
      <c r="G48" s="494"/>
      <c r="H48" s="494"/>
      <c r="I48" s="494"/>
      <c r="J48" s="494"/>
      <c r="K48" s="782"/>
      <c r="L48" s="1140"/>
      <c r="M48" s="1141"/>
      <c r="N48" s="1141"/>
      <c r="O48" s="1141"/>
      <c r="P48" s="3193" t="str">
        <f>A48</f>
        <v>估价对象XX用房的比较价值（楼面单价，元/平方米）</v>
      </c>
      <c r="Q48" s="3194"/>
      <c r="R48" s="3265" t="e">
        <f>ROUND(AVERAGE(R47:V47),0)</f>
        <v>#DIV/0!</v>
      </c>
      <c r="S48" s="3265"/>
      <c r="T48" s="3265"/>
      <c r="U48" s="3265"/>
      <c r="V48" s="3265"/>
      <c r="W48" s="3265"/>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4" t="s">
        <v>2757</v>
      </c>
      <c r="B55" s="685" t="s">
        <v>2758</v>
      </c>
      <c r="C55" s="2702" t="s">
        <v>2759</v>
      </c>
      <c r="D55" s="2703" t="s">
        <v>2760</v>
      </c>
      <c r="E55" s="686" t="s">
        <v>2761</v>
      </c>
      <c r="F55" s="1104" t="s">
        <v>2762</v>
      </c>
      <c r="G55" s="3211" t="s">
        <v>2763</v>
      </c>
      <c r="H55" s="3266"/>
      <c r="I55" s="144" t="s">
        <v>2764</v>
      </c>
      <c r="J55" s="2704">
        <f>项目基本情况!F35</f>
        <v>0</v>
      </c>
      <c r="K55" s="2705" t="s">
        <v>2765</v>
      </c>
      <c r="L55" s="1103"/>
      <c r="M55" s="1141"/>
      <c r="N55" s="1141"/>
      <c r="O55" s="1141"/>
    </row>
    <row r="56" spans="1:15" s="692" customFormat="1">
      <c r="A56" s="688" t="s">
        <v>2766</v>
      </c>
      <c r="B56" s="689" t="e">
        <f>C48</f>
        <v>#DIV/0!</v>
      </c>
      <c r="C56" s="690">
        <v>1</v>
      </c>
      <c r="D56" s="1160">
        <v>1</v>
      </c>
      <c r="E56" s="690">
        <f>'数据-汇总表'!E8+'数据-汇总表'!E9</f>
        <v>25527.419999999991</v>
      </c>
      <c r="F56" s="1100" t="e">
        <f t="shared" ref="F56:F65" si="15">ROUND(B56*E56/10000,0)</f>
        <v>#DIV/0!</v>
      </c>
      <c r="G56" s="3207"/>
      <c r="H56" s="3196"/>
      <c r="I56" s="1105">
        <v>1</v>
      </c>
      <c r="J56" s="1108">
        <v>1</v>
      </c>
      <c r="K56" s="1142"/>
      <c r="L56" s="938"/>
      <c r="M56" s="938"/>
      <c r="N56" s="938"/>
      <c r="O56" s="938"/>
    </row>
    <row r="57" spans="1:15" s="692" customFormat="1">
      <c r="A57" s="693" t="s">
        <v>2767</v>
      </c>
      <c r="B57" s="262" t="e">
        <f>ROUND($C$48*C57*D57,0)</f>
        <v>#DIV/0!</v>
      </c>
      <c r="C57" s="200">
        <f t="shared" ref="C57:C65" si="16">IF($C$55="北京市系数",I57,J57)</f>
        <v>0</v>
      </c>
      <c r="D57" s="1161">
        <v>0.25</v>
      </c>
      <c r="E57" s="694"/>
      <c r="F57" s="1100" t="e">
        <f t="shared" si="15"/>
        <v>#DIV/0!</v>
      </c>
      <c r="G57" s="3267" t="s">
        <v>2768</v>
      </c>
      <c r="H57" s="1101">
        <f>项目基本情况!B37</f>
        <v>0</v>
      </c>
      <c r="I57" s="1105">
        <f>SUMIF(修正!A45:A56,H57,修正!B45:B56)</f>
        <v>0</v>
      </c>
      <c r="J57" s="1109"/>
      <c r="K57" s="1141"/>
      <c r="L57" s="938"/>
      <c r="M57" s="938"/>
      <c r="N57" s="938"/>
      <c r="O57" s="938"/>
    </row>
    <row r="58" spans="1:15" s="692" customFormat="1">
      <c r="A58" s="693" t="s">
        <v>2769</v>
      </c>
      <c r="B58" s="262" t="e">
        <f t="shared" ref="B58:B65" si="17">ROUND($C$48*C58*D58,0)</f>
        <v>#DIV/0!</v>
      </c>
      <c r="C58" s="200">
        <f t="shared" si="16"/>
        <v>0</v>
      </c>
      <c r="D58" s="1161">
        <v>0.25</v>
      </c>
      <c r="E58" s="694"/>
      <c r="F58" s="1100" t="e">
        <f t="shared" si="15"/>
        <v>#DIV/0!</v>
      </c>
      <c r="G58" s="3267"/>
      <c r="H58" s="1101">
        <f>项目基本情况!B37</f>
        <v>0</v>
      </c>
      <c r="I58" s="1105">
        <f>SUMIF(修正!A45:A56,H58,修正!C45:C56)</f>
        <v>0</v>
      </c>
      <c r="J58" s="1109"/>
      <c r="K58" s="1142"/>
      <c r="L58" s="938"/>
      <c r="M58" s="938"/>
      <c r="N58" s="938"/>
      <c r="O58" s="938"/>
    </row>
    <row r="59" spans="1:15" s="692" customFormat="1">
      <c r="A59" s="693" t="s">
        <v>2770</v>
      </c>
      <c r="B59" s="262" t="e">
        <f t="shared" si="17"/>
        <v>#DIV/0!</v>
      </c>
      <c r="C59" s="200">
        <f t="shared" si="16"/>
        <v>0</v>
      </c>
      <c r="D59" s="1161">
        <v>0.25</v>
      </c>
      <c r="E59" s="694"/>
      <c r="F59" s="1100" t="e">
        <f t="shared" si="15"/>
        <v>#DIV/0!</v>
      </c>
      <c r="G59" s="3267"/>
      <c r="H59" s="1101">
        <f>项目基本情况!B37</f>
        <v>0</v>
      </c>
      <c r="I59" s="1105">
        <f>SUMIF(修正!A45:A56,H59,修正!D45:D56)</f>
        <v>0</v>
      </c>
      <c r="J59" s="1109"/>
      <c r="K59" s="1141"/>
      <c r="L59" s="938"/>
      <c r="M59" s="938"/>
      <c r="N59" s="938"/>
      <c r="O59" s="938"/>
    </row>
    <row r="60" spans="1:15" s="692" customFormat="1">
      <c r="A60" s="693" t="s">
        <v>2771</v>
      </c>
      <c r="B60" s="262" t="e">
        <f t="shared" si="17"/>
        <v>#DIV/0!</v>
      </c>
      <c r="C60" s="200">
        <f t="shared" si="16"/>
        <v>0</v>
      </c>
      <c r="D60" s="1161">
        <v>0.25</v>
      </c>
      <c r="E60" s="694"/>
      <c r="F60" s="1100" t="e">
        <f t="shared" si="15"/>
        <v>#DIV/0!</v>
      </c>
      <c r="G60" s="3267"/>
      <c r="H60" s="1101">
        <f>项目基本情况!B37</f>
        <v>0</v>
      </c>
      <c r="I60" s="1105">
        <f>SUMIF(修正!A45:A56,H60,修正!E45:E56)</f>
        <v>0</v>
      </c>
      <c r="J60" s="1109"/>
      <c r="K60" s="1142"/>
      <c r="L60" s="938"/>
      <c r="M60" s="938"/>
      <c r="N60" s="938"/>
      <c r="O60" s="938"/>
    </row>
    <row r="61" spans="1:15" s="692" customFormat="1">
      <c r="A61" s="693" t="s">
        <v>2772</v>
      </c>
      <c r="B61" s="262" t="e">
        <f t="shared" si="17"/>
        <v>#DIV/0!</v>
      </c>
      <c r="C61" s="200">
        <f t="shared" si="16"/>
        <v>0</v>
      </c>
      <c r="D61" s="1161">
        <v>0.25</v>
      </c>
      <c r="E61" s="261">
        <f>'数据-汇总表'!E11</f>
        <v>4743.7299999999996</v>
      </c>
      <c r="F61" s="1100" t="e">
        <f t="shared" si="15"/>
        <v>#DIV/0!</v>
      </c>
      <c r="G61" s="2706" t="s">
        <v>2773</v>
      </c>
      <c r="H61" s="1101">
        <f>项目基本情况!C37</f>
        <v>0</v>
      </c>
      <c r="I61" s="1105">
        <f>SUMIF(修正!A45:A56,H61,修正!F45:F56)</f>
        <v>0</v>
      </c>
      <c r="J61" s="1109"/>
      <c r="K61" s="1141"/>
      <c r="L61" s="938"/>
      <c r="M61" s="938"/>
      <c r="N61" s="938"/>
      <c r="O61" s="938"/>
    </row>
    <row r="62" spans="1:15" s="692" customFormat="1">
      <c r="A62" s="693" t="s">
        <v>2774</v>
      </c>
      <c r="B62" s="262" t="e">
        <f t="shared" si="17"/>
        <v>#DIV/0!</v>
      </c>
      <c r="C62" s="200">
        <f t="shared" si="16"/>
        <v>0</v>
      </c>
      <c r="D62" s="1161">
        <v>0.25</v>
      </c>
      <c r="E62" s="261">
        <f>'数据-汇总表'!E12</f>
        <v>0</v>
      </c>
      <c r="F62" s="1100" t="e">
        <f t="shared" si="15"/>
        <v>#DIV/0!</v>
      </c>
      <c r="G62" s="1106" t="s">
        <v>2775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2776</v>
      </c>
      <c r="B63" s="262" t="e">
        <f t="shared" si="17"/>
        <v>#DIV/0!</v>
      </c>
      <c r="C63" s="200">
        <f t="shared" si="16"/>
        <v>0</v>
      </c>
      <c r="D63" s="1161">
        <v>0.25</v>
      </c>
      <c r="E63" s="261">
        <f>'数据-汇总表'!E13</f>
        <v>2252.83</v>
      </c>
      <c r="F63" s="1100" t="e">
        <f t="shared" si="15"/>
        <v>#DIV/0!</v>
      </c>
      <c r="G63" s="1106" t="s">
        <v>2777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2778</v>
      </c>
      <c r="B64" s="262" t="e">
        <f t="shared" si="17"/>
        <v>#DIV/0!</v>
      </c>
      <c r="C64" s="200">
        <f t="shared" si="16"/>
        <v>0</v>
      </c>
      <c r="D64" s="1161">
        <v>0.25</v>
      </c>
      <c r="E64" s="261">
        <f>'数据-汇总表'!E14</f>
        <v>0</v>
      </c>
      <c r="F64" s="1100" t="e">
        <f t="shared" si="15"/>
        <v>#DIV/0!</v>
      </c>
      <c r="G64" s="2706" t="s">
        <v>2768</v>
      </c>
      <c r="H64" s="1101">
        <f>项目基本情况!B37</f>
        <v>0</v>
      </c>
      <c r="I64" s="1105">
        <f>SUMIF(修正!A45:A56,H64,修正!H45:H56)</f>
        <v>0</v>
      </c>
      <c r="J64" s="1109"/>
      <c r="K64" s="1142"/>
      <c r="L64" s="938"/>
      <c r="M64" s="938"/>
      <c r="N64" s="938"/>
      <c r="O64" s="938"/>
    </row>
    <row r="65" spans="1:17" s="692" customFormat="1" ht="15" thickBot="1">
      <c r="A65" s="693" t="s">
        <v>2779</v>
      </c>
      <c r="B65" s="262" t="e">
        <f t="shared" si="17"/>
        <v>#DIV/0!</v>
      </c>
      <c r="C65" s="200">
        <f t="shared" si="16"/>
        <v>0</v>
      </c>
      <c r="D65" s="1161">
        <v>0.25</v>
      </c>
      <c r="E65" s="261">
        <f>'数据-汇总表'!E15</f>
        <v>0</v>
      </c>
      <c r="F65" s="1100" t="e">
        <f t="shared" si="15"/>
        <v>#DIV/0!</v>
      </c>
      <c r="G65" s="2707" t="s">
        <v>2773</v>
      </c>
      <c r="H65" s="1111">
        <f>项目基本情况!C37</f>
        <v>0</v>
      </c>
      <c r="I65" s="1107">
        <f>SUMIF(修正!A45:A56,H65,修正!H45:H56)</f>
        <v>0</v>
      </c>
      <c r="J65" s="1110"/>
      <c r="K65" s="1141"/>
      <c r="L65" s="938"/>
      <c r="M65" s="938"/>
      <c r="N65" s="938"/>
      <c r="O65" s="938"/>
    </row>
    <row r="66" spans="1:17" s="692" customFormat="1" ht="13.5" thickBot="1">
      <c r="A66" s="695" t="s">
        <v>2780</v>
      </c>
      <c r="B66" s="696" t="s">
        <v>28</v>
      </c>
      <c r="C66" s="696" t="s">
        <v>29</v>
      </c>
      <c r="D66" s="696" t="s">
        <v>1026</v>
      </c>
      <c r="E66" s="696">
        <f>IF(B46="楼面地价",SUM(E56:E65),'数据-汇总表'!D3)</f>
        <v>32523.979999999989</v>
      </c>
      <c r="F66" s="697"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2673</v>
      </c>
      <c r="B69" s="756"/>
      <c r="C69" s="761"/>
      <c r="D69" s="761"/>
      <c r="E69" s="761"/>
      <c r="F69" s="762"/>
      <c r="G69" s="762"/>
      <c r="H69" s="761"/>
      <c r="I69" s="761"/>
      <c r="J69" s="1156"/>
      <c r="K69" s="1157"/>
      <c r="L69" s="1158"/>
      <c r="M69" s="1156"/>
      <c r="N69" s="1156"/>
      <c r="O69" s="1156"/>
      <c r="P69" s="503"/>
      <c r="Q69" s="504"/>
    </row>
    <row r="70" spans="1:17" s="508" customFormat="1" ht="15">
      <c r="A70" s="2708" t="s">
        <v>2781</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09" t="s">
        <v>2782</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3"/>
      <c r="N71" s="595"/>
      <c r="O71" s="1564"/>
      <c r="P71" s="504"/>
    </row>
    <row r="72" spans="1:17" s="117" customFormat="1" ht="15.75" thickBot="1">
      <c r="A72" s="515" t="s">
        <v>2584</v>
      </c>
      <c r="B72" s="516"/>
      <c r="C72" s="517"/>
      <c r="D72" s="518"/>
      <c r="E72" s="518"/>
      <c r="F72" s="518"/>
      <c r="G72" s="518"/>
      <c r="H72" s="518"/>
      <c r="I72" s="518"/>
      <c r="J72" s="518"/>
      <c r="K72" s="518"/>
      <c r="L72" s="518"/>
      <c r="M72" s="519"/>
      <c r="N72" s="518"/>
      <c r="O72" s="1159"/>
      <c r="P72" s="504"/>
      <c r="Q72" s="504"/>
    </row>
    <row r="73" spans="1:17" s="117" customFormat="1" ht="15">
      <c r="A73" s="521" t="s">
        <v>2549</v>
      </c>
      <c r="B73" s="510"/>
      <c r="C73" s="522" t="s">
        <v>2651</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2587</v>
      </c>
      <c r="B75" s="528" t="s">
        <v>2553</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2556</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1"/>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2690</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2749</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2791</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2792</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2793</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2794</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2326</v>
      </c>
      <c r="B2" s="671"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2328</v>
      </c>
      <c r="B3" s="609" t="e">
        <f>ROUND(IF(D3="",B2*10000/'数据-汇总表'!E3,B2*10000/D3),0)</f>
        <v>#DIV/0!</v>
      </c>
      <c r="C3" s="247" t="s">
        <v>2745</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2644</v>
      </c>
      <c r="B4" s="402"/>
      <c r="C4" s="3211" t="s">
        <v>2645</v>
      </c>
      <c r="D4" s="3212"/>
      <c r="E4" s="3213" t="s">
        <v>2646</v>
      </c>
      <c r="F4" s="3214"/>
      <c r="G4" s="3211" t="s">
        <v>2647</v>
      </c>
      <c r="H4" s="3212"/>
      <c r="I4" s="3211" t="s">
        <v>2648</v>
      </c>
      <c r="J4" s="3212"/>
      <c r="K4" s="610" t="s">
        <v>2649</v>
      </c>
      <c r="L4" s="1127"/>
      <c r="M4" s="1128"/>
      <c r="N4" s="1128"/>
      <c r="O4" s="1128"/>
      <c r="P4" s="3215" t="s">
        <v>2650</v>
      </c>
      <c r="Q4" s="3216"/>
      <c r="R4" s="3221" t="s">
        <v>2646</v>
      </c>
      <c r="S4" s="3222"/>
      <c r="T4" s="3221" t="s">
        <v>2647</v>
      </c>
      <c r="U4" s="3222"/>
      <c r="V4" s="3227" t="s">
        <v>2648</v>
      </c>
      <c r="W4" s="3227"/>
      <c r="X4" s="1809"/>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27"/>
      <c r="M5" s="1128"/>
      <c r="N5" s="1128"/>
      <c r="O5" s="1128"/>
      <c r="P5" s="3217"/>
      <c r="Q5" s="3218"/>
      <c r="R5" s="3223"/>
      <c r="S5" s="3224"/>
      <c r="T5" s="3223"/>
      <c r="U5" s="3224"/>
      <c r="V5" s="3227"/>
      <c r="W5" s="3227"/>
      <c r="X5" s="1809"/>
      <c r="Y5" s="3223"/>
      <c r="Z5" s="3224"/>
      <c r="AA5" s="3209"/>
      <c r="AB5" s="3209"/>
      <c r="AC5" s="3209"/>
    </row>
    <row r="6" spans="1:29" ht="15.75" thickBot="1">
      <c r="A6" s="406"/>
      <c r="B6" s="407"/>
      <c r="C6" s="3268" t="s">
        <v>2796</v>
      </c>
      <c r="D6" s="3269"/>
      <c r="E6" s="3270" t="s">
        <v>2796</v>
      </c>
      <c r="F6" s="3271"/>
      <c r="G6" s="3268" t="s">
        <v>2796</v>
      </c>
      <c r="H6" s="3269"/>
      <c r="I6" s="3268" t="s">
        <v>2796</v>
      </c>
      <c r="J6" s="3269"/>
      <c r="K6" s="610" t="s">
        <v>2546</v>
      </c>
      <c r="L6" s="1127"/>
      <c r="M6" s="1128"/>
      <c r="N6" s="1128"/>
      <c r="O6" s="1128"/>
      <c r="P6" s="3219"/>
      <c r="Q6" s="3220"/>
      <c r="R6" s="3223"/>
      <c r="S6" s="3224"/>
      <c r="T6" s="3225"/>
      <c r="U6" s="3226"/>
      <c r="V6" s="3227"/>
      <c r="W6" s="3227"/>
      <c r="X6" s="1809"/>
      <c r="Y6" s="3225"/>
      <c r="Z6" s="3226"/>
      <c r="AA6" s="3210"/>
      <c r="AB6" s="3210"/>
      <c r="AC6" s="3210"/>
    </row>
    <row r="7" spans="1:29" s="117" customFormat="1" ht="15.75" thickBot="1">
      <c r="A7" s="408" t="s">
        <v>2547</v>
      </c>
      <c r="B7" s="409"/>
      <c r="C7" s="410">
        <f>'数据-取费表'!B2</f>
        <v>43790</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232" t="s">
        <v>2548</v>
      </c>
      <c r="Q7" s="3234"/>
      <c r="R7" s="767" t="s">
        <v>17</v>
      </c>
      <c r="S7" s="768">
        <f t="shared" ref="S7:S15" si="0">F7</f>
        <v>0</v>
      </c>
      <c r="T7" s="767" t="s">
        <v>17</v>
      </c>
      <c r="U7" s="768">
        <f t="shared" ref="U7:U15" si="1">H7</f>
        <v>0</v>
      </c>
      <c r="V7" s="767" t="s">
        <v>17</v>
      </c>
      <c r="W7" s="768">
        <f t="shared" ref="W7:W15" si="2">J7</f>
        <v>0</v>
      </c>
      <c r="X7" s="769"/>
      <c r="Y7" s="3232" t="s">
        <v>2548</v>
      </c>
      <c r="Z7" s="3233"/>
      <c r="AA7" s="770" t="e">
        <f>D7/F7</f>
        <v>#DIV/0!</v>
      </c>
      <c r="AB7" s="770" t="e">
        <f>D7/H7</f>
        <v>#DIV/0!</v>
      </c>
      <c r="AC7" s="770"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32" t="s">
        <v>2551</v>
      </c>
      <c r="Q8" s="3233"/>
      <c r="R8" s="767" t="s">
        <v>17</v>
      </c>
      <c r="S8" s="768">
        <f t="shared" si="0"/>
        <v>0</v>
      </c>
      <c r="T8" s="767" t="s">
        <v>17</v>
      </c>
      <c r="U8" s="768">
        <f t="shared" si="1"/>
        <v>0</v>
      </c>
      <c r="V8" s="767" t="s">
        <v>17</v>
      </c>
      <c r="W8" s="768">
        <f t="shared" si="2"/>
        <v>0</v>
      </c>
      <c r="X8" s="769"/>
      <c r="Y8" s="3232" t="s">
        <v>2551</v>
      </c>
      <c r="Z8" s="3233"/>
      <c r="AA8" s="770" t="e">
        <f t="shared" ref="AA8:AA40" si="3">D8/F8</f>
        <v>#DIV/0!</v>
      </c>
      <c r="AB8" s="770" t="e">
        <f t="shared" ref="AB8:AB40" si="4">D8/H8</f>
        <v>#DIV/0!</v>
      </c>
      <c r="AC8" s="770"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196" t="s">
        <v>2554</v>
      </c>
      <c r="Q9" s="1791" t="str">
        <f t="shared" ref="Q9:Q15" si="6">B9</f>
        <v>用途</v>
      </c>
      <c r="R9" s="767" t="s">
        <v>17</v>
      </c>
      <c r="S9" s="768">
        <f t="shared" si="0"/>
        <v>100</v>
      </c>
      <c r="T9" s="767" t="s">
        <v>17</v>
      </c>
      <c r="U9" s="768">
        <f t="shared" si="1"/>
        <v>100</v>
      </c>
      <c r="V9" s="767" t="s">
        <v>17</v>
      </c>
      <c r="W9" s="768">
        <f t="shared" si="2"/>
        <v>100</v>
      </c>
      <c r="X9" s="769"/>
      <c r="Y9" s="3024" t="s">
        <v>2555</v>
      </c>
      <c r="Z9" s="55" t="str">
        <f t="shared" ref="Z9:Z15" si="7">Q9</f>
        <v>用途</v>
      </c>
      <c r="AA9" s="770">
        <f t="shared" si="3"/>
        <v>1</v>
      </c>
      <c r="AB9" s="770">
        <f t="shared" si="4"/>
        <v>1</v>
      </c>
      <c r="AC9" s="770">
        <f t="shared" si="5"/>
        <v>1</v>
      </c>
    </row>
    <row r="10" spans="1:29" s="427" customFormat="1" ht="27">
      <c r="A10" s="421"/>
      <c r="B10" s="422" t="s">
        <v>2556</v>
      </c>
      <c r="C10" s="432"/>
      <c r="D10" s="136">
        <v>100</v>
      </c>
      <c r="E10" s="432"/>
      <c r="F10" s="136">
        <f>ROUND(100/'数据-取费表'!G16,0)</f>
        <v>146</v>
      </c>
      <c r="G10" s="432"/>
      <c r="H10" s="136">
        <f>ROUND(100/'数据-取费表'!G16,0)</f>
        <v>146</v>
      </c>
      <c r="I10" s="432"/>
      <c r="J10" s="136">
        <f>ROUND(100/'数据-取费表'!G16,0)</f>
        <v>146</v>
      </c>
      <c r="K10" s="672"/>
      <c r="L10" s="1132"/>
      <c r="M10" s="1133"/>
      <c r="N10" s="1133"/>
      <c r="O10" s="1134"/>
      <c r="P10" s="3196"/>
      <c r="Q10" s="1791" t="str">
        <f t="shared" si="6"/>
        <v>土地使用年限（年）</v>
      </c>
      <c r="R10" s="767" t="s">
        <v>17</v>
      </c>
      <c r="S10" s="768">
        <f t="shared" si="0"/>
        <v>146</v>
      </c>
      <c r="T10" s="767" t="s">
        <v>17</v>
      </c>
      <c r="U10" s="768">
        <f t="shared" si="1"/>
        <v>146</v>
      </c>
      <c r="V10" s="767" t="s">
        <v>17</v>
      </c>
      <c r="W10" s="768">
        <f t="shared" si="2"/>
        <v>146</v>
      </c>
      <c r="X10" s="769"/>
      <c r="Y10" s="3024"/>
      <c r="Z10" s="55" t="str">
        <f t="shared" si="7"/>
        <v>土地使用年限（年）</v>
      </c>
      <c r="AA10" s="770">
        <f t="shared" si="3"/>
        <v>0.68493150684931503</v>
      </c>
      <c r="AB10" s="770">
        <f t="shared" si="4"/>
        <v>0.68493150684931503</v>
      </c>
      <c r="AC10" s="770">
        <f t="shared" si="5"/>
        <v>0.68493150684931503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96"/>
      <c r="Q11" s="1791" t="str">
        <f t="shared" si="6"/>
        <v>容积率</v>
      </c>
      <c r="R11" s="767" t="s">
        <v>17</v>
      </c>
      <c r="S11" s="768" t="e">
        <f t="shared" si="0"/>
        <v>#N/A</v>
      </c>
      <c r="T11" s="767" t="s">
        <v>17</v>
      </c>
      <c r="U11" s="768" t="e">
        <f t="shared" si="1"/>
        <v>#N/A</v>
      </c>
      <c r="V11" s="767" t="s">
        <v>17</v>
      </c>
      <c r="W11" s="768" t="e">
        <f t="shared" si="2"/>
        <v>#N/A</v>
      </c>
      <c r="X11" s="769"/>
      <c r="Y11" s="3024"/>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96"/>
      <c r="Q12" s="1791">
        <f t="shared" si="6"/>
        <v>111</v>
      </c>
      <c r="R12" s="767" t="s">
        <v>17</v>
      </c>
      <c r="S12" s="768">
        <f t="shared" si="0"/>
        <v>100</v>
      </c>
      <c r="T12" s="767" t="s">
        <v>17</v>
      </c>
      <c r="U12" s="768">
        <f t="shared" si="1"/>
        <v>100</v>
      </c>
      <c r="V12" s="767" t="s">
        <v>17</v>
      </c>
      <c r="W12" s="768">
        <f t="shared" si="2"/>
        <v>100</v>
      </c>
      <c r="X12" s="769"/>
      <c r="Y12" s="3024"/>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96"/>
      <c r="Q13" s="1791">
        <f t="shared" si="6"/>
        <v>111</v>
      </c>
      <c r="R13" s="767" t="s">
        <v>17</v>
      </c>
      <c r="S13" s="768">
        <f t="shared" si="0"/>
        <v>100</v>
      </c>
      <c r="T13" s="767" t="s">
        <v>17</v>
      </c>
      <c r="U13" s="768">
        <f t="shared" si="1"/>
        <v>100</v>
      </c>
      <c r="V13" s="767" t="s">
        <v>17</v>
      </c>
      <c r="W13" s="768">
        <f t="shared" si="2"/>
        <v>100</v>
      </c>
      <c r="X13" s="769"/>
      <c r="Y13" s="3024"/>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96"/>
      <c r="Q14" s="1791">
        <f t="shared" si="6"/>
        <v>111</v>
      </c>
      <c r="R14" s="767" t="s">
        <v>17</v>
      </c>
      <c r="S14" s="768">
        <f t="shared" si="0"/>
        <v>100</v>
      </c>
      <c r="T14" s="767" t="s">
        <v>17</v>
      </c>
      <c r="U14" s="768">
        <f t="shared" si="1"/>
        <v>100</v>
      </c>
      <c r="V14" s="767" t="s">
        <v>17</v>
      </c>
      <c r="W14" s="768">
        <f t="shared" si="2"/>
        <v>100</v>
      </c>
      <c r="X14" s="769"/>
      <c r="Y14" s="3024"/>
      <c r="Z14" s="55">
        <f t="shared" si="7"/>
        <v>111</v>
      </c>
      <c r="AA14" s="770">
        <f t="shared" si="3"/>
        <v>1</v>
      </c>
      <c r="AB14" s="770">
        <f t="shared" si="4"/>
        <v>1</v>
      </c>
      <c r="AC14" s="770">
        <f t="shared" si="5"/>
        <v>1</v>
      </c>
    </row>
    <row r="15" spans="1:29" ht="57">
      <c r="A15" s="440" t="s">
        <v>2558</v>
      </c>
      <c r="B15" s="629" t="s">
        <v>2797</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98" t="s">
        <v>2559</v>
      </c>
      <c r="Q15" s="1806" t="str">
        <f t="shared" si="6"/>
        <v>产业集聚程度</v>
      </c>
      <c r="R15" s="771" t="s">
        <v>17</v>
      </c>
      <c r="S15" s="772">
        <f t="shared" si="0"/>
        <v>100</v>
      </c>
      <c r="T15" s="771" t="s">
        <v>17</v>
      </c>
      <c r="U15" s="772">
        <f t="shared" si="1"/>
        <v>100</v>
      </c>
      <c r="V15" s="771" t="s">
        <v>17</v>
      </c>
      <c r="W15" s="772">
        <f t="shared" si="2"/>
        <v>100</v>
      </c>
      <c r="X15" s="1809"/>
      <c r="Y15" s="3198" t="s">
        <v>2559</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37"/>
      <c r="M16" s="1128"/>
      <c r="N16" s="1128"/>
      <c r="O16" s="1136"/>
      <c r="P16" s="3199"/>
      <c r="Q16" s="1806"/>
      <c r="R16" s="771"/>
      <c r="S16" s="772"/>
      <c r="T16" s="771"/>
      <c r="U16" s="772"/>
      <c r="V16" s="771"/>
      <c r="W16" s="772"/>
      <c r="X16" s="1809"/>
      <c r="Y16" s="3199"/>
      <c r="Z16" s="1810"/>
      <c r="AA16" s="1807">
        <v>1</v>
      </c>
      <c r="AB16" s="1807">
        <v>1</v>
      </c>
      <c r="AC16" s="1807">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99"/>
      <c r="Q17" s="1806" t="str">
        <f>B17</f>
        <v>交通便捷度</v>
      </c>
      <c r="R17" s="771" t="s">
        <v>17</v>
      </c>
      <c r="S17" s="772">
        <f>F17</f>
        <v>100</v>
      </c>
      <c r="T17" s="771" t="s">
        <v>17</v>
      </c>
      <c r="U17" s="772">
        <f>H17</f>
        <v>100</v>
      </c>
      <c r="V17" s="771" t="s">
        <v>17</v>
      </c>
      <c r="W17" s="772">
        <f>J17</f>
        <v>100</v>
      </c>
      <c r="X17" s="1809"/>
      <c r="Y17" s="3199"/>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37"/>
      <c r="M18" s="1128"/>
      <c r="N18" s="1128"/>
      <c r="O18" s="1136"/>
      <c r="P18" s="3199"/>
      <c r="Q18" s="1806"/>
      <c r="R18" s="771"/>
      <c r="S18" s="772"/>
      <c r="T18" s="771"/>
      <c r="U18" s="772"/>
      <c r="V18" s="771"/>
      <c r="W18" s="772"/>
      <c r="X18" s="1809"/>
      <c r="Y18" s="3199"/>
      <c r="Z18" s="1810"/>
      <c r="AA18" s="1807">
        <v>1</v>
      </c>
      <c r="AB18" s="1807">
        <v>1</v>
      </c>
      <c r="AC18" s="1807">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99"/>
      <c r="Q19" s="1806" t="str">
        <f t="shared" ref="Q19:Q33" si="8">B19</f>
        <v>区域土地利用方向</v>
      </c>
      <c r="R19" s="771" t="s">
        <v>17</v>
      </c>
      <c r="S19" s="772">
        <f>F19</f>
        <v>100</v>
      </c>
      <c r="T19" s="771" t="s">
        <v>17</v>
      </c>
      <c r="U19" s="772">
        <f>H19</f>
        <v>100</v>
      </c>
      <c r="V19" s="771" t="s">
        <v>17</v>
      </c>
      <c r="W19" s="772">
        <f>J19</f>
        <v>100</v>
      </c>
      <c r="X19" s="1809"/>
      <c r="Y19" s="3199"/>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09"/>
      <c r="L20" s="1137"/>
      <c r="M20" s="1128"/>
      <c r="N20" s="1128"/>
      <c r="O20" s="1136"/>
      <c r="P20" s="3199"/>
      <c r="Q20" s="1806"/>
      <c r="R20" s="771"/>
      <c r="S20" s="772"/>
      <c r="T20" s="771"/>
      <c r="U20" s="772"/>
      <c r="V20" s="771"/>
      <c r="W20" s="772"/>
      <c r="X20" s="1809"/>
      <c r="Y20" s="3199"/>
      <c r="Z20" s="1810"/>
      <c r="AA20" s="1807"/>
      <c r="AB20" s="1807"/>
      <c r="AC20" s="1807"/>
    </row>
    <row r="21" spans="1:29" ht="71.25">
      <c r="A21" s="404"/>
      <c r="B21" s="631" t="s">
        <v>2798</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99"/>
      <c r="Q21" s="1806" t="str">
        <f t="shared" si="8"/>
        <v>环境状况</v>
      </c>
      <c r="R21" s="771" t="s">
        <v>17</v>
      </c>
      <c r="S21" s="772">
        <f>F21</f>
        <v>100</v>
      </c>
      <c r="T21" s="771" t="s">
        <v>17</v>
      </c>
      <c r="U21" s="772">
        <f>H21</f>
        <v>100</v>
      </c>
      <c r="V21" s="771" t="s">
        <v>17</v>
      </c>
      <c r="W21" s="772">
        <f>J21</f>
        <v>100</v>
      </c>
      <c r="X21" s="1809"/>
      <c r="Y21" s="3199"/>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37"/>
      <c r="M22" s="1128"/>
      <c r="N22" s="1128"/>
      <c r="O22" s="1136"/>
      <c r="P22" s="3199"/>
      <c r="Q22" s="1806"/>
      <c r="R22" s="771"/>
      <c r="S22" s="772"/>
      <c r="T22" s="771"/>
      <c r="U22" s="772"/>
      <c r="V22" s="771"/>
      <c r="W22" s="772"/>
      <c r="X22" s="1809"/>
      <c r="Y22" s="3199"/>
      <c r="Z22" s="1810"/>
      <c r="AA22" s="1807">
        <v>1</v>
      </c>
      <c r="AB22" s="1807">
        <v>1</v>
      </c>
      <c r="AC22" s="1807">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99"/>
      <c r="Q23" s="1791" t="str">
        <f t="shared" si="8"/>
        <v>公共配套设施</v>
      </c>
      <c r="R23" s="767" t="s">
        <v>17</v>
      </c>
      <c r="S23" s="768">
        <f>F23</f>
        <v>100</v>
      </c>
      <c r="T23" s="767" t="s">
        <v>17</v>
      </c>
      <c r="U23" s="768">
        <f>H23</f>
        <v>100</v>
      </c>
      <c r="V23" s="767" t="s">
        <v>17</v>
      </c>
      <c r="W23" s="768">
        <f>J23</f>
        <v>100</v>
      </c>
      <c r="X23" s="769"/>
      <c r="Y23" s="3199"/>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29"/>
      <c r="M24" s="1130"/>
      <c r="N24" s="1130"/>
      <c r="O24" s="1131"/>
      <c r="P24" s="3199"/>
      <c r="Q24" s="1791"/>
      <c r="R24" s="767"/>
      <c r="S24" s="768"/>
      <c r="T24" s="767"/>
      <c r="U24" s="768"/>
      <c r="V24" s="767"/>
      <c r="W24" s="768"/>
      <c r="X24" s="769"/>
      <c r="Y24" s="3199"/>
      <c r="Z24" s="55"/>
      <c r="AA24" s="770">
        <v>1</v>
      </c>
      <c r="AB24" s="770">
        <v>1</v>
      </c>
      <c r="AC24" s="770">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99"/>
      <c r="Q25" s="1791" t="str">
        <f t="shared" ref="Q25" si="9">B25</f>
        <v>基础设施水平</v>
      </c>
      <c r="R25" s="767" t="s">
        <v>17</v>
      </c>
      <c r="S25" s="768">
        <f>F25</f>
        <v>100</v>
      </c>
      <c r="T25" s="767" t="s">
        <v>17</v>
      </c>
      <c r="U25" s="768">
        <f>H25</f>
        <v>100</v>
      </c>
      <c r="V25" s="767" t="s">
        <v>17</v>
      </c>
      <c r="W25" s="768">
        <f>J25</f>
        <v>100</v>
      </c>
      <c r="X25" s="769"/>
      <c r="Y25" s="3199"/>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29"/>
      <c r="M26" s="1130"/>
      <c r="N26" s="1130"/>
      <c r="O26" s="1131"/>
      <c r="P26" s="3199"/>
      <c r="Q26" s="1791"/>
      <c r="R26" s="767"/>
      <c r="S26" s="768"/>
      <c r="T26" s="767"/>
      <c r="U26" s="768"/>
      <c r="V26" s="767"/>
      <c r="W26" s="768"/>
      <c r="X26" s="769"/>
      <c r="Y26" s="3199"/>
      <c r="Z26" s="55"/>
      <c r="AA26" s="770">
        <v>1</v>
      </c>
      <c r="AB26" s="770">
        <v>1</v>
      </c>
      <c r="AC26" s="770">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99"/>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99"/>
      <c r="Z27" s="1810" t="str">
        <f t="shared" ref="Z27:Z40" si="13">Q27</f>
        <v>临街状况</v>
      </c>
      <c r="AA27" s="1807">
        <f t="shared" si="3"/>
        <v>1</v>
      </c>
      <c r="AB27" s="1807">
        <f t="shared" si="4"/>
        <v>1</v>
      </c>
      <c r="AC27" s="1807">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99"/>
      <c r="Q28" s="1806" t="str">
        <f t="shared" si="8"/>
        <v>毗邻道路的类型与等级</v>
      </c>
      <c r="R28" s="771" t="s">
        <v>17</v>
      </c>
      <c r="S28" s="772">
        <f t="shared" si="10"/>
        <v>100</v>
      </c>
      <c r="T28" s="771" t="s">
        <v>17</v>
      </c>
      <c r="U28" s="772">
        <f t="shared" si="11"/>
        <v>100</v>
      </c>
      <c r="V28" s="771" t="s">
        <v>17</v>
      </c>
      <c r="W28" s="772">
        <f t="shared" si="12"/>
        <v>100</v>
      </c>
      <c r="X28" s="1809"/>
      <c r="Y28" s="3199"/>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37"/>
      <c r="M29" s="1128"/>
      <c r="N29" s="1128"/>
      <c r="O29" s="1136"/>
      <c r="P29" s="3199"/>
      <c r="Q29" s="1806"/>
      <c r="R29" s="771"/>
      <c r="S29" s="772"/>
      <c r="T29" s="771"/>
      <c r="U29" s="772"/>
      <c r="V29" s="771"/>
      <c r="W29" s="772"/>
      <c r="X29" s="1809"/>
      <c r="Y29" s="3199"/>
      <c r="Z29" s="1810"/>
      <c r="AA29" s="1807">
        <v>1</v>
      </c>
      <c r="AB29" s="1807">
        <v>1</v>
      </c>
      <c r="AC29" s="1807">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99"/>
      <c r="Q30" s="1806" t="str">
        <f t="shared" si="8"/>
        <v>土地级别</v>
      </c>
      <c r="R30" s="771" t="s">
        <v>17</v>
      </c>
      <c r="S30" s="772">
        <f t="shared" si="10"/>
        <v>100</v>
      </c>
      <c r="T30" s="771" t="s">
        <v>17</v>
      </c>
      <c r="U30" s="772">
        <f t="shared" si="11"/>
        <v>100</v>
      </c>
      <c r="V30" s="771" t="s">
        <v>17</v>
      </c>
      <c r="W30" s="772">
        <f t="shared" si="12"/>
        <v>100</v>
      </c>
      <c r="X30" s="1809"/>
      <c r="Y30" s="3199"/>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99"/>
      <c r="Q31" s="1806">
        <f t="shared" si="8"/>
        <v>111</v>
      </c>
      <c r="R31" s="771" t="s">
        <v>17</v>
      </c>
      <c r="S31" s="772">
        <f t="shared" si="10"/>
        <v>100</v>
      </c>
      <c r="T31" s="771" t="s">
        <v>17</v>
      </c>
      <c r="U31" s="772">
        <f t="shared" si="11"/>
        <v>100</v>
      </c>
      <c r="V31" s="771" t="s">
        <v>17</v>
      </c>
      <c r="W31" s="772">
        <f t="shared" si="12"/>
        <v>100</v>
      </c>
      <c r="X31" s="1809"/>
      <c r="Y31" s="3199"/>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56" t="s">
        <v>2564</v>
      </c>
      <c r="Q32" s="1806">
        <f t="shared" si="8"/>
        <v>111</v>
      </c>
      <c r="R32" s="771" t="s">
        <v>17</v>
      </c>
      <c r="S32" s="772">
        <f t="shared" si="10"/>
        <v>100</v>
      </c>
      <c r="T32" s="771" t="s">
        <v>17</v>
      </c>
      <c r="U32" s="772">
        <f t="shared" si="11"/>
        <v>100</v>
      </c>
      <c r="V32" s="771" t="s">
        <v>17</v>
      </c>
      <c r="W32" s="772">
        <f t="shared" si="12"/>
        <v>100</v>
      </c>
      <c r="X32" s="1809"/>
      <c r="Y32" s="3203" t="s">
        <v>2564</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03"/>
      <c r="Q33" s="1806">
        <f t="shared" si="8"/>
        <v>111</v>
      </c>
      <c r="R33" s="774" t="s">
        <v>17</v>
      </c>
      <c r="S33" s="775">
        <f t="shared" si="10"/>
        <v>100</v>
      </c>
      <c r="T33" s="774" t="s">
        <v>17</v>
      </c>
      <c r="U33" s="775">
        <f t="shared" si="11"/>
        <v>100</v>
      </c>
      <c r="V33" s="774" t="s">
        <v>17</v>
      </c>
      <c r="W33" s="775">
        <f t="shared" si="12"/>
        <v>100</v>
      </c>
      <c r="X33" s="776"/>
      <c r="Y33" s="3203"/>
      <c r="Z33" s="777">
        <f t="shared" si="13"/>
        <v>111</v>
      </c>
      <c r="AA33" s="1807">
        <f t="shared" si="3"/>
        <v>1</v>
      </c>
      <c r="AB33" s="1807">
        <f t="shared" si="4"/>
        <v>1</v>
      </c>
      <c r="AC33" s="1807">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03"/>
      <c r="Q34" s="1806" t="str">
        <f>B34</f>
        <v>宗地面积</v>
      </c>
      <c r="R34" s="771" t="s">
        <v>17</v>
      </c>
      <c r="S34" s="772" t="e">
        <f t="shared" si="10"/>
        <v>#N/A</v>
      </c>
      <c r="T34" s="771" t="s">
        <v>17</v>
      </c>
      <c r="U34" s="772" t="e">
        <f t="shared" si="11"/>
        <v>#N/A</v>
      </c>
      <c r="V34" s="771" t="s">
        <v>17</v>
      </c>
      <c r="W34" s="772" t="e">
        <f t="shared" si="12"/>
        <v>#N/A</v>
      </c>
      <c r="X34" s="1809"/>
      <c r="Y34" s="3203"/>
      <c r="Z34" s="1810" t="str">
        <f t="shared" si="13"/>
        <v>宗地面积</v>
      </c>
      <c r="AA34" s="1807" t="e">
        <f t="shared" si="3"/>
        <v>#N/A</v>
      </c>
      <c r="AB34" s="1807" t="e">
        <f t="shared" si="4"/>
        <v>#N/A</v>
      </c>
      <c r="AC34" s="1807"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203"/>
      <c r="Q35" s="1806" t="str">
        <f t="shared" ref="Q35:Q40" si="14">B35</f>
        <v>宗地形状</v>
      </c>
      <c r="R35" s="771" t="s">
        <v>17</v>
      </c>
      <c r="S35" s="772">
        <f t="shared" si="10"/>
        <v>100</v>
      </c>
      <c r="T35" s="771" t="s">
        <v>17</v>
      </c>
      <c r="U35" s="772">
        <f t="shared" si="11"/>
        <v>100</v>
      </c>
      <c r="V35" s="771" t="s">
        <v>17</v>
      </c>
      <c r="W35" s="772">
        <f t="shared" si="12"/>
        <v>100</v>
      </c>
      <c r="X35" s="1809"/>
      <c r="Y35" s="3203"/>
      <c r="Z35" s="1810" t="str">
        <f t="shared" si="13"/>
        <v>宗地形状</v>
      </c>
      <c r="AA35" s="1807">
        <f t="shared" si="3"/>
        <v>1</v>
      </c>
      <c r="AB35" s="1807">
        <f t="shared" si="4"/>
        <v>1</v>
      </c>
      <c r="AC35" s="1807">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203"/>
      <c r="Q36" s="1806" t="str">
        <f t="shared" si="14"/>
        <v>宗地开发程度</v>
      </c>
      <c r="R36" s="767" t="s">
        <v>17</v>
      </c>
      <c r="S36" s="768">
        <f t="shared" si="10"/>
        <v>100</v>
      </c>
      <c r="T36" s="767" t="s">
        <v>17</v>
      </c>
      <c r="U36" s="768">
        <f t="shared" si="11"/>
        <v>100</v>
      </c>
      <c r="V36" s="767" t="s">
        <v>17</v>
      </c>
      <c r="W36" s="768">
        <f t="shared" si="12"/>
        <v>100</v>
      </c>
      <c r="X36" s="769"/>
      <c r="Y36" s="3203"/>
      <c r="Z36" s="55" t="str">
        <f t="shared" si="13"/>
        <v>宗地开发程度</v>
      </c>
      <c r="AA36" s="770">
        <f t="shared" si="3"/>
        <v>1</v>
      </c>
      <c r="AB36" s="770">
        <f t="shared" si="4"/>
        <v>1</v>
      </c>
      <c r="AC36" s="770">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203" t="s">
        <v>2564</v>
      </c>
      <c r="Q37" s="1806" t="str">
        <f t="shared" si="14"/>
        <v>工程地质条件</v>
      </c>
      <c r="R37" s="771" t="s">
        <v>17</v>
      </c>
      <c r="S37" s="772">
        <f t="shared" si="10"/>
        <v>100</v>
      </c>
      <c r="T37" s="771" t="s">
        <v>17</v>
      </c>
      <c r="U37" s="772">
        <f t="shared" si="11"/>
        <v>100</v>
      </c>
      <c r="V37" s="771" t="s">
        <v>17</v>
      </c>
      <c r="W37" s="772">
        <f t="shared" si="12"/>
        <v>100</v>
      </c>
      <c r="X37" s="1809"/>
      <c r="Y37" s="3203" t="s">
        <v>2564</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03"/>
      <c r="Q38" s="1806">
        <f t="shared" si="14"/>
        <v>111</v>
      </c>
      <c r="R38" s="771" t="s">
        <v>17</v>
      </c>
      <c r="S38" s="772">
        <f t="shared" si="10"/>
        <v>100</v>
      </c>
      <c r="T38" s="771" t="s">
        <v>17</v>
      </c>
      <c r="U38" s="772">
        <f t="shared" si="11"/>
        <v>100</v>
      </c>
      <c r="V38" s="771" t="s">
        <v>17</v>
      </c>
      <c r="W38" s="772">
        <f t="shared" si="12"/>
        <v>100</v>
      </c>
      <c r="X38" s="1809"/>
      <c r="Y38" s="3203"/>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03"/>
      <c r="Q39" s="1806">
        <f t="shared" si="14"/>
        <v>111</v>
      </c>
      <c r="R39" s="771" t="s">
        <v>17</v>
      </c>
      <c r="S39" s="772">
        <f t="shared" si="10"/>
        <v>100</v>
      </c>
      <c r="T39" s="771" t="s">
        <v>17</v>
      </c>
      <c r="U39" s="772">
        <f t="shared" si="11"/>
        <v>100</v>
      </c>
      <c r="V39" s="771" t="s">
        <v>17</v>
      </c>
      <c r="W39" s="772">
        <f t="shared" si="12"/>
        <v>100</v>
      </c>
      <c r="X39" s="1809"/>
      <c r="Y39" s="3203"/>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03"/>
      <c r="Q40" s="1806">
        <f t="shared" si="14"/>
        <v>111</v>
      </c>
      <c r="R40" s="774" t="s">
        <v>17</v>
      </c>
      <c r="S40" s="775">
        <f t="shared" si="10"/>
        <v>100</v>
      </c>
      <c r="T40" s="774" t="s">
        <v>17</v>
      </c>
      <c r="U40" s="775">
        <f t="shared" si="11"/>
        <v>100</v>
      </c>
      <c r="V40" s="774" t="s">
        <v>17</v>
      </c>
      <c r="W40" s="775">
        <f t="shared" si="12"/>
        <v>100</v>
      </c>
      <c r="X40" s="776"/>
      <c r="Y40" s="3203"/>
      <c r="Z40" s="777">
        <f t="shared" si="13"/>
        <v>111</v>
      </c>
      <c r="AA40" s="1807">
        <f t="shared" si="3"/>
        <v>1</v>
      </c>
      <c r="AB40" s="1807">
        <f t="shared" si="4"/>
        <v>1</v>
      </c>
      <c r="AC40" s="1807">
        <f t="shared" si="5"/>
        <v>1</v>
      </c>
    </row>
    <row r="41" spans="1:29" ht="15">
      <c r="A41" s="479" t="s">
        <v>2719</v>
      </c>
      <c r="B41" s="2701" t="s">
        <v>2799</v>
      </c>
      <c r="C41" s="682" t="s">
        <v>1</v>
      </c>
      <c r="D41" s="481"/>
      <c r="E41" s="482"/>
      <c r="F41" s="483"/>
      <c r="G41" s="484"/>
      <c r="H41" s="485"/>
      <c r="I41" s="482"/>
      <c r="J41" s="485"/>
      <c r="K41" s="780"/>
      <c r="L41" s="1140"/>
      <c r="M41" s="1128"/>
      <c r="N41" s="1128"/>
      <c r="O41" s="1141"/>
      <c r="P41" s="3196" t="str">
        <f>A41</f>
        <v>成交单价</v>
      </c>
      <c r="Q41" s="3196"/>
      <c r="R41" s="3227">
        <f>E41</f>
        <v>0</v>
      </c>
      <c r="S41" s="3227"/>
      <c r="T41" s="3227">
        <f>G41</f>
        <v>0</v>
      </c>
      <c r="U41" s="3227"/>
      <c r="V41" s="3227">
        <f>I41</f>
        <v>0</v>
      </c>
      <c r="W41" s="3227"/>
      <c r="X41" s="756"/>
      <c r="Y41" s="778"/>
      <c r="Z41" s="756"/>
      <c r="AA41" s="756"/>
      <c r="AB41" s="756"/>
      <c r="AC41" s="756"/>
    </row>
    <row r="42" spans="1:29" ht="15.75" thickBot="1">
      <c r="A42" s="486" t="s">
        <v>2668</v>
      </c>
      <c r="B42" s="683"/>
      <c r="C42" s="490" t="e">
        <f>R43</f>
        <v>#DIV/0!</v>
      </c>
      <c r="D42" s="489"/>
      <c r="E42" s="490" t="e">
        <f>R42</f>
        <v>#DIV/0!</v>
      </c>
      <c r="F42" s="491"/>
      <c r="G42" s="488" t="e">
        <f>T42</f>
        <v>#DIV/0!</v>
      </c>
      <c r="H42" s="489"/>
      <c r="I42" s="490" t="e">
        <f>V42</f>
        <v>#DIV/0!</v>
      </c>
      <c r="J42" s="489"/>
      <c r="K42" s="781"/>
      <c r="L42" s="1140"/>
      <c r="M42" s="1128"/>
      <c r="N42" s="1128"/>
      <c r="O42" s="1141"/>
      <c r="P42" s="3196" t="str">
        <f>A42</f>
        <v>比较价值（元/平方米）</v>
      </c>
      <c r="Q42" s="3196"/>
      <c r="R42" s="3264" t="e">
        <f>ROUND(PRODUCT(R41,AA7:AA40),0)</f>
        <v>#DIV/0!</v>
      </c>
      <c r="S42" s="3264"/>
      <c r="T42" s="3264" t="e">
        <f>ROUND(PRODUCT(T41,AB7:AB40),0)</f>
        <v>#DIV/0!</v>
      </c>
      <c r="U42" s="3264"/>
      <c r="V42" s="3264" t="e">
        <f>ROUND(PRODUCT(V41,AC7:AC40),0)</f>
        <v>#DIV/0!</v>
      </c>
      <c r="W42" s="3264"/>
      <c r="X42" s="756"/>
      <c r="Y42" s="756"/>
      <c r="Z42" s="756"/>
      <c r="AA42" s="756"/>
      <c r="AB42" s="756"/>
      <c r="AC42" s="756"/>
    </row>
    <row r="43" spans="1:29" ht="15.75" thickBot="1">
      <c r="A43" s="492" t="s">
        <v>2669</v>
      </c>
      <c r="B43" s="493"/>
      <c r="C43" s="494" t="e">
        <f>R43</f>
        <v>#DIV/0!</v>
      </c>
      <c r="D43" s="494"/>
      <c r="E43" s="494"/>
      <c r="F43" s="494"/>
      <c r="G43" s="494"/>
      <c r="H43" s="494"/>
      <c r="I43" s="494"/>
      <c r="J43" s="494"/>
      <c r="K43" s="782"/>
      <c r="L43" s="1140"/>
      <c r="M43" s="1128"/>
      <c r="N43" s="1128"/>
      <c r="O43" s="1141"/>
      <c r="P43" s="3193" t="str">
        <f>A43</f>
        <v>估价对象XX用房的比较价值（楼面单价，元/平方米）</v>
      </c>
      <c r="Q43" s="3194"/>
      <c r="R43" s="3265" t="e">
        <f>ROUND(AVERAGE(R42:V42),0)</f>
        <v>#DIV/0!</v>
      </c>
      <c r="S43" s="3265"/>
      <c r="T43" s="3265"/>
      <c r="U43" s="3265"/>
      <c r="V43" s="3265"/>
      <c r="W43" s="3265"/>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4" t="s">
        <v>2757</v>
      </c>
      <c r="B50" s="685" t="s">
        <v>2758</v>
      </c>
      <c r="C50" s="2702" t="s">
        <v>2759</v>
      </c>
      <c r="D50" s="2703" t="s">
        <v>2760</v>
      </c>
      <c r="E50" s="686" t="s">
        <v>2761</v>
      </c>
      <c r="F50" s="687" t="s">
        <v>2762</v>
      </c>
      <c r="G50" s="3211" t="s">
        <v>2763</v>
      </c>
      <c r="H50" s="3266"/>
      <c r="I50" s="1810" t="s">
        <v>2800</v>
      </c>
      <c r="J50" s="1810">
        <f>项目基本情况!F35</f>
        <v>0</v>
      </c>
      <c r="K50" s="2705" t="s">
        <v>2765</v>
      </c>
      <c r="L50" s="1103"/>
      <c r="M50" s="1141"/>
      <c r="N50" s="1141"/>
      <c r="O50" s="1141"/>
    </row>
    <row r="51" spans="1:17" s="692" customFormat="1">
      <c r="A51" s="688" t="s">
        <v>2766</v>
      </c>
      <c r="B51" s="689" t="e">
        <f>C43</f>
        <v>#DIV/0!</v>
      </c>
      <c r="C51" s="690">
        <v>1</v>
      </c>
      <c r="D51" s="1160">
        <v>1</v>
      </c>
      <c r="E51" s="690">
        <f>'数据-汇总表'!E8+'数据-汇总表'!E9</f>
        <v>25527.419999999991</v>
      </c>
      <c r="F51" s="691" t="e">
        <f t="shared" ref="F51:F60" si="15">ROUND(B51*E51/10000,0)</f>
        <v>#DIV/0!</v>
      </c>
      <c r="G51" s="3207"/>
      <c r="H51" s="3196"/>
      <c r="I51" s="939">
        <v>1</v>
      </c>
      <c r="J51" s="939">
        <v>1</v>
      </c>
      <c r="K51" s="1142"/>
      <c r="L51" s="938"/>
      <c r="M51" s="938"/>
      <c r="N51" s="938"/>
      <c r="O51" s="938"/>
    </row>
    <row r="52" spans="1:17" s="692" customFormat="1">
      <c r="A52" s="693" t="s">
        <v>2767</v>
      </c>
      <c r="B52" s="262" t="e">
        <f>ROUND($C$43*C52*D52,0)</f>
        <v>#DIV/0!</v>
      </c>
      <c r="C52" s="200">
        <f t="shared" ref="C52:C60" si="16">IF($C$50="北京市系数",I52,J52)</f>
        <v>0</v>
      </c>
      <c r="D52" s="1161">
        <v>0.25</v>
      </c>
      <c r="E52" s="694"/>
      <c r="F52" s="691" t="e">
        <f t="shared" si="15"/>
        <v>#DIV/0!</v>
      </c>
      <c r="G52" s="3267" t="s">
        <v>2768</v>
      </c>
      <c r="H52" s="1101">
        <f>项目基本情况!B37</f>
        <v>0</v>
      </c>
      <c r="I52" s="939">
        <f>SUMIF(修正!A45:A56,H52,修正!B45:B56)</f>
        <v>0</v>
      </c>
      <c r="J52" s="940"/>
      <c r="K52" s="1141"/>
      <c r="L52" s="938"/>
      <c r="M52" s="938"/>
      <c r="N52" s="938"/>
      <c r="O52" s="938"/>
    </row>
    <row r="53" spans="1:17" s="692" customFormat="1">
      <c r="A53" s="693" t="s">
        <v>2769</v>
      </c>
      <c r="B53" s="262" t="e">
        <f t="shared" ref="B53:B60" si="17">ROUND($C$43*C53*D53,0)</f>
        <v>#DIV/0!</v>
      </c>
      <c r="C53" s="200">
        <f t="shared" si="16"/>
        <v>0</v>
      </c>
      <c r="D53" s="1161">
        <v>0.25</v>
      </c>
      <c r="E53" s="694"/>
      <c r="F53" s="691" t="e">
        <f t="shared" si="15"/>
        <v>#DIV/0!</v>
      </c>
      <c r="G53" s="3267"/>
      <c r="H53" s="1101">
        <f>项目基本情况!B37</f>
        <v>0</v>
      </c>
      <c r="I53" s="939">
        <f>SUMIF(修正!A45:A56,H53,修正!C45:C56)</f>
        <v>0</v>
      </c>
      <c r="J53" s="940"/>
      <c r="K53" s="1142"/>
      <c r="L53" s="938"/>
      <c r="M53" s="938"/>
      <c r="N53" s="938"/>
      <c r="O53" s="938"/>
    </row>
    <row r="54" spans="1:17" s="692" customFormat="1">
      <c r="A54" s="693" t="s">
        <v>2770</v>
      </c>
      <c r="B54" s="262" t="e">
        <f t="shared" si="17"/>
        <v>#DIV/0!</v>
      </c>
      <c r="C54" s="200">
        <f t="shared" si="16"/>
        <v>0</v>
      </c>
      <c r="D54" s="1161">
        <v>0.25</v>
      </c>
      <c r="E54" s="694"/>
      <c r="F54" s="691" t="e">
        <f t="shared" si="15"/>
        <v>#DIV/0!</v>
      </c>
      <c r="G54" s="3267"/>
      <c r="H54" s="1101">
        <f>项目基本情况!B37</f>
        <v>0</v>
      </c>
      <c r="I54" s="939">
        <f>SUMIF(修正!A45:A56,H54,修正!D45:D56)</f>
        <v>0</v>
      </c>
      <c r="J54" s="940"/>
      <c r="K54" s="1141"/>
      <c r="L54" s="938"/>
      <c r="M54" s="938"/>
      <c r="N54" s="938"/>
      <c r="O54" s="938"/>
    </row>
    <row r="55" spans="1:17" s="692" customFormat="1">
      <c r="A55" s="693" t="s">
        <v>2771</v>
      </c>
      <c r="B55" s="262" t="e">
        <f t="shared" si="17"/>
        <v>#DIV/0!</v>
      </c>
      <c r="C55" s="200">
        <f t="shared" si="16"/>
        <v>0</v>
      </c>
      <c r="D55" s="1161">
        <v>0.25</v>
      </c>
      <c r="E55" s="694"/>
      <c r="F55" s="691" t="e">
        <f t="shared" si="15"/>
        <v>#DIV/0!</v>
      </c>
      <c r="G55" s="3267"/>
      <c r="H55" s="1101">
        <f>项目基本情况!B37</f>
        <v>0</v>
      </c>
      <c r="I55" s="939">
        <f>SUMIF(修正!A45:A56,H55,修正!E45:E56)</f>
        <v>0</v>
      </c>
      <c r="J55" s="940"/>
      <c r="K55" s="1142"/>
      <c r="L55" s="938"/>
      <c r="M55" s="938"/>
      <c r="N55" s="938"/>
      <c r="O55" s="938"/>
    </row>
    <row r="56" spans="1:17" s="692" customFormat="1">
      <c r="A56" s="693" t="s">
        <v>2772</v>
      </c>
      <c r="B56" s="262" t="e">
        <f t="shared" si="17"/>
        <v>#DIV/0!</v>
      </c>
      <c r="C56" s="200">
        <f t="shared" si="16"/>
        <v>0</v>
      </c>
      <c r="D56" s="1161">
        <v>0.25</v>
      </c>
      <c r="E56" s="261">
        <f>'数据-汇总表'!E11</f>
        <v>4743.7299999999996</v>
      </c>
      <c r="F56" s="691" t="e">
        <f t="shared" si="15"/>
        <v>#DIV/0!</v>
      </c>
      <c r="G56" s="2706" t="s">
        <v>2773</v>
      </c>
      <c r="H56" s="1101">
        <f>项目基本情况!C37</f>
        <v>0</v>
      </c>
      <c r="I56" s="939">
        <f>SUMIF(修正!A45:A56,H56,修正!F45:F56)</f>
        <v>0</v>
      </c>
      <c r="J56" s="940"/>
      <c r="K56" s="1141"/>
      <c r="L56" s="938"/>
      <c r="M56" s="938"/>
      <c r="N56" s="938"/>
      <c r="O56" s="938"/>
    </row>
    <row r="57" spans="1:17" s="692" customFormat="1">
      <c r="A57" s="693" t="s">
        <v>2774</v>
      </c>
      <c r="B57" s="262" t="e">
        <f t="shared" si="17"/>
        <v>#DIV/0!</v>
      </c>
      <c r="C57" s="200">
        <f t="shared" si="16"/>
        <v>0</v>
      </c>
      <c r="D57" s="1161">
        <v>0.25</v>
      </c>
      <c r="E57" s="261">
        <f>'数据-汇总表'!E12</f>
        <v>0</v>
      </c>
      <c r="F57" s="691" t="e">
        <f t="shared" si="15"/>
        <v>#DIV/0!</v>
      </c>
      <c r="G57" s="1106" t="s">
        <v>2775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2776</v>
      </c>
      <c r="B58" s="262" t="e">
        <f t="shared" si="17"/>
        <v>#DIV/0!</v>
      </c>
      <c r="C58" s="200">
        <f t="shared" si="16"/>
        <v>0</v>
      </c>
      <c r="D58" s="1161">
        <v>0.25</v>
      </c>
      <c r="E58" s="261">
        <f>'数据-汇总表'!E13</f>
        <v>2252.83</v>
      </c>
      <c r="F58" s="691" t="e">
        <f t="shared" si="15"/>
        <v>#DIV/0!</v>
      </c>
      <c r="G58" s="1106" t="s">
        <v>2777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2778</v>
      </c>
      <c r="B59" s="262" t="e">
        <f t="shared" si="17"/>
        <v>#DIV/0!</v>
      </c>
      <c r="C59" s="200">
        <f t="shared" si="16"/>
        <v>0</v>
      </c>
      <c r="D59" s="1161">
        <v>0.25</v>
      </c>
      <c r="E59" s="261">
        <f>'数据-汇总表'!E14</f>
        <v>0</v>
      </c>
      <c r="F59" s="691" t="e">
        <f t="shared" si="15"/>
        <v>#DIV/0!</v>
      </c>
      <c r="G59" s="2706" t="s">
        <v>2768</v>
      </c>
      <c r="H59" s="1101">
        <f>项目基本情况!B37</f>
        <v>0</v>
      </c>
      <c r="I59" s="939">
        <f>SUMIF(修正!A45:A56,H59,修正!H45:H56)</f>
        <v>0</v>
      </c>
      <c r="J59" s="940"/>
      <c r="K59" s="1142"/>
      <c r="L59" s="938"/>
      <c r="M59" s="938"/>
      <c r="N59" s="938"/>
      <c r="O59" s="938"/>
    </row>
    <row r="60" spans="1:17" s="692" customFormat="1" ht="15" thickBot="1">
      <c r="A60" s="693" t="s">
        <v>2779</v>
      </c>
      <c r="B60" s="262" t="e">
        <f t="shared" si="17"/>
        <v>#DIV/0!</v>
      </c>
      <c r="C60" s="200">
        <f t="shared" si="16"/>
        <v>0</v>
      </c>
      <c r="D60" s="1161">
        <v>0.25</v>
      </c>
      <c r="E60" s="261">
        <f>'数据-汇总表'!E15</f>
        <v>0</v>
      </c>
      <c r="F60" s="691" t="e">
        <f t="shared" si="15"/>
        <v>#DIV/0!</v>
      </c>
      <c r="G60" s="2707" t="s">
        <v>2773</v>
      </c>
      <c r="H60" s="1111">
        <f>项目基本情况!C37</f>
        <v>0</v>
      </c>
      <c r="I60" s="939">
        <f>SUMIF(修正!A45:A56,H60,修正!H45:H56)</f>
        <v>0</v>
      </c>
      <c r="J60" s="940"/>
      <c r="K60" s="1141"/>
      <c r="L60" s="938"/>
      <c r="M60" s="938"/>
      <c r="N60" s="938"/>
      <c r="O60" s="938"/>
    </row>
    <row r="61" spans="1:17" s="692" customFormat="1" ht="15" thickBot="1">
      <c r="A61" s="695" t="s">
        <v>2780</v>
      </c>
      <c r="B61" s="696" t="s">
        <v>28</v>
      </c>
      <c r="C61" s="696" t="s">
        <v>29</v>
      </c>
      <c r="D61" s="696" t="s">
        <v>1026</v>
      </c>
      <c r="E61" s="696">
        <f>IF(B41="楼面地价",SUM(E51:E60),'数据-汇总表'!D3)</f>
        <v>8811.7800000000007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2673</v>
      </c>
      <c r="B64" s="756"/>
      <c r="C64" s="761"/>
      <c r="D64" s="761"/>
      <c r="E64" s="761"/>
      <c r="F64" s="762"/>
      <c r="G64" s="762"/>
      <c r="H64" s="761"/>
      <c r="I64" s="761"/>
      <c r="J64" s="761"/>
      <c r="K64" s="763"/>
      <c r="L64" s="764"/>
      <c r="M64" s="761"/>
      <c r="N64" s="761"/>
      <c r="O64" s="1156"/>
      <c r="P64" s="503"/>
      <c r="Q64" s="504"/>
    </row>
    <row r="65" spans="1:17" s="508" customFormat="1" ht="15">
      <c r="A65" s="2708" t="s">
        <v>2781</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3" t="s">
        <v>2801</v>
      </c>
      <c r="B66" s="332" t="str">
        <f>"北京市平均增长率"&amp;TEXT(基准地价修正!P24,"0.00%")</f>
        <v>北京市平均增长率1.38%</v>
      </c>
      <c r="C66" s="603">
        <v>100</v>
      </c>
      <c r="D66" s="595"/>
      <c r="E66" s="595"/>
      <c r="F66" s="595"/>
      <c r="G66" s="595"/>
      <c r="H66" s="595"/>
      <c r="I66" s="595"/>
      <c r="J66" s="595"/>
      <c r="K66" s="595"/>
      <c r="L66" s="595"/>
      <c r="M66" s="1563"/>
      <c r="N66" s="1563"/>
      <c r="O66" s="1565"/>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2587</v>
      </c>
      <c r="B70" s="528" t="s">
        <v>2553</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2556</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2690</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2749</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2791</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2793</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2794</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1584</v>
      </c>
      <c r="B1" s="779"/>
      <c r="C1" s="1833" t="s">
        <v>48</v>
      </c>
      <c r="D1" s="1816" t="s">
        <v>70</v>
      </c>
      <c r="E1" s="1817" t="s">
        <v>1382</v>
      </c>
      <c r="F1" s="1279">
        <f ca="1">J53</f>
        <v>22.7</v>
      </c>
      <c r="G1" s="1832">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1585</v>
      </c>
      <c r="B2" s="1840">
        <f ca="1">ROUND(D2/10000,0)</f>
        <v>898</v>
      </c>
      <c r="C2" s="1841" t="s">
        <v>1511</v>
      </c>
      <c r="D2" s="1933">
        <f ca="1">C40+J29+L46</f>
        <v>8980591</v>
      </c>
      <c r="E2" s="1842" t="s">
        <v>1587</v>
      </c>
      <c r="F2" s="1843"/>
      <c r="G2" s="1844"/>
      <c r="H2" s="1836"/>
      <c r="I2" s="1836"/>
      <c r="J2" s="1836"/>
      <c r="K2" s="1837"/>
      <c r="L2" s="1836"/>
      <c r="M2" s="1836"/>
    </row>
    <row r="3" spans="1:37" ht="18" customHeight="1" thickBot="1">
      <c r="A3" s="1845" t="s">
        <v>1588</v>
      </c>
      <c r="B3" s="1846">
        <f ca="1">IF(ISERROR(D2/F43),0,ROUND(D2/F43,0))</f>
        <v>3986</v>
      </c>
      <c r="C3" s="1841" t="s">
        <v>1513</v>
      </c>
      <c r="D3" s="1841"/>
      <c r="E3" s="1842"/>
      <c r="F3" s="1843"/>
      <c r="G3" s="1844"/>
      <c r="H3" s="741" t="s">
        <v>1583</v>
      </c>
      <c r="I3" s="1836"/>
      <c r="J3" s="1836"/>
      <c r="K3" s="1837"/>
      <c r="L3" s="1836"/>
      <c r="M3" s="1836"/>
    </row>
    <row r="4" spans="1:37" ht="18" customHeight="1">
      <c r="A4" s="340" t="s">
        <v>1391</v>
      </c>
      <c r="B4" s="341" t="s">
        <v>1591</v>
      </c>
      <c r="C4" s="341" t="s">
        <v>1592</v>
      </c>
      <c r="D4" s="341" t="s">
        <v>1394</v>
      </c>
      <c r="E4" s="342" t="s">
        <v>1594</v>
      </c>
      <c r="F4" s="343"/>
      <c r="G4" s="1847"/>
      <c r="H4" s="340" t="s">
        <v>1391</v>
      </c>
      <c r="I4" s="341" t="s">
        <v>1591</v>
      </c>
      <c r="J4" s="341" t="s">
        <v>1592</v>
      </c>
      <c r="K4" s="341" t="s">
        <v>1394</v>
      </c>
      <c r="L4" s="342" t="s">
        <v>1594</v>
      </c>
      <c r="M4" s="343"/>
    </row>
    <row r="5" spans="1:37" ht="18" customHeight="1">
      <c r="A5" s="344">
        <v>1</v>
      </c>
      <c r="B5" s="345" t="s">
        <v>1595</v>
      </c>
      <c r="C5" s="1288">
        <f ca="1">C6+C10+C12</f>
        <v>592044</v>
      </c>
      <c r="D5" s="1818" t="s">
        <v>1596</v>
      </c>
      <c r="E5" s="1289"/>
      <c r="F5" s="1290"/>
      <c r="G5" s="1847"/>
      <c r="H5" s="344">
        <v>1</v>
      </c>
      <c r="I5" s="345" t="s">
        <v>1595</v>
      </c>
      <c r="J5" s="1288">
        <f ca="1">J6+J10+J12</f>
        <v>0</v>
      </c>
      <c r="K5" s="1818" t="s">
        <v>1596</v>
      </c>
      <c r="L5" s="1289"/>
      <c r="M5" s="1290"/>
    </row>
    <row r="6" spans="1:37" ht="18" customHeight="1">
      <c r="A6" s="1287" t="s">
        <v>1032</v>
      </c>
      <c r="B6" s="3168" t="s">
        <v>1398</v>
      </c>
      <c r="C6" s="1292">
        <f ca="1">ROUND(F6*F8*F7*(1-F9),0)</f>
        <v>592044</v>
      </c>
      <c r="D6" s="164" t="s">
        <v>3025</v>
      </c>
      <c r="E6" s="347" t="s">
        <v>1400</v>
      </c>
      <c r="F6" s="348">
        <f ca="1">INDIRECT("'数据-取费表'!u"&amp;$G$1)</f>
        <v>0.8</v>
      </c>
      <c r="G6" s="1847"/>
      <c r="H6" s="1287" t="s">
        <v>1032</v>
      </c>
      <c r="I6" s="3168" t="s">
        <v>1398</v>
      </c>
      <c r="J6" s="346">
        <f ca="1">ROUND(M6*M8*M7*(1-M9),0)</f>
        <v>0</v>
      </c>
      <c r="K6" s="1830" t="s">
        <v>3026</v>
      </c>
      <c r="L6" s="347" t="s">
        <v>1400</v>
      </c>
      <c r="M6" s="348">
        <f ca="1">INDIRECT("'数据-取费表'!z"&amp;$G$1)</f>
        <v>0</v>
      </c>
    </row>
    <row r="7" spans="1:37" ht="18" customHeight="1">
      <c r="A7" s="1291"/>
      <c r="B7" s="3169"/>
      <c r="C7" s="1293"/>
      <c r="D7" s="352"/>
      <c r="E7" s="2968" t="s">
        <v>1401</v>
      </c>
      <c r="F7" s="348">
        <f ca="1">IF(INDIRECT("'数据-取费表'!ah"&amp;$G$1)="",INDIRECT("'数据-取费表'!k"&amp;$G$1),INDIRECT("'数据-取费表'!ah"&amp;$G$1))</f>
        <v>2252.83</v>
      </c>
      <c r="G7" s="1847"/>
      <c r="H7" s="349"/>
      <c r="I7" s="3169"/>
      <c r="J7" s="351"/>
      <c r="K7" s="352"/>
      <c r="L7" s="347" t="s">
        <v>1401</v>
      </c>
      <c r="M7" s="348">
        <f ca="1">F7</f>
        <v>2252.83</v>
      </c>
    </row>
    <row r="8" spans="1:37" ht="18" customHeight="1">
      <c r="A8" s="349"/>
      <c r="B8" s="3169"/>
      <c r="C8" s="351"/>
      <c r="D8" s="352"/>
      <c r="E8" s="347" t="s">
        <v>1402</v>
      </c>
      <c r="F8" s="348">
        <f ca="1">INDIRECT("'数据-取费表'!ai"&amp;$G$1)</f>
        <v>365</v>
      </c>
      <c r="G8" s="1847"/>
      <c r="H8" s="349"/>
      <c r="I8" s="3169"/>
      <c r="J8" s="351"/>
      <c r="K8" s="352"/>
      <c r="L8" s="347" t="s">
        <v>1402</v>
      </c>
      <c r="M8" s="348">
        <f ca="1">INDIRECT("'数据-取费表'!ai"&amp;$G$1)</f>
        <v>365</v>
      </c>
    </row>
    <row r="9" spans="1:37" ht="18" customHeight="1">
      <c r="A9" s="349"/>
      <c r="B9" s="3170"/>
      <c r="C9" s="351"/>
      <c r="D9" s="352"/>
      <c r="E9" s="347" t="s">
        <v>1403</v>
      </c>
      <c r="F9" s="357">
        <f ca="1">INDIRECT("'数据-取费表'!w"&amp;$G$1)</f>
        <v>0.1</v>
      </c>
      <c r="G9" s="1847"/>
      <c r="H9" s="349"/>
      <c r="I9" s="3170"/>
      <c r="J9" s="351"/>
      <c r="K9" s="352"/>
      <c r="L9" s="358" t="s">
        <v>1403</v>
      </c>
      <c r="M9" s="359">
        <f ca="1">INDIRECT("'数据-取费表'!ab"&amp;$G$1)</f>
        <v>0</v>
      </c>
    </row>
    <row r="10" spans="1:37" ht="18" customHeight="1">
      <c r="A10" s="1287" t="s">
        <v>1036</v>
      </c>
      <c r="B10" s="1819" t="s">
        <v>1404</v>
      </c>
      <c r="C10" s="361">
        <f ca="1">ROUND(IF(F10="押一",C6/12*F11,IF(F10="押二",C6/12*2*F11,IF(F10="押三",C6/12*3*F11,C11*F11))),0)</f>
        <v>0</v>
      </c>
      <c r="D10" s="1820" t="s">
        <v>3036</v>
      </c>
      <c r="E10" s="358" t="s">
        <v>1405</v>
      </c>
      <c r="F10" s="1362" t="s">
        <v>3152</v>
      </c>
      <c r="G10" s="1847"/>
      <c r="H10" s="1287" t="s">
        <v>1036</v>
      </c>
      <c r="I10" s="1819" t="s">
        <v>1404</v>
      </c>
      <c r="J10" s="346">
        <f ca="1">ROUND(IF(M10="押一",J6/12*M11,IF(M10="押二",J6/12*2*M11,IF(M10="押三",J6/12*3*M11,J11*M11))),0)</f>
        <v>0</v>
      </c>
      <c r="K10" s="1831" t="s">
        <v>3038</v>
      </c>
      <c r="L10" s="358" t="s">
        <v>1405</v>
      </c>
      <c r="M10" s="1362"/>
    </row>
    <row r="11" spans="1:37" ht="18" customHeight="1">
      <c r="A11" s="353"/>
      <c r="B11" s="1821" t="s">
        <v>1597</v>
      </c>
      <c r="C11" s="1175"/>
      <c r="D11" s="352"/>
      <c r="E11" s="358" t="s">
        <v>1407</v>
      </c>
      <c r="F11" s="359">
        <f ca="1">'数据-取费表'!B39</f>
        <v>1.4999999999999999E-2</v>
      </c>
      <c r="G11" s="1847"/>
      <c r="H11" s="1295"/>
      <c r="I11" s="1821" t="s">
        <v>1598</v>
      </c>
      <c r="J11" s="1175"/>
      <c r="K11" s="745"/>
      <c r="L11" s="358" t="s">
        <v>1407</v>
      </c>
      <c r="M11" s="1053">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5">
        <f ca="1">ROUND(C29*F13,0)</f>
        <v>4365796</v>
      </c>
      <c r="D13" s="1327" t="s">
        <v>1410</v>
      </c>
      <c r="E13" s="1327" t="s">
        <v>1411</v>
      </c>
      <c r="F13" s="1328">
        <f ca="1">INDIRECT("'数据-取费表'!y"&amp;$G$1)</f>
        <v>0.72</v>
      </c>
      <c r="G13" s="1847"/>
      <c r="H13" s="1325">
        <v>2</v>
      </c>
      <c r="I13" s="1326" t="s">
        <v>1409</v>
      </c>
      <c r="J13" s="1286">
        <f ca="1">ROUND(J14*J15,0)</f>
        <v>0</v>
      </c>
      <c r="K13" s="1333" t="s">
        <v>1410</v>
      </c>
      <c r="L13" s="1848"/>
      <c r="M13" s="1849"/>
    </row>
    <row r="14" spans="1:37" ht="18" customHeight="1">
      <c r="A14" s="1198" t="s">
        <v>1031</v>
      </c>
      <c r="B14" s="347" t="s">
        <v>1412</v>
      </c>
      <c r="C14" s="363">
        <f ca="1">ROUND(INDIRECT("'数据-取费表'!l"&amp;$G$1)*F43+'数据-取费表'!L14*INDIRECT("'数据-取费表'!S"&amp;$G$1),0)</f>
        <v>4505660</v>
      </c>
      <c r="D14" s="2956" t="s">
        <v>1413</v>
      </c>
      <c r="E14" s="2951"/>
      <c r="F14" s="364"/>
      <c r="G14" s="1847"/>
      <c r="H14" s="1198" t="s">
        <v>1032</v>
      </c>
      <c r="I14" s="347" t="s">
        <v>1414</v>
      </c>
      <c r="J14" s="24">
        <f ca="1">C29</f>
        <v>6063606</v>
      </c>
      <c r="K14" s="2967"/>
      <c r="L14" s="976"/>
      <c r="M14" s="977"/>
    </row>
    <row r="15" spans="1:37" s="1854" customFormat="1" ht="18" customHeight="1" thickBot="1">
      <c r="A15" s="1198" t="s">
        <v>1033</v>
      </c>
      <c r="B15" s="347" t="s">
        <v>1415</v>
      </c>
      <c r="C15" s="24">
        <f ca="1">ROUND(C14*F15,0)</f>
        <v>135170</v>
      </c>
      <c r="D15" s="365" t="s">
        <v>1416</v>
      </c>
      <c r="E15" s="365" t="s">
        <v>1417</v>
      </c>
      <c r="F15" s="366">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7" t="s">
        <v>1418</v>
      </c>
      <c r="C16" s="24">
        <f ca="1">ROUND(INDIRECT("'数据-取费表'!l"&amp;$G$1)*F43*F16,0)</f>
        <v>0</v>
      </c>
      <c r="D16" s="347" t="s">
        <v>1416</v>
      </c>
      <c r="E16" s="347" t="s">
        <v>1417</v>
      </c>
      <c r="F16" s="367">
        <f ca="1">IF(INDIRECT("'数据-取费表'!c"&amp;$G$1)="住宅",'数据-取费表'!B34,0)</f>
        <v>0</v>
      </c>
      <c r="G16" s="1847"/>
      <c r="H16" s="1325" t="s">
        <v>1027</v>
      </c>
      <c r="I16" s="1326" t="s">
        <v>1419</v>
      </c>
      <c r="J16" s="355">
        <f ca="1">ROUND(J17+J22+J23+J24,0)</f>
        <v>143719</v>
      </c>
      <c r="K16" s="1333" t="s">
        <v>1420</v>
      </c>
      <c r="L16" s="2958"/>
      <c r="M16" s="1290"/>
    </row>
    <row r="17" spans="1:37" s="1854" customFormat="1" ht="18" customHeight="1">
      <c r="A17" s="1198" t="s">
        <v>1385</v>
      </c>
      <c r="B17" s="347" t="s">
        <v>1421</v>
      </c>
      <c r="C17" s="24">
        <f ca="1">ROUND(F17*(F43+INDIRECT("'数据-取费表'!S"&amp;$G$1)),0)</f>
        <v>450566</v>
      </c>
      <c r="D17" s="347" t="s">
        <v>1422</v>
      </c>
      <c r="E17" s="347" t="s">
        <v>1423</v>
      </c>
      <c r="F17" s="26">
        <f>'数据-取费表'!B35</f>
        <v>200</v>
      </c>
      <c r="G17" s="1850"/>
      <c r="H17" s="1198" t="s">
        <v>1032</v>
      </c>
      <c r="I17" s="347" t="s">
        <v>1424</v>
      </c>
      <c r="J17" s="24">
        <f ca="1">ROUND(IF(项目基本情况!B11="自然人",J6*M17/(1+'数据-取费表'!C42),J18+J19+J20),0)</f>
        <v>52765</v>
      </c>
      <c r="K17" s="2956" t="s">
        <v>1425</v>
      </c>
      <c r="L17" s="2954" t="s">
        <v>1426</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7" t="s">
        <v>1427</v>
      </c>
      <c r="C18" s="24">
        <f ca="1">ROUND(C14*F18,0)</f>
        <v>67585</v>
      </c>
      <c r="D18" s="347" t="s">
        <v>1416</v>
      </c>
      <c r="E18" s="347" t="s">
        <v>1417</v>
      </c>
      <c r="F18" s="367">
        <f>'数据-取费表'!B36</f>
        <v>1.4999999999999999E-2</v>
      </c>
      <c r="G18" s="1850"/>
      <c r="H18" s="1198" t="s">
        <v>1031</v>
      </c>
      <c r="I18" s="347" t="s">
        <v>1428</v>
      </c>
      <c r="J18" s="24">
        <f ca="1">ROUND(J6*M18/(1+'数据-取费表'!C42),0)</f>
        <v>0</v>
      </c>
      <c r="K18" s="2954" t="s">
        <v>1429</v>
      </c>
      <c r="L18" s="347" t="s">
        <v>1417</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1430</v>
      </c>
      <c r="C19" s="24">
        <f ca="1">SUM(C14:C18)</f>
        <v>5158981</v>
      </c>
      <c r="D19" s="140" t="s">
        <v>1431</v>
      </c>
      <c r="E19" s="2965"/>
      <c r="F19" s="26"/>
      <c r="G19" s="1847"/>
      <c r="H19" s="1198" t="s">
        <v>1033</v>
      </c>
      <c r="I19" s="347" t="s">
        <v>1432</v>
      </c>
      <c r="J19" s="24">
        <f ca="1">IF(K19="按租金收入计税",ROUND(J6*M19/(1+'数据-取费表'!C42),0),ROUND(C29*M19*0.7,0))</f>
        <v>50934</v>
      </c>
      <c r="K19" s="1824" t="s">
        <v>1433</v>
      </c>
      <c r="L19" s="347" t="s">
        <v>1417</v>
      </c>
      <c r="M19" s="367">
        <f>IF(K19="按租金收入计税",'数据-取费表'!B51,'数据-取费表'!B50)</f>
        <v>1.2E-2</v>
      </c>
    </row>
    <row r="20" spans="1:37" s="1854" customFormat="1" ht="18" customHeight="1">
      <c r="A20" s="1198" t="s">
        <v>1036</v>
      </c>
      <c r="B20" s="347" t="s">
        <v>1434</v>
      </c>
      <c r="C20" s="24">
        <f ca="1">ROUND(C19*F20,0)</f>
        <v>77385</v>
      </c>
      <c r="D20" s="369" t="s">
        <v>1435</v>
      </c>
      <c r="E20" s="347" t="s">
        <v>1417</v>
      </c>
      <c r="F20" s="367">
        <f>'数据-取费表'!B37</f>
        <v>1.4999999999999999E-2</v>
      </c>
      <c r="G20" s="1850"/>
      <c r="H20" s="1198" t="s">
        <v>1384</v>
      </c>
      <c r="I20" s="164" t="s">
        <v>1436</v>
      </c>
      <c r="J20" s="25">
        <f ca="1">ROUND(M20*M21,0)</f>
        <v>1831</v>
      </c>
      <c r="K20" s="370" t="s">
        <v>1437</v>
      </c>
      <c r="L20" s="347" t="s">
        <v>1438</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1439</v>
      </c>
      <c r="C21" s="24" t="s">
        <v>1</v>
      </c>
      <c r="D21" s="369" t="s">
        <v>1440</v>
      </c>
      <c r="E21" s="347" t="s">
        <v>1441</v>
      </c>
      <c r="F21" s="367">
        <f>'数据-取费表'!B38</f>
        <v>1.4999999999999999E-2</v>
      </c>
      <c r="G21" s="1850"/>
      <c r="H21" s="372"/>
      <c r="I21" s="356"/>
      <c r="J21" s="29"/>
      <c r="K21" s="373"/>
      <c r="L21" s="347" t="s">
        <v>1442</v>
      </c>
      <c r="M21" s="348">
        <f ca="1">INDIRECT("'数据-取费表'!r"&amp;$G$1)</f>
        <v>610.36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7" t="s">
        <v>1443</v>
      </c>
      <c r="C22" s="24"/>
      <c r="D22" s="140" t="str">
        <f>IF(F23&lt;=1,"单利计息。","复利计息。")&amp;"建造成本、管理费用、销售费用产生的利息。"</f>
        <v>复利计息。建造成本、管理费用、销售费用产生的利息。</v>
      </c>
      <c r="E22" s="2965"/>
      <c r="F22" s="26"/>
      <c r="G22" s="1847"/>
      <c r="H22" s="1198" t="s">
        <v>1036</v>
      </c>
      <c r="I22" s="347" t="s">
        <v>1444</v>
      </c>
      <c r="J22" s="24">
        <f ca="1">ROUND(J14*M22,0)</f>
        <v>90954</v>
      </c>
      <c r="K22" s="2954" t="s">
        <v>1445</v>
      </c>
      <c r="L22" s="347" t="s">
        <v>1417</v>
      </c>
      <c r="M22" s="374">
        <f ca="1">INDIRECT("'数据-取费表'!Ak"&amp;$G$1)</f>
        <v>1.4999999999999999E-2</v>
      </c>
    </row>
    <row r="23" spans="1:37" s="1854" customFormat="1" ht="18" customHeight="1">
      <c r="A23" s="1198" t="s">
        <v>1031</v>
      </c>
      <c r="B23" s="347" t="s">
        <v>1446</v>
      </c>
      <c r="C23" s="24">
        <f ca="1">IF('数据-取费表'!B22&lt;=1,ROUND(C19*F24*F23/2,0)+ROUND(C20*F24*F23/2,0),ROUND(C19*(POWER((1+F24),F23/2)-1),0)+ROUND(C20*(POWER((1+F24),F23/2)-1),0))</f>
        <v>248728</v>
      </c>
      <c r="D23" s="375" t="str">
        <f>IF(F23&lt;=1,"(建造成本+管理费用)×利率×(建设周期÷2)","(建造成本+管理费用)×((1+利率)^(建设周期÷2)-1)")</f>
        <v>(建造成本+管理费用)×((1+利率)^(建设周期÷2)-1)</v>
      </c>
      <c r="E23" s="347" t="s">
        <v>1447</v>
      </c>
      <c r="F23" s="371">
        <f>'数据-取费表'!B20</f>
        <v>2</v>
      </c>
      <c r="G23" s="1850"/>
      <c r="H23" s="1198" t="s">
        <v>1072</v>
      </c>
      <c r="I23" s="347" t="s">
        <v>1448</v>
      </c>
      <c r="J23" s="24">
        <f ca="1">ROUND(J13*M23,0)</f>
        <v>0</v>
      </c>
      <c r="K23" s="2954" t="s">
        <v>1449</v>
      </c>
      <c r="L23" s="347" t="s">
        <v>1450</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0"/>
      <c r="H24" s="1335" t="s">
        <v>1387</v>
      </c>
      <c r="I24" s="1336" t="s">
        <v>1434</v>
      </c>
      <c r="J24" s="1337">
        <f ca="1">ROUND(J5*M24,0)</f>
        <v>0</v>
      </c>
      <c r="K24" s="1338" t="s">
        <v>1454</v>
      </c>
      <c r="L24" s="1336" t="s">
        <v>1450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1455</v>
      </c>
      <c r="B25" s="347" t="s">
        <v>1456</v>
      </c>
      <c r="C25" s="24"/>
      <c r="D25" s="140" t="s">
        <v>1457</v>
      </c>
      <c r="E25" s="2965"/>
      <c r="F25" s="26"/>
      <c r="G25" s="1847"/>
      <c r="H25" s="1325" t="s">
        <v>1028</v>
      </c>
      <c r="I25" s="1340" t="s">
        <v>1458</v>
      </c>
      <c r="J25" s="355">
        <f ca="1">J5-J16</f>
        <v>-143719</v>
      </c>
      <c r="K25" s="1341" t="s">
        <v>1459</v>
      </c>
      <c r="L25" s="1342"/>
      <c r="M25" s="1343"/>
    </row>
    <row r="26" spans="1:37" ht="18" customHeight="1">
      <c r="A26" s="1198" t="s">
        <v>1031</v>
      </c>
      <c r="B26" s="347" t="s">
        <v>1460</v>
      </c>
      <c r="C26" s="24">
        <f ca="1">ROUND((C19+C20)*F26,0)</f>
        <v>157091</v>
      </c>
      <c r="D26" s="369" t="s">
        <v>1461</v>
      </c>
      <c r="E26" s="358" t="s">
        <v>1462</v>
      </c>
      <c r="F26" s="357">
        <f ca="1">INDIRECT("'数据-取费表'!q"&amp;$G$1)</f>
        <v>0.03</v>
      </c>
      <c r="G26" s="1847"/>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198" t="s">
        <v>1033</v>
      </c>
      <c r="B27" s="347" t="s">
        <v>1466</v>
      </c>
      <c r="C27" s="24">
        <f ca="1">ROUND(F21*F26,4)</f>
        <v>5.0000000000000001E-4</v>
      </c>
      <c r="D27" s="369" t="s">
        <v>1467</v>
      </c>
      <c r="E27" s="365"/>
      <c r="F27" s="366"/>
      <c r="G27" s="1847"/>
      <c r="H27" s="349"/>
      <c r="I27" s="350"/>
      <c r="J27" s="351"/>
      <c r="K27" s="378" t="s">
        <v>1468</v>
      </c>
      <c r="L27" s="347" t="s">
        <v>1469</v>
      </c>
      <c r="M27" s="379">
        <f ca="1">INDIRECT("'数据-取费表'!ag"&amp;$G$1)</f>
        <v>0</v>
      </c>
    </row>
    <row r="28" spans="1:37" s="1854" customFormat="1" ht="18" customHeight="1">
      <c r="A28" s="1198" t="s">
        <v>1034</v>
      </c>
      <c r="B28" s="347" t="s">
        <v>1470</v>
      </c>
      <c r="C28" s="24">
        <f>ROUND(F28/(1+'数据-取费表'!C42),4)</f>
        <v>5.33E-2</v>
      </c>
      <c r="D28" s="369" t="s">
        <v>1471</v>
      </c>
      <c r="E28" s="347" t="s">
        <v>1417</v>
      </c>
      <c r="F28" s="367">
        <f>'数据-取费表'!B41</f>
        <v>5.6000000000000001E-2</v>
      </c>
      <c r="G28" s="1850"/>
      <c r="H28" s="353"/>
      <c r="I28" s="354"/>
      <c r="J28" s="355"/>
      <c r="K28" s="373"/>
      <c r="L28" s="347" t="s">
        <v>1472</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6063606</v>
      </c>
      <c r="D29" s="1338"/>
      <c r="E29" s="1336"/>
      <c r="F29" s="1339"/>
      <c r="G29" s="1850"/>
      <c r="H29" s="380" t="s">
        <v>1030</v>
      </c>
      <c r="I29" s="381" t="s">
        <v>1474</v>
      </c>
      <c r="J29" s="382">
        <f ca="1">ROUND(J26/(1+F40)^F41,0)</f>
        <v>0</v>
      </c>
      <c r="K29" s="383" t="s">
        <v>1475</v>
      </c>
      <c r="L29" s="384"/>
      <c r="M29" s="385">
        <f ca="1">INDIRECT("'数据-取费表'!k"&amp;$G$1)</f>
        <v>2252.83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5">
        <f ca="1">ROUND(C31+C36+C37+C38,0)</f>
        <v>204492</v>
      </c>
      <c r="D30" s="1333" t="s">
        <v>1420</v>
      </c>
      <c r="E30" s="2958"/>
      <c r="F30" s="1290"/>
      <c r="G30" s="1847"/>
      <c r="H30" s="742"/>
      <c r="I30" s="743"/>
      <c r="J30" s="744"/>
      <c r="K30" s="745"/>
      <c r="L30" s="746"/>
      <c r="M30" s="747"/>
    </row>
    <row r="31" spans="1:37" ht="18" customHeight="1">
      <c r="A31" s="1198" t="s">
        <v>1032</v>
      </c>
      <c r="B31" s="347" t="s">
        <v>1424</v>
      </c>
      <c r="C31" s="24">
        <f ca="1">ROUND(IF(项目基本情况!B11="自然人",C6*F31/(1+'数据-取费表'!C42),C32+C33+C34),0)</f>
        <v>101069</v>
      </c>
      <c r="D31" s="2956" t="s">
        <v>1425</v>
      </c>
      <c r="E31" s="2954" t="s">
        <v>1476</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7" t="s">
        <v>1428</v>
      </c>
      <c r="C32" s="24">
        <f ca="1">IF(项目基本情况!B11="自然人","——",ROUND(C6*F32/(1+'数据-取费表'!C42),0))</f>
        <v>31576</v>
      </c>
      <c r="D32" s="2954" t="s">
        <v>1429</v>
      </c>
      <c r="E32" s="347" t="s">
        <v>1417</v>
      </c>
      <c r="F32" s="377">
        <f>'数据-取费表'!B41</f>
        <v>5.6000000000000001E-2</v>
      </c>
      <c r="G32" s="1847"/>
      <c r="H32" s="742"/>
      <c r="I32" s="743"/>
      <c r="J32" s="744"/>
      <c r="K32" s="745"/>
      <c r="L32" s="746"/>
      <c r="M32" s="747"/>
    </row>
    <row r="33" spans="1:18" ht="18" customHeight="1">
      <c r="A33" s="1198" t="s">
        <v>1033</v>
      </c>
      <c r="B33" s="347" t="s">
        <v>1432</v>
      </c>
      <c r="C33" s="24">
        <f ca="1">IF(项目基本情况!B11="自然人","——",IF(D33="按租金收入计税",ROUND(C6*F33/(1+'数据-取费表'!C42),0),IF(D33="按房产原值计税",ROUND(C29*F33*0.7,0),INDIRECT("'数据-取费表'!Aj"&amp;$G$1))))</f>
        <v>67662</v>
      </c>
      <c r="D33" s="1824" t="s">
        <v>3109</v>
      </c>
      <c r="E33" s="347" t="s">
        <v>1417</v>
      </c>
      <c r="F33" s="367">
        <f>IF(D33="按票据","——",IF(D33="按租金收入计税",'数据-取费表'!B51,'数据-取费表'!B50))</f>
        <v>0.12</v>
      </c>
      <c r="G33" s="1847"/>
      <c r="H33" s="1855"/>
      <c r="I33" s="1856"/>
      <c r="J33" s="1857"/>
      <c r="K33" s="1858"/>
      <c r="L33" s="1855"/>
      <c r="M33" s="1855"/>
    </row>
    <row r="34" spans="1:18" ht="18" customHeight="1">
      <c r="A34" s="1287" t="s">
        <v>1384</v>
      </c>
      <c r="B34" s="164" t="s">
        <v>1436</v>
      </c>
      <c r="C34" s="25">
        <f ca="1">IF(项目基本情况!B11="自然人","——",ROUND(F34*F35,))</f>
        <v>1831</v>
      </c>
      <c r="D34" s="370" t="s">
        <v>1437</v>
      </c>
      <c r="E34" s="347" t="s">
        <v>1438</v>
      </c>
      <c r="F34" s="371">
        <f>'数据-取费表'!B52</f>
        <v>3</v>
      </c>
      <c r="G34" s="1847"/>
      <c r="H34" s="742"/>
      <c r="I34" s="1856"/>
      <c r="J34" s="1857"/>
      <c r="K34" s="1859"/>
      <c r="L34" s="1860"/>
      <c r="M34" s="1860"/>
    </row>
    <row r="35" spans="1:18" ht="18" customHeight="1">
      <c r="A35" s="1349"/>
      <c r="B35" s="1347"/>
      <c r="C35" s="29"/>
      <c r="D35" s="373"/>
      <c r="E35" s="347" t="s">
        <v>1442</v>
      </c>
      <c r="F35" s="348">
        <f ca="1">INDIRECT("'数据-取费表'!r"&amp;$G$1)</f>
        <v>610.36</v>
      </c>
      <c r="G35" s="1847"/>
      <c r="H35" s="742"/>
      <c r="I35" s="1856"/>
      <c r="J35" s="1857"/>
      <c r="K35" s="1858"/>
      <c r="L35" s="1855"/>
      <c r="M35" s="1855"/>
    </row>
    <row r="36" spans="1:18" ht="18" customHeight="1">
      <c r="A36" s="1348" t="s">
        <v>1036</v>
      </c>
      <c r="B36" s="347" t="s">
        <v>1444</v>
      </c>
      <c r="C36" s="24">
        <f ca="1">ROUND(C29*F36,0)</f>
        <v>90954</v>
      </c>
      <c r="D36" s="2954" t="s">
        <v>1477</v>
      </c>
      <c r="E36" s="347" t="s">
        <v>1417</v>
      </c>
      <c r="F36" s="374">
        <f ca="1">INDIRECT("'数据-取费表'!Ak"&amp;$G$1)</f>
        <v>1.4999999999999999E-2</v>
      </c>
      <c r="G36" s="1847"/>
      <c r="H36" s="1855"/>
      <c r="I36" s="1856"/>
      <c r="J36" s="1857"/>
      <c r="K36" s="748"/>
      <c r="L36" s="1855"/>
      <c r="M36" s="1855"/>
    </row>
    <row r="37" spans="1:18" ht="18" customHeight="1">
      <c r="A37" s="1198" t="s">
        <v>1072</v>
      </c>
      <c r="B37" s="347" t="s">
        <v>1448</v>
      </c>
      <c r="C37" s="24">
        <f ca="1">ROUND(C13*F37,0)</f>
        <v>6549</v>
      </c>
      <c r="D37" s="2954" t="s">
        <v>1449</v>
      </c>
      <c r="E37" s="347" t="s">
        <v>1450</v>
      </c>
      <c r="F37" s="376">
        <f ca="1">INDIRECT("'数据-取费表'!Al"&amp;$G$1)</f>
        <v>1.5E-3</v>
      </c>
      <c r="G37" s="1847"/>
      <c r="H37" s="1855"/>
      <c r="I37" s="1856"/>
      <c r="J37" s="1857"/>
      <c r="K37" s="748"/>
      <c r="L37" s="1855"/>
      <c r="M37" s="1855"/>
    </row>
    <row r="38" spans="1:18" ht="18" customHeight="1" thickBot="1">
      <c r="A38" s="1335" t="s">
        <v>1387</v>
      </c>
      <c r="B38" s="1336" t="s">
        <v>1434</v>
      </c>
      <c r="C38" s="1337">
        <f ca="1">ROUND(C5*F38,1)</f>
        <v>5920.4</v>
      </c>
      <c r="D38" s="1338" t="s">
        <v>1454</v>
      </c>
      <c r="E38" s="1336" t="s">
        <v>1450</v>
      </c>
      <c r="F38" s="1332">
        <f ca="1">INDIRECT("'数据-取费表'!Am"&amp;$G$1)</f>
        <v>0.01</v>
      </c>
      <c r="G38" s="1847"/>
      <c r="H38" s="1855"/>
      <c r="I38" s="1856"/>
      <c r="J38" s="1857"/>
      <c r="K38" s="1861"/>
      <c r="L38" s="1855"/>
      <c r="M38" s="1855"/>
    </row>
    <row r="39" spans="1:18" ht="24.6" customHeight="1" thickTop="1">
      <c r="A39" s="1325" t="s">
        <v>1028</v>
      </c>
      <c r="B39" s="1340" t="s">
        <v>1458</v>
      </c>
      <c r="C39" s="355">
        <f ca="1">C5-C30</f>
        <v>387552</v>
      </c>
      <c r="D39" s="1341" t="s">
        <v>1479</v>
      </c>
      <c r="E39" s="1342"/>
      <c r="F39" s="1343"/>
      <c r="G39" s="1847"/>
      <c r="H39" s="1855"/>
      <c r="I39" s="1856"/>
      <c r="J39" s="1857"/>
      <c r="K39" s="1861"/>
      <c r="L39" s="1855"/>
      <c r="M39" s="1855"/>
    </row>
    <row r="40" spans="1:18" ht="18" customHeight="1">
      <c r="A40" s="344" t="s">
        <v>1029</v>
      </c>
      <c r="B40" s="345" t="s">
        <v>1480</v>
      </c>
      <c r="C40" s="346">
        <f ca="1">ROUND(C39*(1-((1+F42)/(1+F40))^F41)/(F40-F42),0)</f>
        <v>6555149</v>
      </c>
      <c r="D40" s="370" t="s">
        <v>1464</v>
      </c>
      <c r="E40" s="347" t="s">
        <v>1465</v>
      </c>
      <c r="F40" s="357">
        <f ca="1">INDIRECT("'数据-取费表'!I"&amp;$G$1)</f>
        <v>4.4999999999999998E-2</v>
      </c>
      <c r="G40" s="1847"/>
      <c r="H40" s="1835"/>
      <c r="I40" s="1856"/>
      <c r="J40" s="1857"/>
      <c r="K40" s="1861"/>
      <c r="L40" s="1835"/>
      <c r="M40" s="1835"/>
    </row>
    <row r="41" spans="1:18" ht="18" customHeight="1">
      <c r="A41" s="349"/>
      <c r="B41" s="350"/>
      <c r="C41" s="351"/>
      <c r="D41" s="378" t="s">
        <v>1481</v>
      </c>
      <c r="E41" s="347" t="s">
        <v>1469</v>
      </c>
      <c r="F41" s="379">
        <f ca="1">IF(INDIRECT("'数据-取费表'!af"&amp;$G$1)=0,INDIRECT("'数据-取费表'!ae"&amp;$G$1),INDIRECT("'数据-取费表'!af"&amp;$G$1))</f>
        <v>22.7</v>
      </c>
      <c r="G41" s="1847"/>
      <c r="H41" s="729"/>
      <c r="I41" s="1856"/>
      <c r="J41" s="1857"/>
      <c r="K41" s="748"/>
      <c r="L41" s="729"/>
      <c r="M41" s="729"/>
    </row>
    <row r="42" spans="1:18" ht="18" customHeight="1">
      <c r="A42" s="353"/>
      <c r="B42" s="354"/>
      <c r="C42" s="355"/>
      <c r="D42" s="373"/>
      <c r="E42" s="347" t="s">
        <v>1472</v>
      </c>
      <c r="F42" s="357">
        <f ca="1">INDIRECT("'数据-取费表'!v"&amp;$G$1)</f>
        <v>0.02</v>
      </c>
      <c r="G42" s="1847"/>
      <c r="H42" s="729"/>
      <c r="I42" s="1856"/>
      <c r="J42" s="1857"/>
      <c r="K42" s="748"/>
      <c r="L42" s="729"/>
      <c r="M42" s="729"/>
    </row>
    <row r="43" spans="1:18" ht="18" customHeight="1" thickBot="1">
      <c r="A43" s="380" t="s">
        <v>1030</v>
      </c>
      <c r="B43" s="381" t="s">
        <v>1482</v>
      </c>
      <c r="C43" s="382">
        <f ca="1">ROUND(C40/F43,0)</f>
        <v>2910</v>
      </c>
      <c r="D43" s="383" t="s">
        <v>1483</v>
      </c>
      <c r="E43" s="384" t="s">
        <v>1484</v>
      </c>
      <c r="F43" s="385">
        <f ca="1">INDIRECT("'数据-取费表'!k"&amp;$G$1)</f>
        <v>2252.83</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f ca="1">C68-C40</f>
        <v>-16850460</v>
      </c>
      <c r="D45" s="1935" t="s">
        <v>1599</v>
      </c>
      <c r="E45" s="1862"/>
      <c r="F45" s="1862"/>
      <c r="O45" s="1865" t="s">
        <v>1514</v>
      </c>
      <c r="P45" s="1835"/>
      <c r="Q45" s="1835"/>
      <c r="R45" s="1835"/>
    </row>
    <row r="46" spans="1:18" s="1838" customFormat="1" ht="13.5" thickBot="1">
      <c r="A46" s="1866" t="s">
        <v>1515</v>
      </c>
      <c r="C46" s="1867">
        <f ca="1">ROUND(C45/10000,0)</f>
        <v>-1685</v>
      </c>
      <c r="D46" s="1868" t="str">
        <f>C2</f>
        <v>万元</v>
      </c>
      <c r="I46" s="1869" t="s">
        <v>1516</v>
      </c>
      <c r="J46" s="1870"/>
      <c r="K46" s="1871"/>
      <c r="L46" s="1872">
        <f ca="1">IF(M47="住宅",0,IF(L48&gt;J51,L60,J60))</f>
        <v>2425442</v>
      </c>
      <c r="O46" s="1873" t="s">
        <v>1517</v>
      </c>
      <c r="P46" s="1874" t="s">
        <v>1518</v>
      </c>
      <c r="Q46" s="1875" t="s">
        <v>1519</v>
      </c>
      <c r="R46" s="1875" t="s">
        <v>1520</v>
      </c>
    </row>
    <row r="47" spans="1:18" s="1838" customFormat="1" ht="13.5" thickBot="1">
      <c r="A47" s="1162" t="s">
        <v>1391</v>
      </c>
      <c r="B47" s="1194" t="s">
        <v>1392</v>
      </c>
      <c r="C47" s="1194" t="s">
        <v>1393</v>
      </c>
      <c r="D47" s="1194" t="s">
        <v>1394</v>
      </c>
      <c r="E47" s="1275" t="s">
        <v>1395</v>
      </c>
      <c r="F47" s="1276"/>
      <c r="G47" s="789"/>
      <c r="I47" s="1876" t="s">
        <v>1521</v>
      </c>
      <c r="J47" s="1877" t="s">
        <v>3093</v>
      </c>
      <c r="K47" s="1878" t="s">
        <v>1522</v>
      </c>
      <c r="L47" s="1879">
        <f ca="1">INDIRECT("'数据-取费表'!d"&amp;$G$1)</f>
        <v>50</v>
      </c>
      <c r="M47" s="1834" t="str">
        <f>IF(ISNUMBER(FIND("住宅",C1)),"住宅","非住宅")</f>
        <v>非住宅</v>
      </c>
      <c r="O47" s="1880" t="s">
        <v>1037</v>
      </c>
      <c r="P47" s="1881" t="s">
        <v>1523</v>
      </c>
      <c r="Q47" s="1882">
        <f ca="1">C40+J29</f>
        <v>6555149</v>
      </c>
      <c r="R47" s="1882" t="s">
        <v>1524</v>
      </c>
    </row>
    <row r="48" spans="1:18" s="1838" customFormat="1" ht="28.5" thickBot="1">
      <c r="A48" s="1356" t="s">
        <v>1132</v>
      </c>
      <c r="B48" s="345" t="s">
        <v>1396</v>
      </c>
      <c r="C48" s="2964">
        <f ca="1">C49+C53+C55</f>
        <v>0</v>
      </c>
      <c r="D48" s="1358"/>
      <c r="E48" s="1359"/>
      <c r="F48" s="1178"/>
      <c r="G48" s="789"/>
      <c r="H48" s="790"/>
      <c r="I48" s="1883" t="s">
        <v>1525</v>
      </c>
      <c r="J48" s="1884" t="s">
        <v>3107</v>
      </c>
      <c r="K48" s="1885" t="s">
        <v>1526</v>
      </c>
      <c r="L48" s="1886">
        <f ca="1">INDIRECT("'数据-取费表'!f"&amp;$G$1)</f>
        <v>22.7</v>
      </c>
      <c r="O48" s="1880" t="s">
        <v>1038</v>
      </c>
      <c r="P48" s="1881" t="s">
        <v>1527</v>
      </c>
      <c r="Q48" s="1882">
        <f ca="1">J60</f>
        <v>2425442</v>
      </c>
      <c r="R48" s="1882" t="s">
        <v>1528</v>
      </c>
    </row>
    <row r="49" spans="1:18" s="1838" customFormat="1" ht="13.5" thickBot="1">
      <c r="A49" s="1191" t="s">
        <v>1133</v>
      </c>
      <c r="B49" s="1825" t="s">
        <v>1485</v>
      </c>
      <c r="C49" s="1360">
        <f ca="1">ROUND(F49*F51*F50*(1-F52),0)</f>
        <v>0</v>
      </c>
      <c r="D49" s="1272" t="s">
        <v>1399</v>
      </c>
      <c r="E49" s="1826" t="s">
        <v>1486</v>
      </c>
      <c r="F49" s="1277"/>
      <c r="G49" s="1887"/>
      <c r="H49" s="790"/>
      <c r="I49" s="1883" t="s">
        <v>1529</v>
      </c>
      <c r="J49" s="1888">
        <v>2002</v>
      </c>
      <c r="K49" s="1885" t="s">
        <v>1530</v>
      </c>
      <c r="L49" s="1889"/>
      <c r="O49" s="1890" t="s">
        <v>1039</v>
      </c>
      <c r="P49" s="1881" t="s">
        <v>1531</v>
      </c>
      <c r="Q49" s="1882">
        <f ca="1">C29</f>
        <v>6063606</v>
      </c>
      <c r="R49" s="1882" t="s">
        <v>1524</v>
      </c>
    </row>
    <row r="50" spans="1:18" s="1838" customFormat="1" ht="13.5" thickBot="1">
      <c r="A50" s="1192"/>
      <c r="B50" s="1195"/>
      <c r="C50" s="1196"/>
      <c r="D50" s="1169"/>
      <c r="E50" s="1273" t="s">
        <v>1401</v>
      </c>
      <c r="F50" s="1274">
        <f ca="1">F7</f>
        <v>2252.83</v>
      </c>
      <c r="H50" s="790"/>
      <c r="I50" s="1883" t="s">
        <v>1532</v>
      </c>
      <c r="J50" s="1891">
        <f>SUMPRODUCT((I63:I65=J47)*(J62:L62=J48)*(J63:L65))</f>
        <v>60</v>
      </c>
      <c r="K50" s="1885" t="s">
        <v>1533</v>
      </c>
      <c r="L50" s="1889"/>
      <c r="M50" s="1892"/>
      <c r="O50" s="1890" t="s">
        <v>1040</v>
      </c>
      <c r="P50" s="1881" t="s">
        <v>1534</v>
      </c>
      <c r="Q50" s="1893">
        <f ca="1">J58</f>
        <v>0.4</v>
      </c>
      <c r="R50" s="1882"/>
    </row>
    <row r="51" spans="1:18" s="1838" customFormat="1" ht="13.5" thickBot="1">
      <c r="A51" s="1193"/>
      <c r="B51" s="1195"/>
      <c r="C51" s="1196"/>
      <c r="D51" s="1169"/>
      <c r="E51" s="1197" t="s">
        <v>1402</v>
      </c>
      <c r="F51" s="348">
        <f ca="1">F8</f>
        <v>365</v>
      </c>
      <c r="I51" s="1894" t="s">
        <v>1535</v>
      </c>
      <c r="J51" s="1895">
        <f>IF(J49="",J50,J49+J50-YEAR('数据-取费表'!B2))</f>
        <v>43</v>
      </c>
      <c r="K51" s="1896" t="s">
        <v>1536</v>
      </c>
      <c r="L51" s="1897">
        <f ca="1">ROUND(-PV(INDIRECT("'数据-取费表'!h"&amp;$G$1),L48,(C39-C13*C76),0),0)</f>
        <v>242558</v>
      </c>
      <c r="M51" s="1898"/>
      <c r="O51" s="1890" t="s">
        <v>1041</v>
      </c>
      <c r="P51" s="1881" t="s">
        <v>1537</v>
      </c>
      <c r="Q51" s="1893">
        <f>J52</f>
        <v>0</v>
      </c>
      <c r="R51" s="1882"/>
    </row>
    <row r="52" spans="1:18" s="1838" customFormat="1" ht="13.5" thickBot="1">
      <c r="A52" s="1193"/>
      <c r="B52" s="1195"/>
      <c r="C52" s="1196"/>
      <c r="D52" s="1169"/>
      <c r="E52" s="1197" t="s">
        <v>1403</v>
      </c>
      <c r="F52" s="1271"/>
      <c r="I52" s="1899" t="s">
        <v>1538</v>
      </c>
      <c r="J52" s="1900"/>
      <c r="K52" s="1899" t="s">
        <v>1539</v>
      </c>
      <c r="L52" s="1900"/>
      <c r="O52" s="1890" t="s">
        <v>1042</v>
      </c>
      <c r="P52" s="1881" t="s">
        <v>1540</v>
      </c>
      <c r="Q52" s="1882">
        <f ca="1">J53</f>
        <v>22.7</v>
      </c>
      <c r="R52" s="1882" t="s">
        <v>1541</v>
      </c>
    </row>
    <row r="53" spans="1:18" s="1838" customFormat="1" ht="30.75" customHeight="1" thickBot="1">
      <c r="A53" s="1357" t="s">
        <v>1134</v>
      </c>
      <c r="B53" s="369" t="s">
        <v>1404</v>
      </c>
      <c r="C53" s="361">
        <f ca="1">ROUND(IF(F53="押一",C49/12*F11,IF(F53="押二",C49/12*2*F11,IF(F53="押三",C49/12*3*F11,C54*F11))),0)</f>
        <v>0</v>
      </c>
      <c r="D53" s="1820" t="s">
        <v>3039</v>
      </c>
      <c r="E53" s="358" t="s">
        <v>1405</v>
      </c>
      <c r="F53" s="1362"/>
      <c r="I53" s="1901" t="s">
        <v>1542</v>
      </c>
      <c r="J53" s="2947">
        <f ca="1">IF(M47="住宅",IF(D1="——",MAX(J51,L48),MAX(J51,L48-'数据-取费表'!B24)),IF(D1="——",MIN(J51,L48),MIN(J51,L48-'数据-取费表'!B24)))</f>
        <v>22.7</v>
      </c>
      <c r="K53" s="3166" t="s">
        <v>1543</v>
      </c>
      <c r="L53" s="3167"/>
      <c r="O53" s="1880" t="s">
        <v>1043</v>
      </c>
      <c r="P53" s="1881" t="s">
        <v>1544</v>
      </c>
      <c r="Q53" s="1882">
        <f ca="1">Q47+Q48</f>
        <v>8980591</v>
      </c>
      <c r="R53" s="1882" t="s">
        <v>1044</v>
      </c>
    </row>
    <row r="54" spans="1:18" s="1838" customFormat="1" ht="13.5" thickBot="1">
      <c r="A54" s="1191"/>
      <c r="B54" s="1936" t="s">
        <v>1598</v>
      </c>
      <c r="C54" s="1175"/>
      <c r="D54" s="1820"/>
      <c r="E54" s="296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2960"/>
      <c r="F55" s="1902"/>
      <c r="I55" s="1905" t="s">
        <v>1546</v>
      </c>
      <c r="J55" s="1906">
        <f ca="1">ROUND(IF(J47="钢混",J57/J50,1-(1-2%)*(J50-J57)/J50),3)</f>
        <v>0.33800000000000002</v>
      </c>
      <c r="K55" s="1907" t="s">
        <v>1547</v>
      </c>
      <c r="L55" s="1908"/>
      <c r="O55" s="1873" t="s">
        <v>1517</v>
      </c>
      <c r="P55" s="1874" t="s">
        <v>1518</v>
      </c>
      <c r="Q55" s="1875" t="s">
        <v>1519</v>
      </c>
      <c r="R55" s="1875" t="s">
        <v>1520</v>
      </c>
    </row>
    <row r="56" spans="1:18" s="1838" customFormat="1" ht="36" customHeight="1" thickTop="1" thickBot="1">
      <c r="A56" s="1173">
        <v>2</v>
      </c>
      <c r="B56" s="1174" t="s">
        <v>1409</v>
      </c>
      <c r="C56" s="276">
        <f ca="1">C13</f>
        <v>4365796</v>
      </c>
      <c r="D56" s="1909"/>
      <c r="E56" s="1910"/>
      <c r="F56" s="1902"/>
      <c r="I56" s="1911" t="s">
        <v>1549</v>
      </c>
      <c r="J56" s="1912"/>
      <c r="K56" s="1883" t="s">
        <v>1550</v>
      </c>
      <c r="L56" s="1886" t="str">
        <f ca="1">IF(L48&lt;J51,"——",L48-J51)</f>
        <v>——</v>
      </c>
      <c r="O56" s="1880" t="s">
        <v>1037</v>
      </c>
      <c r="P56" s="1881" t="s">
        <v>1523</v>
      </c>
      <c r="Q56" s="1882">
        <f ca="1">C40+J29</f>
        <v>6555149</v>
      </c>
      <c r="R56" s="1882" t="s">
        <v>1524</v>
      </c>
    </row>
    <row r="57" spans="1:18" s="1838" customFormat="1" ht="24.75" thickBot="1">
      <c r="A57" s="1913"/>
      <c r="B57" s="1166" t="s">
        <v>1473</v>
      </c>
      <c r="C57" s="282">
        <f ca="1">C29</f>
        <v>6063606</v>
      </c>
      <c r="D57" s="1914"/>
      <c r="E57" s="1915"/>
      <c r="F57" s="1916"/>
      <c r="I57" s="1917" t="s">
        <v>1551</v>
      </c>
      <c r="J57" s="1918">
        <f ca="1">IF(OR(M47="住宅",J51&lt;L48,J56="是"),"——",J51-L48)</f>
        <v>20.3</v>
      </c>
      <c r="K57" s="1883" t="s">
        <v>1600</v>
      </c>
      <c r="L57" s="1886" t="str">
        <f ca="1">IF(L48&lt;J51,"——",IF(L55="比较法",L49,IF(L55="基准地价",L50,L51)))</f>
        <v>——</v>
      </c>
      <c r="O57" s="1880" t="s">
        <v>1038</v>
      </c>
      <c r="P57" s="1881" t="s">
        <v>1601</v>
      </c>
      <c r="Q57" s="1882">
        <f ca="1">L60</f>
        <v>0</v>
      </c>
      <c r="R57" s="1882" t="s">
        <v>1602</v>
      </c>
    </row>
    <row r="58" spans="1:18" s="1838" customFormat="1" ht="24.75" thickBot="1">
      <c r="A58" s="360" t="s">
        <v>1027</v>
      </c>
      <c r="B58" s="1174" t="s">
        <v>1419</v>
      </c>
      <c r="C58" s="361">
        <f ca="1">ROUND(C59+C64+C65+C66,0)</f>
        <v>608677</v>
      </c>
      <c r="D58" s="1176" t="s">
        <v>1420</v>
      </c>
      <c r="E58" s="1177"/>
      <c r="F58" s="1178"/>
      <c r="I58" s="1917" t="s">
        <v>1555</v>
      </c>
      <c r="J58" s="1919">
        <f ca="1">IF(J55&lt;0.4,0.4,J55)</f>
        <v>0.4</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ROUND(IF(项目基本情况!B11="自然人",C48*F59,C60+C61+C62),0)</f>
        <v>511174</v>
      </c>
      <c r="D59" s="1179" t="s">
        <v>1425</v>
      </c>
      <c r="E59" s="1180" t="s">
        <v>1426</v>
      </c>
      <c r="F59" s="368" t="str">
        <f ca="1">IF(项目基本情况!B11="企业","",IF(INDIRECT("'数据-取费表'!c"&amp;$G$1)="住宅",5%,IF(F49*F50*F51/12/(1+'数据-取费表'!C42)&gt;20000,12%,7%)))</f>
        <v/>
      </c>
      <c r="I59" s="1917" t="s">
        <v>1558</v>
      </c>
      <c r="J59" s="1918">
        <f ca="1">IF(OR(M47="住宅",J51&lt;L48,J56="是"),"——",ROUND(C29*J58,0))</f>
        <v>2425442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IF(项目基本情况!B11="自然人","——",ROUND(C48*F60/(1+'数据-取费表'!C42),0))</f>
        <v>0</v>
      </c>
      <c r="D60" s="1180" t="s">
        <v>1429</v>
      </c>
      <c r="E60" s="1166" t="s">
        <v>1417</v>
      </c>
      <c r="F60" s="377">
        <f t="shared" ref="F60:F66" si="0">F32</f>
        <v>5.6000000000000001E-2</v>
      </c>
      <c r="I60" s="1920" t="s">
        <v>1560</v>
      </c>
      <c r="J60" s="1921">
        <f ca="1">IF(OR(M47="住宅",J51&lt;L48,J56="是"),"0",ROUND(J59/(1+J52)^J53,0))</f>
        <v>2425442</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IF(项目基本情况!B11="自然人","——",IF(D61="按租金收入计税",ROUND(C48*F61,0),IF(D61="按房产原值计税",ROUND(C57*F61*0.7,0),INDIRECT("'数据-取费表'!Aj"&amp;$G$1))))</f>
        <v>509343</v>
      </c>
      <c r="D61" s="1824" t="s">
        <v>1433</v>
      </c>
      <c r="E61" s="1166" t="s">
        <v>1489</v>
      </c>
      <c r="F61" s="367">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1491</v>
      </c>
      <c r="C62" s="25">
        <f ca="1">IF(项目基本情况!B11="自然人","——",ROUND(F62*F63,0))</f>
        <v>1831</v>
      </c>
      <c r="D62" s="1181" t="s">
        <v>1437</v>
      </c>
      <c r="E62" s="1166" t="s">
        <v>1438</v>
      </c>
      <c r="F62" s="371">
        <f t="shared" si="0"/>
        <v>3</v>
      </c>
      <c r="I62" s="1924" t="s">
        <v>1565</v>
      </c>
      <c r="J62" s="1925" t="s">
        <v>1566</v>
      </c>
      <c r="K62" s="1925" t="s">
        <v>1567</v>
      </c>
      <c r="L62" s="1925" t="s">
        <v>1568</v>
      </c>
      <c r="M62" s="1926" t="s">
        <v>1569</v>
      </c>
      <c r="O62" s="1880" t="s">
        <v>1043</v>
      </c>
      <c r="P62" s="1881" t="s">
        <v>1544</v>
      </c>
      <c r="Q62" s="1882">
        <f ca="1">Q56+Q57</f>
        <v>6555149</v>
      </c>
      <c r="R62" s="1882" t="s">
        <v>1044</v>
      </c>
    </row>
    <row r="63" spans="1:18" s="1838" customFormat="1" ht="13.5" thickBot="1">
      <c r="A63" s="372"/>
      <c r="B63" s="1172"/>
      <c r="C63" s="29"/>
      <c r="D63" s="1182"/>
      <c r="E63" s="1166" t="s">
        <v>1494</v>
      </c>
      <c r="F63" s="348">
        <f t="shared" ca="1" si="0"/>
        <v>610.36</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f ca="1">ROUND(C57*F64,0)</f>
        <v>90954</v>
      </c>
      <c r="D64" s="1180" t="s">
        <v>1497</v>
      </c>
      <c r="E64" s="1166" t="s">
        <v>1489</v>
      </c>
      <c r="F64" s="374">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ROUND(C56*F65,0)</f>
        <v>6549</v>
      </c>
      <c r="D65" s="1180" t="s">
        <v>1449</v>
      </c>
      <c r="E65" s="1166" t="s">
        <v>1450</v>
      </c>
      <c r="F65" s="376">
        <f t="shared" ca="1" si="0"/>
        <v>1.5E-3</v>
      </c>
      <c r="I65" s="1924" t="s">
        <v>1574</v>
      </c>
      <c r="J65" s="1925">
        <v>40</v>
      </c>
      <c r="K65" s="1925">
        <v>30</v>
      </c>
      <c r="L65" s="1925">
        <v>50</v>
      </c>
      <c r="M65" s="1927">
        <v>0.02</v>
      </c>
      <c r="O65" s="1880" t="s">
        <v>1037</v>
      </c>
      <c r="P65" s="1881" t="s">
        <v>1575</v>
      </c>
      <c r="Q65" s="1882">
        <f ca="1">C40+J29</f>
        <v>6555149</v>
      </c>
      <c r="R65" s="1882" t="s">
        <v>1524</v>
      </c>
    </row>
    <row r="66" spans="1:18" s="1838" customFormat="1" ht="16.5" thickBot="1">
      <c r="A66" s="1198" t="s">
        <v>1499</v>
      </c>
      <c r="B66" s="1166" t="s">
        <v>1434</v>
      </c>
      <c r="C66" s="24">
        <f ca="1">ROUND(C48*F66,0)</f>
        <v>0</v>
      </c>
      <c r="D66" s="1180" t="s">
        <v>1500</v>
      </c>
      <c r="E66" s="1166" t="s">
        <v>1417</v>
      </c>
      <c r="F66" s="357">
        <f t="shared" ca="1" si="0"/>
        <v>0.01</v>
      </c>
      <c r="O66" s="1880" t="s">
        <v>1038</v>
      </c>
      <c r="P66" s="1881" t="s">
        <v>1553</v>
      </c>
      <c r="Q66" s="1882">
        <f ca="1">L60</f>
        <v>0</v>
      </c>
      <c r="R66" s="1882" t="s">
        <v>1576</v>
      </c>
    </row>
    <row r="67" spans="1:18" s="1838" customFormat="1" ht="16.5" thickBot="1">
      <c r="A67" s="1173" t="s">
        <v>1028</v>
      </c>
      <c r="B67" s="1183" t="s">
        <v>1458</v>
      </c>
      <c r="C67" s="361">
        <f ca="1">C48-C58</f>
        <v>-608677</v>
      </c>
      <c r="D67" s="1179" t="s">
        <v>1459</v>
      </c>
      <c r="E67" s="1184"/>
      <c r="F67" s="1185"/>
      <c r="O67" s="1890" t="s">
        <v>1039</v>
      </c>
      <c r="P67" s="1881" t="s">
        <v>1557</v>
      </c>
      <c r="Q67" s="1928">
        <f ca="1">L51</f>
        <v>242558</v>
      </c>
      <c r="R67" s="1882" t="s">
        <v>1577</v>
      </c>
    </row>
    <row r="68" spans="1:18" s="1838" customFormat="1" ht="16.5" thickBot="1">
      <c r="A68" s="1163" t="s">
        <v>1029</v>
      </c>
      <c r="B68" s="1164" t="s">
        <v>1480</v>
      </c>
      <c r="C68" s="346">
        <f ca="1">ROUND(C67*(1-((1+F70)/(1+F68))^F69)/(F68-F70),0)</f>
        <v>-10295311</v>
      </c>
      <c r="D68" s="1181" t="s">
        <v>1464</v>
      </c>
      <c r="E68" s="1166" t="s">
        <v>1465</v>
      </c>
      <c r="F68" s="357">
        <f ca="1">F40</f>
        <v>4.4999999999999998E-2</v>
      </c>
      <c r="O68" s="1890" t="s">
        <v>1040</v>
      </c>
      <c r="P68" s="1929" t="s">
        <v>1578</v>
      </c>
      <c r="Q68" s="1882">
        <f ca="1">ROUND(Q69-Q70*Q71,0)</f>
        <v>16459</v>
      </c>
      <c r="R68" s="1882" t="s">
        <v>1048</v>
      </c>
    </row>
    <row r="69" spans="1:18" s="1838" customFormat="1" ht="13.5" thickBot="1">
      <c r="A69" s="1167"/>
      <c r="B69" s="1168"/>
      <c r="C69" s="351"/>
      <c r="D69" s="1186" t="s">
        <v>1468</v>
      </c>
      <c r="E69" s="1166" t="s">
        <v>1469</v>
      </c>
      <c r="F69" s="379">
        <f ca="1">F41</f>
        <v>22.7</v>
      </c>
      <c r="O69" s="1890" t="s">
        <v>1045</v>
      </c>
      <c r="P69" s="1929" t="s">
        <v>1579</v>
      </c>
      <c r="Q69" s="1882">
        <f ca="1">C39</f>
        <v>387552</v>
      </c>
      <c r="R69" s="1882" t="s">
        <v>1524</v>
      </c>
    </row>
    <row r="70" spans="1:18" s="1838" customFormat="1" ht="13.5" thickBot="1">
      <c r="A70" s="1170"/>
      <c r="B70" s="1171"/>
      <c r="C70" s="355"/>
      <c r="D70" s="1182"/>
      <c r="E70" s="1166" t="s">
        <v>1472</v>
      </c>
      <c r="F70" s="1271">
        <f ca="1">F42</f>
        <v>0.02</v>
      </c>
      <c r="O70" s="1890" t="s">
        <v>1046</v>
      </c>
      <c r="P70" s="1929" t="s">
        <v>1580</v>
      </c>
      <c r="Q70" s="1882">
        <f ca="1">C13</f>
        <v>4365796</v>
      </c>
      <c r="R70" s="1882" t="s">
        <v>1524</v>
      </c>
    </row>
    <row r="71" spans="1:18" s="1838" customFormat="1" ht="13.5" thickBot="1">
      <c r="A71" s="1187" t="s">
        <v>1030</v>
      </c>
      <c r="B71" s="1188" t="s">
        <v>1482</v>
      </c>
      <c r="C71" s="382">
        <f ca="1">ROUND(C68/F71,0)</f>
        <v>-4570</v>
      </c>
      <c r="D71" s="1189" t="s">
        <v>1483</v>
      </c>
      <c r="E71" s="1190" t="s">
        <v>1484</v>
      </c>
      <c r="F71" s="385">
        <f ca="1">F43</f>
        <v>2252.83</v>
      </c>
      <c r="O71" s="1890" t="s">
        <v>1047</v>
      </c>
      <c r="P71" s="1929" t="s">
        <v>1581</v>
      </c>
      <c r="Q71" s="1893">
        <f ca="1">C76</f>
        <v>8.5000000000000006E-2</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7"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6" t="s">
        <v>1501</v>
      </c>
      <c r="C75" s="387">
        <f ca="1">ROUND(C13*C76,0)</f>
        <v>371093</v>
      </c>
      <c r="D75" s="1838"/>
      <c r="E75" s="1838"/>
      <c r="F75" s="1838"/>
      <c r="K75" s="1864"/>
      <c r="L75" s="1838"/>
      <c r="O75" s="1880" t="s">
        <v>1043</v>
      </c>
      <c r="P75" s="1881" t="s">
        <v>1544</v>
      </c>
      <c r="Q75" s="1882">
        <f ca="1">Q65+Q66</f>
        <v>6555149</v>
      </c>
      <c r="R75" s="1882" t="s">
        <v>1044</v>
      </c>
    </row>
    <row r="76" spans="1:18">
      <c r="B76" s="388" t="s">
        <v>1502</v>
      </c>
      <c r="C76" s="389">
        <f ca="1">INDIRECT("'数据-取费表'!j"&amp;$G$1)</f>
        <v>8.5000000000000006E-2</v>
      </c>
      <c r="I76" s="1838"/>
      <c r="J76" s="1838"/>
      <c r="K76" s="1864"/>
      <c r="L76" s="1838"/>
    </row>
    <row r="77" spans="1:18">
      <c r="B77" s="390" t="s">
        <v>1503</v>
      </c>
      <c r="C77" s="391"/>
      <c r="I77" s="1838"/>
      <c r="J77" s="1838"/>
      <c r="K77" s="1864"/>
      <c r="L77" s="1838"/>
    </row>
    <row r="78" spans="1:18">
      <c r="B78" s="314" t="s">
        <v>1504</v>
      </c>
      <c r="C78" s="392"/>
    </row>
    <row r="79" spans="1:18">
      <c r="B79" s="386" t="s">
        <v>1505</v>
      </c>
      <c r="C79" s="318">
        <f ca="1">1-C80</f>
        <v>4.2000000000000037E-2</v>
      </c>
    </row>
    <row r="80" spans="1:18">
      <c r="B80" s="386" t="s">
        <v>1506</v>
      </c>
      <c r="C80" s="318">
        <f ca="1">ROUND(C75/C39,3)</f>
        <v>0.95799999999999996</v>
      </c>
    </row>
    <row r="81" spans="2:3">
      <c r="B81" s="314" t="s">
        <v>1507</v>
      </c>
      <c r="C81" s="282"/>
    </row>
    <row r="82" spans="2:3">
      <c r="B82" s="317" t="s">
        <v>1508</v>
      </c>
      <c r="C82" s="319">
        <f ca="1">1-C83</f>
        <v>0.33399999999999996</v>
      </c>
    </row>
    <row r="83" spans="2:3">
      <c r="B83" s="317" t="s">
        <v>1509</v>
      </c>
      <c r="C83" s="318">
        <f ca="1">ROUND(C13/C40,3)</f>
        <v>0.66600000000000004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G41" sqref="G41"/>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40" t="s">
        <v>2803</v>
      </c>
      <c r="B1" s="241"/>
      <c r="C1" s="245" t="s">
        <v>2804</v>
      </c>
      <c r="D1" s="388">
        <f>SUM(D29:D30,D33:D39)</f>
        <v>32523.979999999989</v>
      </c>
      <c r="E1" s="2714"/>
      <c r="F1" s="2714"/>
      <c r="G1" s="2714"/>
      <c r="H1" s="2714"/>
      <c r="I1" s="2714"/>
      <c r="J1" s="2714"/>
      <c r="K1" s="1366"/>
      <c r="L1" s="2715" t="s">
        <v>2805</v>
      </c>
      <c r="M1" s="1077">
        <f>SUMPRODUCT((区片价!B5:B9=I2)*(区片价!C3:F3=E2)*(区片价!C5:F9))</f>
        <v>0</v>
      </c>
      <c r="N1" s="1080">
        <f>SUMPRODUCT((因素修正幅度!B5:B9=I2)*(因素修正幅度!C3:F3=E2)*(因素修正幅度!C5:F9))</f>
        <v>0</v>
      </c>
      <c r="O1" s="2716"/>
      <c r="P1" s="2716"/>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6757</v>
      </c>
      <c r="C2" s="2718" t="s">
        <v>2812</v>
      </c>
      <c r="D2" s="2719" t="s">
        <v>2813</v>
      </c>
      <c r="E2" s="2720" t="s">
        <v>6</v>
      </c>
      <c r="F2" s="2719" t="s">
        <v>2814</v>
      </c>
      <c r="G2" s="2721" t="str">
        <f>IF(E2="商业",项目基本情况!B37,IF(E2="办公",项目基本情况!C37,IF(E2="住宅",项目基本情况!D37,项目基本情况!E37)))</f>
        <v>五级</v>
      </c>
      <c r="H2" s="2719" t="s">
        <v>2815</v>
      </c>
      <c r="I2" s="2721" t="str">
        <f>IF(E2="商业",项目基本情况!B38,IF(E2="办公",项目基本情况!C38,IF(E2="住宅",项目基本情况!D38,项目基本情况!E38)))</f>
        <v>Ⅴ-01</v>
      </c>
      <c r="J2" s="2722"/>
      <c r="K2" s="1366"/>
      <c r="L2" s="2723" t="s">
        <v>2816</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5962</v>
      </c>
      <c r="U2" s="1599"/>
      <c r="V2" s="1598">
        <f ca="1">ROUND(T2*U2/10000,0)</f>
        <v>0</v>
      </c>
      <c r="W2" s="1602"/>
      <c r="X2" s="1602"/>
      <c r="Y2" s="1602"/>
      <c r="Z2" s="1602"/>
      <c r="AA2" s="1602"/>
      <c r="AB2" s="1602"/>
      <c r="AC2" s="1603"/>
      <c r="AD2" s="1604"/>
      <c r="AE2" s="1604"/>
      <c r="AF2" s="1604"/>
      <c r="AG2" s="1604"/>
      <c r="AH2" s="1604"/>
      <c r="AI2" s="1604"/>
      <c r="AJ2" s="1605"/>
    </row>
    <row r="3" spans="1:36" ht="15.75">
      <c r="A3" s="247" t="s">
        <v>2817</v>
      </c>
      <c r="B3" s="248">
        <f ca="1">ROUND(B2*10000/D1,0)</f>
        <v>2078</v>
      </c>
      <c r="C3" s="2718" t="s">
        <v>2818</v>
      </c>
      <c r="D3" s="2719" t="s">
        <v>2819</v>
      </c>
      <c r="E3" s="2724" t="s">
        <v>3115</v>
      </c>
      <c r="F3" s="2725" t="s">
        <v>2820</v>
      </c>
      <c r="G3" s="913">
        <f>IF(F3="宗地容积率",'数据-汇总表'!I4,IF(F3="估价对象容积率",'数据-汇总表'!I6,'数据-汇总表'!I7))</f>
        <v>2.9</v>
      </c>
      <c r="H3" s="198" t="s">
        <v>2821</v>
      </c>
      <c r="I3" s="941"/>
      <c r="J3" s="2722" t="s">
        <v>2822</v>
      </c>
      <c r="K3" s="1366"/>
      <c r="L3" s="2723" t="s">
        <v>2823</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4280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75"/>
      <c r="B4" s="3276"/>
      <c r="C4" s="3276"/>
      <c r="D4" s="3277"/>
      <c r="E4" s="3277"/>
      <c r="F4" s="3277"/>
      <c r="G4" s="3277"/>
      <c r="H4" s="3277"/>
      <c r="I4" s="3277"/>
      <c r="J4" s="3278"/>
      <c r="K4" s="1366"/>
      <c r="L4" s="2723" t="s">
        <v>2824</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3453</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2825</v>
      </c>
      <c r="C5" s="914">
        <f>ROUND(IF(E2="商业",C6*C7+C16,(IF(E2="住宅",C6*C12+C16,C6+C16))),0)</f>
        <v>3027</v>
      </c>
      <c r="D5" s="1783">
        <f>ROUND(C6+C16,0)</f>
        <v>3027</v>
      </c>
      <c r="E5" s="1783"/>
      <c r="F5" s="2728"/>
      <c r="G5" s="2729"/>
      <c r="H5" s="2729"/>
      <c r="I5" s="2729"/>
      <c r="J5" s="2730"/>
      <c r="K5" s="2731"/>
      <c r="L5" s="2723" t="s">
        <v>2826</v>
      </c>
      <c r="M5" s="1078">
        <f>SUMPRODUCT((区片价!B76:B109=I2)*(区片价!C3:F3=E2)*(区片价!C76:F109))</f>
        <v>3060</v>
      </c>
      <c r="N5" s="1080">
        <f>SUMPRODUCT((因素修正幅度!B76:B109=I2)*(因素修正幅度!C3:F3=E2)*(因素修正幅度!C76:F109))</f>
        <v>0.1</v>
      </c>
      <c r="O5" s="1366"/>
      <c r="P5" s="1366"/>
      <c r="Q5" s="1366"/>
      <c r="R5" s="1598">
        <v>4</v>
      </c>
      <c r="S5" s="1598">
        <f>ROUND(IF(G3&gt;1,IF(R5&lt;7,SUMPRODUCT((B93:B98=R5)*(C92:N92=G2)*(C93:N98)),SUMIF(C92:N92,G2,C100:N100)),IF(R5&lt;7,SUMPRODUCT((B102:B107=R5)*(C92:N92=G2)*(C102:N107)),SUMIF(C92:N92,G2,C109:N109))),4)</f>
        <v>0.86560000000000004</v>
      </c>
      <c r="T5" s="1598">
        <f t="shared" ca="1" si="0"/>
        <v>2770</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2827</v>
      </c>
      <c r="B6" s="2737" t="s">
        <v>2828</v>
      </c>
      <c r="C6" s="915">
        <f>SUMIF(L1:L12,G2,M1:M12)</f>
        <v>3060</v>
      </c>
      <c r="D6" s="2738" t="s">
        <v>2829</v>
      </c>
      <c r="E6" s="2739"/>
      <c r="F6" s="2739"/>
      <c r="G6" s="2740"/>
      <c r="H6" s="2740"/>
      <c r="I6" s="2740"/>
      <c r="J6" s="2741"/>
      <c r="K6" s="1838"/>
      <c r="L6" s="2723" t="s">
        <v>2830</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2359</v>
      </c>
      <c r="U6" s="1599"/>
      <c r="V6" s="1598">
        <f t="shared" ca="1" si="1"/>
        <v>0</v>
      </c>
      <c r="W6" s="1602"/>
      <c r="X6" s="1602"/>
      <c r="Y6" s="1602"/>
      <c r="Z6" s="1602"/>
      <c r="AA6" s="1602"/>
      <c r="AB6" s="1602"/>
      <c r="AC6" s="2732"/>
      <c r="AD6" s="2733"/>
      <c r="AE6" s="2733"/>
      <c r="AF6" s="2733"/>
      <c r="AG6" s="2733"/>
      <c r="AH6" s="2733"/>
      <c r="AI6" s="2733"/>
      <c r="AJ6" s="2734"/>
    </row>
    <row r="7" spans="1:36" ht="24">
      <c r="A7" s="3279" t="str">
        <f>IF(E2="商业",IF(C8="不临58条商业街","",2),"")</f>
        <v/>
      </c>
      <c r="B7" s="2742" t="s">
        <v>2831</v>
      </c>
      <c r="C7" s="916">
        <f>IF(C8="不临58条商业街",1,ROUND(1+(1.6*E8+1.2*E9+0.8*E10+0.4*E11)*C9,4))</f>
        <v>1</v>
      </c>
      <c r="D7" s="2743" t="s">
        <v>2832</v>
      </c>
      <c r="E7" s="942"/>
      <c r="F7" s="2744"/>
      <c r="G7" s="2745"/>
      <c r="H7" s="2745"/>
      <c r="I7" s="2745"/>
      <c r="J7" s="2746"/>
      <c r="K7" s="1838"/>
      <c r="L7" s="2723" t="s">
        <v>2833</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2074</v>
      </c>
      <c r="U7" s="1599"/>
      <c r="V7" s="1598">
        <f t="shared" ca="1" si="1"/>
        <v>0</v>
      </c>
      <c r="W7" s="1812" t="s">
        <v>2834</v>
      </c>
      <c r="X7" s="1600" t="str">
        <f>G2</f>
        <v>五级</v>
      </c>
      <c r="Y7" s="1600" t="s">
        <v>2835</v>
      </c>
      <c r="Z7" s="1601">
        <f>G3</f>
        <v>2.9</v>
      </c>
      <c r="AA7" s="1602"/>
      <c r="AB7" s="1602"/>
      <c r="AC7" s="1603"/>
      <c r="AD7" s="1604"/>
      <c r="AE7" s="1604"/>
      <c r="AF7" s="1604"/>
      <c r="AG7" s="1604"/>
      <c r="AH7" s="1604"/>
      <c r="AI7" s="1604"/>
      <c r="AJ7" s="1605"/>
    </row>
    <row r="8" spans="1:36" ht="25.5">
      <c r="A8" s="3280"/>
      <c r="B8" s="198" t="s">
        <v>2836</v>
      </c>
      <c r="C8" s="2747" t="s">
        <v>3116</v>
      </c>
      <c r="D8" s="917" t="s">
        <v>139</v>
      </c>
      <c r="E8" s="918" t="e">
        <f>ROUND(C11/E7,4)</f>
        <v>#DIV/0!</v>
      </c>
      <c r="F8" s="2748" t="s">
        <v>2837</v>
      </c>
      <c r="G8" s="2749"/>
      <c r="H8" s="2749"/>
      <c r="I8" s="2749"/>
      <c r="J8" s="2750"/>
      <c r="K8" s="1366"/>
      <c r="L8" s="2723" t="s">
        <v>2838</v>
      </c>
      <c r="M8" s="1078">
        <f>SUMPRODUCT((区片价!B206:B244=I2)*(区片价!C3:F3=E2)*(区片价!C206:F244))</f>
        <v>0</v>
      </c>
      <c r="N8" s="1080">
        <f>SUMPRODUCT((因素修正幅度!B206:B244=I2)*(因素修正幅度!C3:F3=E2)*(因素修正幅度!C206:F244))</f>
        <v>0</v>
      </c>
      <c r="O8" s="1366"/>
      <c r="P8" s="1366"/>
      <c r="Q8" s="1366"/>
      <c r="R8" s="1598">
        <v>7</v>
      </c>
      <c r="S8" s="1599"/>
      <c r="T8" s="1598">
        <f t="shared" ca="1" si="0"/>
        <v>0</v>
      </c>
      <c r="U8" s="1599"/>
      <c r="V8" s="1598">
        <f t="shared" ca="1" si="1"/>
        <v>0</v>
      </c>
      <c r="W8" s="3272" t="s">
        <v>2839</v>
      </c>
      <c r="X8" s="3273"/>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280"/>
      <c r="B9" s="198" t="s">
        <v>2852</v>
      </c>
      <c r="C9" s="919">
        <f>SUMIF(修正!C59:C119,C8,修正!E59:E119)</f>
        <v>0</v>
      </c>
      <c r="D9" s="200" t="s">
        <v>140</v>
      </c>
      <c r="E9" s="200" t="e">
        <f>ROUND(C11/E7,4)</f>
        <v>#DIV/0!</v>
      </c>
      <c r="F9" s="2748" t="s">
        <v>2853</v>
      </c>
      <c r="G9" s="2749"/>
      <c r="H9" s="2749"/>
      <c r="I9" s="2749"/>
      <c r="J9" s="2750"/>
      <c r="K9" s="1366"/>
      <c r="L9" s="2723" t="s">
        <v>2854</v>
      </c>
      <c r="M9" s="1078">
        <f>SUMPRODUCT((区片价!B245:B289=I2)*(区片价!C3:F3=E2)*(区片价!C245:F289))</f>
        <v>0</v>
      </c>
      <c r="N9" s="1080">
        <f>SUMPRODUCT((因素修正幅度!B245:B289=I2)*(因素修正幅度!C3:F3=E2)*(因素修正幅度!C245:F289))</f>
        <v>0</v>
      </c>
      <c r="O9" s="1366"/>
      <c r="P9" s="1366"/>
      <c r="Q9" s="1366"/>
      <c r="R9" s="1598">
        <v>8</v>
      </c>
      <c r="S9" s="1599"/>
      <c r="T9" s="1598">
        <f t="shared" ca="1" si="0"/>
        <v>0</v>
      </c>
      <c r="U9" s="1599"/>
      <c r="V9" s="1598">
        <f t="shared" ca="1" si="1"/>
        <v>0</v>
      </c>
      <c r="W9" s="3274"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0"/>
      <c r="B10" s="198" t="s">
        <v>2857</v>
      </c>
      <c r="C10" s="200">
        <f>SUMIF(修正!C59:C119,C8,修正!F59:F119)</f>
        <v>0</v>
      </c>
      <c r="D10" s="200" t="s">
        <v>141</v>
      </c>
      <c r="E10" s="200" t="e">
        <f>ROUND(C11/E7,4)</f>
        <v>#DIV/0!</v>
      </c>
      <c r="F10" s="2748" t="s">
        <v>2858</v>
      </c>
      <c r="G10" s="2749"/>
      <c r="H10" s="2749"/>
      <c r="I10" s="2749"/>
      <c r="J10" s="2750"/>
      <c r="K10" s="1366"/>
      <c r="L10" s="2723" t="s">
        <v>2859</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f t="shared" ca="1" si="0"/>
        <v>0</v>
      </c>
      <c r="U10" s="1599"/>
      <c r="V10" s="1598">
        <f t="shared" ca="1" si="1"/>
        <v>0</v>
      </c>
      <c r="W10" s="327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0"/>
      <c r="B11" s="2751" t="s">
        <v>2860</v>
      </c>
      <c r="C11" s="920">
        <f>C10/4</f>
        <v>0</v>
      </c>
      <c r="D11" s="920" t="s">
        <v>142</v>
      </c>
      <c r="E11" s="920" t="e">
        <f>ROUND(C11/E7,4)</f>
        <v>#DIV/0!</v>
      </c>
      <c r="F11" s="2752" t="s">
        <v>2861</v>
      </c>
      <c r="G11" s="2753"/>
      <c r="H11" s="2753"/>
      <c r="I11" s="2753"/>
      <c r="J11" s="2754"/>
      <c r="K11" s="1366"/>
      <c r="L11" s="2723" t="s">
        <v>2862</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f t="shared" ca="1" si="0"/>
        <v>0</v>
      </c>
      <c r="U11" s="1599"/>
      <c r="V11" s="1598">
        <f t="shared" ca="1" si="1"/>
        <v>0</v>
      </c>
      <c r="W11" s="3274" t="s">
        <v>2863</v>
      </c>
      <c r="X11" s="1610" t="s">
        <v>2864</v>
      </c>
      <c r="Y11" s="1611">
        <f>$G$3</f>
        <v>2.9</v>
      </c>
      <c r="Z11" s="1611">
        <f t="shared" ref="Z11:AJ11" si="3">$G$3</f>
        <v>2.9</v>
      </c>
      <c r="AA11" s="1611">
        <f t="shared" si="3"/>
        <v>2.9</v>
      </c>
      <c r="AB11" s="1611">
        <f t="shared" si="3"/>
        <v>2.9</v>
      </c>
      <c r="AC11" s="1611">
        <f t="shared" si="3"/>
        <v>2.9</v>
      </c>
      <c r="AD11" s="1611">
        <f t="shared" si="3"/>
        <v>2.9</v>
      </c>
      <c r="AE11" s="1611">
        <f t="shared" si="3"/>
        <v>2.9</v>
      </c>
      <c r="AF11" s="1611">
        <f t="shared" si="3"/>
        <v>2.9</v>
      </c>
      <c r="AG11" s="1611">
        <f t="shared" si="3"/>
        <v>2.9</v>
      </c>
      <c r="AH11" s="1611">
        <f t="shared" si="3"/>
        <v>2.9</v>
      </c>
      <c r="AI11" s="1611">
        <f t="shared" si="3"/>
        <v>2.9</v>
      </c>
      <c r="AJ11" s="1611">
        <f t="shared" si="3"/>
        <v>2.9</v>
      </c>
    </row>
    <row r="12" spans="1:36" ht="25.5" thickBot="1">
      <c r="A12" s="3279" t="s">
        <v>2865</v>
      </c>
      <c r="B12" s="2755" t="s">
        <v>2866</v>
      </c>
      <c r="C12" s="916">
        <f>ROUND(C15*D15*E15*F15*G15*H15*I15*J15,4)</f>
        <v>1</v>
      </c>
      <c r="D12" s="2756" t="s">
        <v>2867</v>
      </c>
      <c r="E12" s="2757"/>
      <c r="F12" s="2757"/>
      <c r="G12" s="2758"/>
      <c r="H12" s="2758"/>
      <c r="I12" s="2758"/>
      <c r="J12" s="2759"/>
      <c r="K12" s="1366"/>
      <c r="L12" s="2760" t="s">
        <v>2868</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f t="shared" ca="1" si="0"/>
        <v>0</v>
      </c>
      <c r="U12" s="1599"/>
      <c r="V12" s="1598">
        <f t="shared" ca="1" si="1"/>
        <v>0</v>
      </c>
      <c r="W12" s="3274"/>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1"/>
      <c r="B13" s="2761" t="s">
        <v>2870</v>
      </c>
      <c r="C13" s="2762" t="s">
        <v>2871</v>
      </c>
      <c r="D13" s="1804" t="s">
        <v>2872</v>
      </c>
      <c r="E13" s="1804" t="s">
        <v>2873</v>
      </c>
      <c r="F13" s="30" t="s">
        <v>2874</v>
      </c>
      <c r="G13" s="2763" t="s">
        <v>2875</v>
      </c>
      <c r="H13" s="2763" t="s">
        <v>2875</v>
      </c>
      <c r="I13" s="2763" t="s">
        <v>2875</v>
      </c>
      <c r="J13" s="2764" t="s">
        <v>2875</v>
      </c>
      <c r="K13" s="1366"/>
      <c r="L13" s="1366"/>
      <c r="M13" s="1366"/>
      <c r="N13" s="1366"/>
      <c r="O13" s="1366"/>
      <c r="P13" s="1366"/>
      <c r="Q13" s="1366"/>
      <c r="R13" s="1598">
        <v>12</v>
      </c>
      <c r="S13" s="1599"/>
      <c r="T13" s="1598">
        <f t="shared" ca="1" si="0"/>
        <v>0</v>
      </c>
      <c r="U13" s="1599"/>
      <c r="V13" s="1598">
        <f t="shared" ca="1" si="1"/>
        <v>0</v>
      </c>
      <c r="W13" s="3274"/>
      <c r="X13" s="1612"/>
      <c r="Y13" s="1609">
        <f>(-0.163*(Y12^2)-0.59*Y12+7617)*(10^(-4))/Y11</f>
        <v>0.2626551724137931</v>
      </c>
      <c r="Z13" s="1609">
        <f t="shared" ref="Z13:AJ13" si="5">(-0.163*(Z12^2)-0.59*Z12+7617)*(10^(-4))/Z11</f>
        <v>0.2626551724137931</v>
      </c>
      <c r="AA13" s="1609">
        <f t="shared" si="5"/>
        <v>0.2626551724137931</v>
      </c>
      <c r="AB13" s="1609">
        <f t="shared" si="5"/>
        <v>0.2626551724137931</v>
      </c>
      <c r="AC13" s="1609">
        <f t="shared" si="5"/>
        <v>0.2626551724137931</v>
      </c>
      <c r="AD13" s="1609">
        <f t="shared" si="5"/>
        <v>0.2626551724137931</v>
      </c>
      <c r="AE13" s="1609">
        <f t="shared" si="5"/>
        <v>0.2626551724137931</v>
      </c>
      <c r="AF13" s="1609">
        <f t="shared" si="5"/>
        <v>0.2626551724137931</v>
      </c>
      <c r="AG13" s="1609">
        <f t="shared" si="5"/>
        <v>0.2626551724137931</v>
      </c>
      <c r="AH13" s="1609">
        <f t="shared" si="5"/>
        <v>0.2626551724137931</v>
      </c>
      <c r="AI13" s="1609">
        <f t="shared" si="5"/>
        <v>0.2626551724137931</v>
      </c>
      <c r="AJ13" s="1609">
        <f t="shared" si="5"/>
        <v>0.2626551724137931</v>
      </c>
    </row>
    <row r="14" spans="1:36" ht="15">
      <c r="A14" s="3281"/>
      <c r="B14" s="2765"/>
      <c r="C14" s="2766"/>
      <c r="D14" s="2767"/>
      <c r="E14" s="2767"/>
      <c r="F14" s="2768"/>
      <c r="G14" s="2769" t="s">
        <v>2876</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82"/>
      <c r="B15" s="2773" t="s">
        <v>2877</v>
      </c>
      <c r="C15" s="229">
        <f>IF(C14="有",1.1,1)</f>
        <v>1</v>
      </c>
      <c r="D15" s="229">
        <f>IF(D14="有",1.1,1)</f>
        <v>1</v>
      </c>
      <c r="E15" s="229">
        <f>IF(E14="有",1.1,1)</f>
        <v>1</v>
      </c>
      <c r="F15" s="229">
        <f>IF(F14="500米范围内",1.2,IF(F14="500-1000米",1.1,1))</f>
        <v>1</v>
      </c>
      <c r="G15" s="943">
        <v>1</v>
      </c>
      <c r="H15" s="943">
        <v>1</v>
      </c>
      <c r="I15" s="943">
        <v>1</v>
      </c>
      <c r="J15" s="944">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79" t="s">
        <v>2882</v>
      </c>
      <c r="B16" s="2742" t="s">
        <v>2883</v>
      </c>
      <c r="C16" s="2929">
        <f>ROUND(IF(F17="与级别开发程度一致",0,(G17-E17)/C17),0)</f>
        <v>-33</v>
      </c>
      <c r="D16" s="3293" t="s">
        <v>2887</v>
      </c>
      <c r="E16" s="3294"/>
      <c r="F16" s="3293" t="s">
        <v>2884</v>
      </c>
      <c r="G16" s="3294"/>
      <c r="H16" s="2776" t="s">
        <v>3118</v>
      </c>
      <c r="I16" s="2776" t="s">
        <v>3117</v>
      </c>
      <c r="J16" s="2933" t="s">
        <v>3120</v>
      </c>
      <c r="K16" s="2776" t="s">
        <v>3121</v>
      </c>
      <c r="L16" s="2776" t="s">
        <v>3122</v>
      </c>
      <c r="M16" s="2776" t="s">
        <v>3127</v>
      </c>
      <c r="N16" s="2776" t="s">
        <v>3123</v>
      </c>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83"/>
      <c r="B17" s="2940" t="s">
        <v>2886</v>
      </c>
      <c r="C17" s="2941">
        <f>SUMPRODUCT((修正!A2:A5=E2)*(修正!B1:M1=G2)*(修正!B2:M5))</f>
        <v>1.5</v>
      </c>
      <c r="D17" s="229" t="str">
        <f>IF(OR(G2="八级",G2="九级",G2="十级",G2="十一级",G2="十二级"),"五通一平","七通一平")</f>
        <v>七通一平</v>
      </c>
      <c r="E17" s="2930">
        <f>SUMPRODUCT((修正!B1:M1=G2)*(修正!B15:M15))</f>
        <v>300</v>
      </c>
      <c r="F17" s="2931" t="s">
        <v>3119</v>
      </c>
      <c r="G17" s="2932">
        <f>SUM(H17:O17)</f>
        <v>250</v>
      </c>
      <c r="H17" s="2941">
        <f>SUMPRODUCT((七通一平=H16)*(修正!B1:M1=G2)*(修正!B6:M14))</f>
        <v>65</v>
      </c>
      <c r="I17" s="2941">
        <f>SUMPRODUCT((七通一平=I16)*(修正!B1:M1=G2)*(修正!B6:M14))</f>
        <v>55</v>
      </c>
      <c r="J17" s="2942">
        <f>SUMPRODUCT((七通一平=J16)*(修正!B1:M1=G2)*(修正!B6:M14))</f>
        <v>15</v>
      </c>
      <c r="K17" s="2941">
        <f>SUMPRODUCT((七通一平=K16)*(修正!B1:M1=G2)*(修正!B6:M14))</f>
        <v>25</v>
      </c>
      <c r="L17" s="2941">
        <f>SUMPRODUCT((七通一平=L16)*(修正!B1:M1=G2)*(修正!B6:M14))</f>
        <v>35</v>
      </c>
      <c r="M17" s="2941">
        <f>SUMPRODUCT((七通一平=M16)*(修正!B1:M1=G2)*(修正!B6:M14))</f>
        <v>40</v>
      </c>
      <c r="N17" s="2941">
        <f>SUMPRODUCT((七通一平=N16)*(修正!B1:M1=G2)*(修正!B6:M14))</f>
        <v>15</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4" t="s">
        <v>808</v>
      </c>
      <c r="B18" s="2935" t="s">
        <v>2889</v>
      </c>
      <c r="C18" s="2936">
        <f>SUMIF(修正!C18:C39,E3,修正!E18:E39)</f>
        <v>1</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809</v>
      </c>
      <c r="B19" s="2782" t="s">
        <v>2890</v>
      </c>
      <c r="C19" s="921">
        <f>ROUND(IF(H19="按公示增长率计算",SUMPRODUCT((地价!A3:A28=YEAR(G19)&amp;"-"&amp;ROUNDUP(MONTH(G19)/3,0))*(地价!X2:AB2=E2)*(地价!X3:AB28)),IF(H19="地价指数",M20/M19,(1+I19)^O19)),4)</f>
        <v>1.3695999999999999</v>
      </c>
      <c r="D19" s="2786" t="s">
        <v>2891</v>
      </c>
      <c r="E19" s="922">
        <v>41640</v>
      </c>
      <c r="F19" s="2786" t="s">
        <v>2892</v>
      </c>
      <c r="G19" s="923">
        <f>'数据-取费表'!B2</f>
        <v>43790</v>
      </c>
      <c r="H19" s="2787" t="s">
        <v>3124</v>
      </c>
      <c r="I19" s="924" t="str">
        <f>IF(H19="季度增幅（自定义）",SUMIF(N21:N24,E2,O21:O24),"")</f>
        <v/>
      </c>
      <c r="J19" s="2784"/>
      <c r="K19" s="1373"/>
      <c r="L19" s="2788" t="s">
        <v>2893</v>
      </c>
      <c r="M19" s="1730">
        <f>ROUND(SUMIF(地价!B2:F2,E2,地价!B28:F28),0)</f>
        <v>230</v>
      </c>
      <c r="N19" s="2789" t="s">
        <v>2894</v>
      </c>
      <c r="O19" s="925">
        <f>ROUNDDOWN(DATEDIF(E19,G19,"M")/3,0)</f>
        <v>23</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810</v>
      </c>
      <c r="B20" s="2794" t="s">
        <v>2895</v>
      </c>
      <c r="C20" s="926">
        <f ca="1">ROUND(POWER(1+G20,J20-I20)*(POWER(1+G20,I20)-1)/(POWER(1+G20,J20)-1),4)</f>
        <v>0.72450000000000003</v>
      </c>
      <c r="D20" s="2795" t="s">
        <v>2896</v>
      </c>
      <c r="E20" s="1764">
        <f ca="1">存贷款利率!D4/100</f>
        <v>4.3499999999999997E-2</v>
      </c>
      <c r="F20" s="2795" t="s">
        <v>2888</v>
      </c>
      <c r="G20" s="931">
        <f ca="1">SUMIF(M26:P26,E2,M28:P28)</f>
        <v>4.8000000000000001E-2</v>
      </c>
      <c r="H20" s="2795" t="s">
        <v>2897</v>
      </c>
      <c r="I20" s="932">
        <f>SUMIF('数据-取费表'!C6:C15,E2,'数据-取费表'!F6:F15)/COUNTIF('数据-取费表'!C6:C15,E2)</f>
        <v>22.7</v>
      </c>
      <c r="J20" s="933">
        <f>IF(E2="住宅",70,IF(E2="商业",40,50))</f>
        <v>50</v>
      </c>
      <c r="K20" s="1373"/>
      <c r="L20" s="2796" t="s">
        <v>2898</v>
      </c>
      <c r="M20" s="1731">
        <f>ROUND(SUMPRODUCT((地价!A4:A28=YEAR(G19)&amp;"-"&amp;ROUNDUP(MONTH(G19)/3,0))*(地价!B2:F2=E2)*(地价!B4:F28)),0)</f>
        <v>315</v>
      </c>
      <c r="N20" s="2797" t="s">
        <v>2899</v>
      </c>
      <c r="O20" s="2798" t="s">
        <v>2900</v>
      </c>
      <c r="P20" s="2799" t="s">
        <v>2901</v>
      </c>
      <c r="R20" s="1372"/>
      <c r="S20" s="1372"/>
      <c r="T20" s="1367"/>
      <c r="U20" s="1367"/>
      <c r="V20" s="1367"/>
      <c r="W20" s="1366"/>
      <c r="X20" s="1366"/>
      <c r="Y20" s="1366"/>
      <c r="Z20" s="1373"/>
      <c r="AA20" s="1374"/>
      <c r="AB20" s="1374"/>
      <c r="AC20" s="1374"/>
      <c r="AD20" s="1374"/>
      <c r="AE20" s="1374"/>
      <c r="AF20" s="1374"/>
    </row>
    <row r="21" spans="1:37" s="2735" customFormat="1" ht="15">
      <c r="A21" s="2800" t="s">
        <v>811</v>
      </c>
      <c r="B21" s="2801" t="s">
        <v>3125</v>
      </c>
      <c r="C21" s="934">
        <f>IF(B21="容积率修正",IF(G3&lt;=10,D22,J22),C23)</f>
        <v>0.76300000000000001</v>
      </c>
      <c r="D21" s="2802"/>
      <c r="E21" s="2802"/>
      <c r="F21" s="2802"/>
      <c r="G21" s="2802"/>
      <c r="H21" s="2802"/>
      <c r="I21" s="2802"/>
      <c r="J21" s="2803"/>
      <c r="K21" s="1373"/>
      <c r="N21" s="2804" t="s">
        <v>2902</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05" t="s">
        <v>2904</v>
      </c>
      <c r="C22" s="1806" t="s">
        <v>2905</v>
      </c>
      <c r="D22" s="1806">
        <f>IF(E22=G22,F22,IF(G3&lt;=10,ROUND(F22+(H22-F22)*(G3-E22)/(G22-E22),4),"——"))</f>
        <v>0.76300000000000001</v>
      </c>
      <c r="E22" s="913">
        <f>ROUNDDOWN(G3,1)</f>
        <v>2.9</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0.76300000000000001</v>
      </c>
      <c r="G22" s="913">
        <f>ROUNDUP(G3,1)</f>
        <v>2.9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0.76300000000000001</v>
      </c>
      <c r="I22" s="1806" t="s">
        <v>155</v>
      </c>
      <c r="J22" s="935" t="str">
        <f>IF(G3&gt;10,D113,"——")</f>
        <v>——</v>
      </c>
      <c r="K22" s="1373"/>
      <c r="N22" s="2804" t="s">
        <v>2906</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06" t="s">
        <v>2908</v>
      </c>
      <c r="C23" s="1010">
        <f>ROUND(IF(G3&gt;1,IF(I3&lt;7,SUMPRODUCT((B93:B98=I3)*(C92:N92=G2)*(C93:N98)),SUMIF(C92:N92,G2,C100:N100)),IF(I3&lt;7,SUMPRODUCT((B102:B107=I3)*(C92:N92=G2)*(C102:N107)),SUMIF(C92:N92,G2,C109:N109))),4)</f>
        <v>0</v>
      </c>
      <c r="D23" s="2770"/>
      <c r="E23" s="2770"/>
      <c r="F23" s="2807"/>
      <c r="G23" s="2808"/>
      <c r="H23" s="2809"/>
      <c r="I23" s="2810"/>
      <c r="J23" s="2811"/>
      <c r="K23" s="1366"/>
      <c r="N23" s="2804" t="s">
        <v>2909</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5"/>
    </row>
    <row r="24" spans="1:37" s="2735" customFormat="1" ht="15.75" thickBot="1">
      <c r="A24" s="2793" t="s">
        <v>812</v>
      </c>
      <c r="B24" s="2782" t="s">
        <v>2910</v>
      </c>
      <c r="C24" s="921">
        <f>SUMIF(A45:A88,E2,B45:B88)</f>
        <v>1.0655000000000001</v>
      </c>
      <c r="D24" s="2783"/>
      <c r="E24" s="2812"/>
      <c r="F24" s="2812"/>
      <c r="G24" s="2812"/>
      <c r="H24" s="2812"/>
      <c r="I24" s="2812"/>
      <c r="J24" s="2813"/>
      <c r="K24" s="1373"/>
      <c r="N24" s="2814" t="s">
        <v>2911</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3" t="s">
        <v>813</v>
      </c>
      <c r="B25" s="2815" t="s">
        <v>2912</v>
      </c>
      <c r="C25" s="927"/>
      <c r="D25" s="2745"/>
      <c r="E25" s="2745"/>
      <c r="F25" s="2816"/>
      <c r="G25" s="2745"/>
      <c r="H25" s="2745"/>
      <c r="I25" s="2745"/>
      <c r="J25" s="2746"/>
      <c r="K25" s="1366"/>
      <c r="N25" s="2817" t="s">
        <v>2913</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8"/>
      <c r="B26" s="2805" t="s">
        <v>2914</v>
      </c>
      <c r="C26" s="206">
        <f ca="1">E29+SUM(E33:E39)</f>
        <v>6757</v>
      </c>
      <c r="D26" s="2819"/>
      <c r="E26" s="2770"/>
      <c r="F26" s="2820"/>
      <c r="G26" s="2770"/>
      <c r="H26" s="2770"/>
      <c r="I26" s="2770"/>
      <c r="J26" s="2821"/>
      <c r="K26" s="1366"/>
      <c r="L26" s="2774" t="s">
        <v>2813</v>
      </c>
      <c r="M26" s="917" t="s">
        <v>2878</v>
      </c>
      <c r="N26" s="917" t="s">
        <v>2879</v>
      </c>
      <c r="O26" s="917" t="s">
        <v>2880</v>
      </c>
      <c r="P26" s="2775" t="s">
        <v>2881</v>
      </c>
      <c r="R26" s="1372"/>
      <c r="S26" s="1372"/>
      <c r="T26" s="1367"/>
      <c r="U26" s="1367"/>
      <c r="V26" s="1367"/>
      <c r="W26" s="1366"/>
      <c r="X26" s="1366"/>
      <c r="Y26" s="1366"/>
      <c r="Z26" s="1373"/>
      <c r="AA26" s="1374"/>
      <c r="AB26" s="1374"/>
      <c r="AC26" s="1374"/>
      <c r="AD26" s="1374"/>
    </row>
    <row r="27" spans="1:37" ht="15.75" thickBot="1">
      <c r="A27" s="2818"/>
      <c r="B27" s="2822" t="s">
        <v>2915</v>
      </c>
      <c r="C27" s="928">
        <f ca="1">E30+SUM(I33:I39)</f>
        <v>79</v>
      </c>
      <c r="D27" s="2823"/>
      <c r="E27" s="2824"/>
      <c r="F27" s="2825"/>
      <c r="G27" s="2824"/>
      <c r="H27" s="2824"/>
      <c r="I27" s="2824"/>
      <c r="J27" s="2826"/>
      <c r="K27" s="1366"/>
      <c r="L27" s="2778" t="s">
        <v>2885</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2916</v>
      </c>
      <c r="C28" s="2829" t="s">
        <v>2917</v>
      </c>
      <c r="D28" s="2829" t="s">
        <v>2918</v>
      </c>
      <c r="E28" s="2830" t="s">
        <v>2919</v>
      </c>
      <c r="F28" s="2831"/>
      <c r="G28" s="2758"/>
      <c r="H28" s="2758"/>
      <c r="I28" s="2758"/>
      <c r="J28" s="2759"/>
      <c r="K28" s="1366"/>
      <c r="L28" s="2779" t="s">
        <v>2888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2920</v>
      </c>
      <c r="C29" s="206">
        <f ca="1">ROUND(C5*C18*C19*C20*C21*C24,0)</f>
        <v>2442</v>
      </c>
      <c r="D29" s="2834">
        <f>'数据-基础表'!I5</f>
        <v>25527.419999999991</v>
      </c>
      <c r="E29" s="939">
        <f ca="1">ROUND(C29*D29/10000,0)</f>
        <v>6234</v>
      </c>
      <c r="F29" s="2835" t="s">
        <v>2921</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2922</v>
      </c>
      <c r="C30" s="229">
        <f ca="1">ROUND(IF(E2="工业",C29*M39,C29*M38),0)</f>
        <v>366</v>
      </c>
      <c r="D30" s="2840"/>
      <c r="E30" s="939">
        <f ca="1">ROUND(C30*D30/10000,0)</f>
        <v>0</v>
      </c>
      <c r="F30" s="2841" t="s">
        <v>2923</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2924</v>
      </c>
      <c r="C31" s="2846" t="s">
        <v>2925</v>
      </c>
      <c r="D31" s="2758"/>
      <c r="E31" s="2846"/>
      <c r="F31" s="2846"/>
      <c r="G31" s="2756" t="s">
        <v>2926</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501" t="s">
        <v>2917</v>
      </c>
      <c r="D32" s="498" t="s">
        <v>2918</v>
      </c>
      <c r="E32" s="498" t="s">
        <v>2919</v>
      </c>
      <c r="F32" s="388" t="s">
        <v>2927</v>
      </c>
      <c r="G32" s="2849" t="s">
        <v>2917</v>
      </c>
      <c r="H32" s="2849" t="s">
        <v>2918</v>
      </c>
      <c r="I32" s="2849"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90" t="s">
        <v>2928</v>
      </c>
      <c r="B33" s="2850" t="s">
        <v>2929</v>
      </c>
      <c r="C33" s="206">
        <f ca="1">ROUND(D5*C19*C20*C24*F33,0)</f>
        <v>2240</v>
      </c>
      <c r="D33" s="2834"/>
      <c r="E33" s="200">
        <f ca="1">ROUND(C33*D33/10000,0)</f>
        <v>0</v>
      </c>
      <c r="F33" s="200">
        <f>SUMIF(修正!A45:A56,G2,修正!B45:B56)</f>
        <v>0.7</v>
      </c>
      <c r="G33" s="200">
        <f t="shared" ref="G33" ca="1" si="6">ROUND(IF(E2="工业",C33*$M$39,C33*$M$38),0)</f>
        <v>336</v>
      </c>
      <c r="H33" s="200">
        <f>D33</f>
        <v>0</v>
      </c>
      <c r="I33" s="200">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1"/>
      <c r="B34" s="2762" t="s">
        <v>2930</v>
      </c>
      <c r="C34" s="206">
        <f ca="1">ROUND(D5*C19*C20*C24*F34,0)</f>
        <v>1280</v>
      </c>
      <c r="D34" s="2834"/>
      <c r="E34" s="200">
        <f t="shared" ref="E34:E39" ca="1" si="7">ROUND(C34*D34/10000,0)</f>
        <v>0</v>
      </c>
      <c r="F34" s="200">
        <f>SUMIF(修正!A45:A56,G2,修正!C45:C56)</f>
        <v>0.4</v>
      </c>
      <c r="G34" s="200">
        <f ca="1">ROUND(IF(E2="工业",C34*$M$39,C34*$M$38),0)</f>
        <v>192</v>
      </c>
      <c r="H34" s="200">
        <f t="shared" ref="H34:H39" si="8">D34</f>
        <v>0</v>
      </c>
      <c r="I34" s="200">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1"/>
      <c r="B35" s="2762" t="s">
        <v>2931</v>
      </c>
      <c r="C35" s="206">
        <f ca="1">ROUND(D5*C19*C20*C24*F35,0)</f>
        <v>896</v>
      </c>
      <c r="D35" s="2834"/>
      <c r="E35" s="200">
        <f t="shared" ca="1" si="7"/>
        <v>0</v>
      </c>
      <c r="F35" s="200">
        <f>SUMIF(修正!A45:A56,G2,修正!D45:D56)</f>
        <v>0.28000000000000003</v>
      </c>
      <c r="G35" s="200">
        <f ca="1">ROUND(IF(E2="工业",C35*$M$39,C35*$M$38),0)</f>
        <v>134</v>
      </c>
      <c r="H35" s="200">
        <f t="shared" si="8"/>
        <v>0</v>
      </c>
      <c r="I35" s="200">
        <f t="shared" ca="1" si="9"/>
        <v>0</v>
      </c>
      <c r="J35" s="2851"/>
      <c r="K35" s="1366"/>
      <c r="L35" s="1366"/>
      <c r="M35" s="1366"/>
      <c r="N35" s="1366"/>
      <c r="O35" s="1366"/>
      <c r="P35" s="1366"/>
      <c r="Q35" s="1366"/>
      <c r="R35" s="1366"/>
      <c r="S35" s="1366"/>
      <c r="T35" s="1366"/>
      <c r="U35" s="1366"/>
      <c r="V35" s="1366"/>
      <c r="W35" s="1366"/>
      <c r="X35" s="1366"/>
      <c r="Y35" s="1366"/>
      <c r="Z35" s="1367"/>
    </row>
    <row r="36" spans="1:37" ht="13.5" thickBot="1">
      <c r="A36" s="3292"/>
      <c r="B36" s="2762" t="s">
        <v>2932</v>
      </c>
      <c r="C36" s="206">
        <f ca="1">ROUND(D5*C19*C20*C24*F36,0)</f>
        <v>800</v>
      </c>
      <c r="D36" s="2834"/>
      <c r="E36" s="200">
        <f t="shared" ca="1" si="7"/>
        <v>0</v>
      </c>
      <c r="F36" s="200">
        <f>SUMIF(修正!A45:A56,G2,修正!E45:E56)</f>
        <v>0.25</v>
      </c>
      <c r="G36" s="200">
        <f ca="1">ROUND(IF(E2="工业",C36*$M$39,C36*$M$38),0)</f>
        <v>120</v>
      </c>
      <c r="H36" s="200">
        <f t="shared" si="8"/>
        <v>0</v>
      </c>
      <c r="I36" s="200">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2933</v>
      </c>
      <c r="C37" s="200">
        <f ca="1">ROUND(D5*C19*C20*C24*F37,0)</f>
        <v>800</v>
      </c>
      <c r="D37" s="2834">
        <f>'数据-汇总表'!G19</f>
        <v>4743.7299999999996</v>
      </c>
      <c r="E37" s="200">
        <f t="shared" ca="1" si="7"/>
        <v>379</v>
      </c>
      <c r="F37" s="206">
        <f>SUMIF(修正!A45:A56,G2,修正!F45:F56)</f>
        <v>0.25</v>
      </c>
      <c r="G37" s="200">
        <f ca="1">ROUND(IF(E2="工业",C37*$M$39,C37*$M$38),0)</f>
        <v>120</v>
      </c>
      <c r="H37" s="200">
        <f t="shared" si="8"/>
        <v>4743.7299999999996</v>
      </c>
      <c r="I37" s="200">
        <f t="shared" ca="1" si="9"/>
        <v>57</v>
      </c>
      <c r="J37" s="2851"/>
      <c r="K37" s="1366"/>
      <c r="L37" s="2853" t="s">
        <v>2934</v>
      </c>
      <c r="M37" s="2854"/>
      <c r="N37" s="1366"/>
      <c r="O37" s="1366"/>
      <c r="P37" s="1366"/>
      <c r="Q37" s="1366"/>
      <c r="R37" s="1366"/>
      <c r="S37" s="1366"/>
      <c r="T37" s="1366"/>
      <c r="U37" s="1366"/>
      <c r="V37" s="1366"/>
      <c r="W37" s="1366"/>
      <c r="X37" s="1366"/>
      <c r="Y37" s="1366"/>
      <c r="Z37" s="1367"/>
    </row>
    <row r="38" spans="1:37">
      <c r="A38" s="2852"/>
      <c r="B38" s="2762" t="s">
        <v>2935</v>
      </c>
      <c r="C38" s="200">
        <f ca="1">ROUND(D5*C19*C41*C24*F38,0)</f>
        <v>800</v>
      </c>
      <c r="D38" s="2834"/>
      <c r="E38" s="200">
        <f t="shared" ca="1" si="7"/>
        <v>0</v>
      </c>
      <c r="F38" s="206">
        <f>SUMIF(修正!A45:A56,G2,修正!G45:G56)</f>
        <v>0.25</v>
      </c>
      <c r="G38" s="200">
        <f ca="1">ROUND(IF(E2="工业",C38*$M$39,C38*$M$38),0)</f>
        <v>120</v>
      </c>
      <c r="H38" s="200">
        <f t="shared" si="8"/>
        <v>0</v>
      </c>
      <c r="I38" s="200">
        <f t="shared" ca="1" si="9"/>
        <v>0</v>
      </c>
      <c r="J38" s="2851"/>
      <c r="K38" s="1366"/>
      <c r="L38" s="1883" t="s">
        <v>2936</v>
      </c>
      <c r="M38" s="2855">
        <v>0.25</v>
      </c>
      <c r="N38" s="1366"/>
      <c r="O38" s="1366"/>
      <c r="P38" s="1366"/>
      <c r="Q38" s="1366"/>
      <c r="R38" s="1366"/>
      <c r="S38" s="1366"/>
      <c r="T38" s="1366"/>
      <c r="U38" s="1366"/>
      <c r="V38" s="1366"/>
      <c r="W38" s="1366"/>
      <c r="X38" s="1366"/>
      <c r="Y38" s="1366"/>
      <c r="Z38" s="1367"/>
    </row>
    <row r="39" spans="1:37" ht="13.5" thickBot="1">
      <c r="A39" s="2838"/>
      <c r="B39" s="2856" t="s">
        <v>2937</v>
      </c>
      <c r="C39" s="229">
        <f ca="1">ROUND(D5*C19*C41*C24*F39,0)</f>
        <v>640</v>
      </c>
      <c r="D39" s="2840">
        <f>'数据-基础表'!K5</f>
        <v>2252.83</v>
      </c>
      <c r="E39" s="229">
        <f t="shared" ca="1" si="7"/>
        <v>144</v>
      </c>
      <c r="F39" s="929">
        <f>SUMIF(修正!A45:A56,G2,修正!H45:H56)</f>
        <v>0.2</v>
      </c>
      <c r="G39" s="229">
        <f ca="1">ROUND(IF(E2="工业",C39*$M$39,C39*$M$38),0)</f>
        <v>96</v>
      </c>
      <c r="H39" s="229">
        <f t="shared" si="8"/>
        <v>2252.83</v>
      </c>
      <c r="I39" s="229">
        <f t="shared" ca="1" si="9"/>
        <v>22</v>
      </c>
      <c r="J39" s="2857"/>
      <c r="K39" s="1366"/>
      <c r="L39" s="2858" t="s">
        <v>2881</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3046</v>
      </c>
      <c r="C41" s="388">
        <f ca="1">ROUND(POWER(1+E41,H41-G41)*(POWER(1+E41,G41)-1)/(POWER(1+E41,H41)-1),4)</f>
        <v>0.72450000000000003</v>
      </c>
      <c r="D41" s="200" t="s">
        <v>2888</v>
      </c>
      <c r="E41" s="2926">
        <f ca="1">G20</f>
        <v>4.8000000000000001E-2</v>
      </c>
      <c r="F41" s="200" t="s">
        <v>2897</v>
      </c>
      <c r="G41" s="218">
        <f>项目基本情况!I15</f>
        <v>22.7</v>
      </c>
      <c r="H41" s="200">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2938</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c r="A46" s="2863" t="s">
        <v>2939</v>
      </c>
      <c r="B46" s="2864">
        <f>1+E48</f>
        <v>1</v>
      </c>
      <c r="C46" s="2865"/>
      <c r="D46" s="811"/>
      <c r="E46" s="812"/>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c r="A47" s="2867" t="s">
        <v>2940</v>
      </c>
      <c r="B47" s="1805" t="s">
        <v>2941</v>
      </c>
      <c r="C47" s="1805" t="s">
        <v>2942</v>
      </c>
      <c r="D47" s="1805" t="s">
        <v>2943</v>
      </c>
      <c r="E47" s="816" t="s">
        <v>2944</v>
      </c>
      <c r="F47" s="2868" t="s">
        <v>2945</v>
      </c>
      <c r="G47" s="1805" t="s">
        <v>754</v>
      </c>
      <c r="H47" s="2869" t="s">
        <v>2946</v>
      </c>
      <c r="I47" s="1805" t="s">
        <v>2947</v>
      </c>
      <c r="J47" s="603" t="s">
        <v>2596</v>
      </c>
      <c r="K47" s="603" t="s">
        <v>2597</v>
      </c>
      <c r="L47" s="603" t="s">
        <v>2598</v>
      </c>
      <c r="M47" s="603" t="s">
        <v>2599</v>
      </c>
      <c r="N47" s="603" t="s">
        <v>2600</v>
      </c>
      <c r="AA47" s="1367"/>
      <c r="AB47" s="1367"/>
      <c r="AC47" s="1367"/>
      <c r="AD47" s="1367"/>
      <c r="AE47" s="1367"/>
      <c r="AF47" s="1367"/>
      <c r="AG47" s="1367"/>
      <c r="AH47" s="1367"/>
      <c r="AI47" s="1367"/>
      <c r="AJ47" s="1367"/>
      <c r="AK47" s="1367"/>
    </row>
    <row r="48" spans="1:37" s="1366" customFormat="1" ht="38.25">
      <c r="A48" s="2867" t="s">
        <v>2948</v>
      </c>
      <c r="B48" s="2870" t="str">
        <f>估价对象房地状况!C4</f>
        <v>估价对象位于XX商圈，周边商业氛围成熟，人流量大，商业繁华度好</v>
      </c>
      <c r="C48" s="2767"/>
      <c r="D48" s="1282">
        <f t="shared" ref="D48:D56" si="10">SUMIF($J$47:$N$47,C48,J48:N48)</f>
        <v>0</v>
      </c>
      <c r="E48" s="818">
        <f>ROUND(SUM(D48:D56),4)</f>
        <v>0</v>
      </c>
      <c r="F48" s="2498"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7" t="s">
        <v>2949</v>
      </c>
      <c r="B49" s="2871" t="str">
        <f>估价对象房地状况!C18</f>
        <v>估价对象周边道路状况、公共交通通达情况、停车便捷程度，综合评价交通便捷度较好</v>
      </c>
      <c r="C49" s="2767"/>
      <c r="D49" s="1282">
        <f t="shared" si="10"/>
        <v>0</v>
      </c>
      <c r="E49" s="819"/>
      <c r="F49" s="2498"/>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2950</v>
      </c>
      <c r="B50" s="2871">
        <f>估价对象房地状况!C19</f>
        <v>0</v>
      </c>
      <c r="C50" s="2767"/>
      <c r="D50" s="1282">
        <f t="shared" si="10"/>
        <v>0</v>
      </c>
      <c r="E50" s="819"/>
      <c r="F50" s="2498"/>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7" t="s">
        <v>2951</v>
      </c>
      <c r="B51" s="2872" t="s">
        <v>2952</v>
      </c>
      <c r="C51" s="2767"/>
      <c r="D51" s="1282">
        <f t="shared" si="10"/>
        <v>0</v>
      </c>
      <c r="E51" s="819"/>
      <c r="F51" s="2498"/>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2953</v>
      </c>
      <c r="B52" s="2871">
        <f>估价对象房地状况!C24</f>
        <v>0</v>
      </c>
      <c r="C52" s="2767"/>
      <c r="D52" s="1282">
        <f t="shared" si="10"/>
        <v>0</v>
      </c>
      <c r="E52" s="819"/>
      <c r="F52" s="2498"/>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7" t="s">
        <v>2954</v>
      </c>
      <c r="B53" s="2873" t="s">
        <v>2955</v>
      </c>
      <c r="C53" s="2767"/>
      <c r="D53" s="1282">
        <f t="shared" si="10"/>
        <v>0</v>
      </c>
      <c r="E53" s="819"/>
      <c r="F53" s="2498"/>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4" t="s">
        <v>2956</v>
      </c>
      <c r="B54" s="1721" t="str">
        <f>估价对象房地状况!C21</f>
        <v>估价对象所在区域公共配套设施齐备情况</v>
      </c>
      <c r="C54" s="2767"/>
      <c r="D54" s="1282">
        <f t="shared" si="10"/>
        <v>0</v>
      </c>
      <c r="E54" s="819"/>
      <c r="F54" s="2498"/>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4" t="s">
        <v>2957</v>
      </c>
      <c r="B55" s="2871" t="str">
        <f>估价对象房地状况!C22</f>
        <v>估价对象所在区域基础设施水平</v>
      </c>
      <c r="C55" s="2767"/>
      <c r="D55" s="1282">
        <f t="shared" si="10"/>
        <v>0</v>
      </c>
      <c r="E55" s="819"/>
      <c r="F55" s="2498"/>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5" t="s">
        <v>2958</v>
      </c>
      <c r="B56" s="2876" t="str">
        <f>估价对象房地状况!C20</f>
        <v>区域自然环境：；人文环境；综合评价环境状况一般</v>
      </c>
      <c r="C56" s="2767"/>
      <c r="D56" s="1282">
        <f t="shared" si="10"/>
        <v>0</v>
      </c>
      <c r="E56" s="822"/>
      <c r="F56" s="2498"/>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3" t="s">
        <v>2959</v>
      </c>
      <c r="B57" s="2864">
        <f>1+E59</f>
        <v>1</v>
      </c>
      <c r="C57" s="811"/>
      <c r="D57" s="811"/>
      <c r="E57" s="812"/>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7" t="s">
        <v>2940</v>
      </c>
      <c r="B58" s="1805"/>
      <c r="C58" s="1805" t="s">
        <v>2942</v>
      </c>
      <c r="D58" s="1805" t="s">
        <v>2943</v>
      </c>
      <c r="E58" s="816" t="s">
        <v>2944</v>
      </c>
      <c r="F58" s="2868" t="s">
        <v>2960</v>
      </c>
      <c r="G58" s="1805" t="s">
        <v>754</v>
      </c>
      <c r="H58" s="2869" t="s">
        <v>2946</v>
      </c>
      <c r="I58" s="1805" t="s">
        <v>2947</v>
      </c>
      <c r="J58" s="603" t="s">
        <v>2596</v>
      </c>
      <c r="K58" s="603" t="s">
        <v>2597</v>
      </c>
      <c r="L58" s="603" t="s">
        <v>2598</v>
      </c>
      <c r="M58" s="603" t="s">
        <v>2599</v>
      </c>
      <c r="N58" s="603" t="s">
        <v>2600</v>
      </c>
      <c r="AA58" s="1367"/>
      <c r="AB58" s="1367"/>
      <c r="AC58" s="1367"/>
      <c r="AD58" s="1367"/>
      <c r="AE58" s="1367"/>
      <c r="AF58" s="1367"/>
      <c r="AG58" s="1367"/>
      <c r="AH58" s="1367"/>
      <c r="AI58" s="1367"/>
      <c r="AJ58" s="1367"/>
      <c r="AK58" s="1367"/>
    </row>
    <row r="59" spans="1:37" s="1366" customFormat="1" ht="38.25">
      <c r="A59" s="2867" t="s">
        <v>2961</v>
      </c>
      <c r="B59" s="2870" t="str">
        <f>估价对象房地状况!C17</f>
        <v>估价对象位于XX商圈，周边办公楼项目较多，入驻率高，办公集聚程度较好</v>
      </c>
      <c r="C59" s="2767"/>
      <c r="D59" s="1282">
        <f t="shared" ref="D59:D67" si="15">SUMIF($J$58:$N$58,C59,J59:N59)</f>
        <v>0</v>
      </c>
      <c r="E59" s="818">
        <f>ROUND(SUM(D59:D67),4)</f>
        <v>0</v>
      </c>
      <c r="F59" s="2498"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7" t="s">
        <v>2949</v>
      </c>
      <c r="B60" s="2871" t="str">
        <f>估价对象房地状况!C18</f>
        <v>估价对象周边道路状况、公共交通通达情况、停车便捷程度，综合评价交通便捷度较好</v>
      </c>
      <c r="C60" s="2767"/>
      <c r="D60" s="1282">
        <f t="shared" si="15"/>
        <v>0</v>
      </c>
      <c r="E60" s="819"/>
      <c r="F60" s="2498"/>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2950</v>
      </c>
      <c r="B61" s="2871">
        <f>估价对象房地状况!C19</f>
        <v>0</v>
      </c>
      <c r="C61" s="2767"/>
      <c r="D61" s="1282">
        <f t="shared" si="15"/>
        <v>0</v>
      </c>
      <c r="E61" s="819"/>
      <c r="F61" s="2498"/>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7" t="s">
        <v>2951</v>
      </c>
      <c r="B62" s="2872" t="s">
        <v>2952</v>
      </c>
      <c r="C62" s="2767"/>
      <c r="D62" s="1282">
        <f t="shared" si="15"/>
        <v>0</v>
      </c>
      <c r="E62" s="819"/>
      <c r="F62" s="2498"/>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2953</v>
      </c>
      <c r="B63" s="2871">
        <f>估价对象房地状况!C24</f>
        <v>0</v>
      </c>
      <c r="C63" s="2767"/>
      <c r="D63" s="1282">
        <f t="shared" si="15"/>
        <v>0</v>
      </c>
      <c r="E63" s="819"/>
      <c r="F63" s="2498"/>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7" t="s">
        <v>2954</v>
      </c>
      <c r="B64" s="2873" t="s">
        <v>2955</v>
      </c>
      <c r="C64" s="2767"/>
      <c r="D64" s="1282">
        <f t="shared" si="15"/>
        <v>0</v>
      </c>
      <c r="E64" s="819"/>
      <c r="F64" s="2498"/>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7" t="s">
        <v>2956</v>
      </c>
      <c r="B65" s="1721" t="str">
        <f>估价对象房地状况!C21</f>
        <v>估价对象所在区域公共配套设施齐备情况</v>
      </c>
      <c r="C65" s="2767"/>
      <c r="D65" s="1282">
        <f t="shared" si="15"/>
        <v>0</v>
      </c>
      <c r="E65" s="819"/>
      <c r="F65" s="2498"/>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7" t="s">
        <v>2957</v>
      </c>
      <c r="B66" s="1721" t="str">
        <f>估价对象房地状况!C22</f>
        <v>估价对象所在区域基础设施水平</v>
      </c>
      <c r="C66" s="2767"/>
      <c r="D66" s="1282">
        <f t="shared" si="15"/>
        <v>0</v>
      </c>
      <c r="E66" s="819"/>
      <c r="F66" s="2498"/>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5" t="s">
        <v>2958</v>
      </c>
      <c r="B67" s="2877" t="str">
        <f>估价对象房地状况!C20</f>
        <v>区域自然环境：；人文环境；综合评价环境状况一般</v>
      </c>
      <c r="C67" s="2767"/>
      <c r="D67" s="1282">
        <f t="shared" si="15"/>
        <v>0</v>
      </c>
      <c r="E67" s="822"/>
      <c r="F67" s="2498"/>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3" t="s">
        <v>2962</v>
      </c>
      <c r="B68" s="2864">
        <f>1+E70</f>
        <v>1</v>
      </c>
      <c r="C68" s="811"/>
      <c r="D68" s="811"/>
      <c r="E68" s="812"/>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7" t="s">
        <v>2940</v>
      </c>
      <c r="B69" s="1805"/>
      <c r="C69" s="1805" t="s">
        <v>2942</v>
      </c>
      <c r="D69" s="1805" t="s">
        <v>2943</v>
      </c>
      <c r="E69" s="816" t="s">
        <v>2944</v>
      </c>
      <c r="F69" s="2868" t="s">
        <v>2960</v>
      </c>
      <c r="G69" s="1805" t="s">
        <v>754</v>
      </c>
      <c r="H69" s="2869" t="s">
        <v>2946</v>
      </c>
      <c r="I69" s="1805" t="s">
        <v>2947</v>
      </c>
      <c r="J69" s="603" t="s">
        <v>2596</v>
      </c>
      <c r="K69" s="603" t="s">
        <v>2597</v>
      </c>
      <c r="L69" s="603" t="s">
        <v>2598</v>
      </c>
      <c r="M69" s="603" t="s">
        <v>2599</v>
      </c>
      <c r="N69" s="603" t="s">
        <v>2600</v>
      </c>
      <c r="AA69" s="1367"/>
      <c r="AB69" s="1367"/>
      <c r="AC69" s="1367"/>
      <c r="AD69" s="1367"/>
      <c r="AE69" s="1367"/>
      <c r="AF69" s="1367"/>
      <c r="AG69" s="1367"/>
      <c r="AH69" s="1367"/>
      <c r="AI69" s="1367"/>
      <c r="AJ69" s="1367"/>
      <c r="AK69" s="1367"/>
    </row>
    <row r="70" spans="1:37" s="1366" customFormat="1" ht="51">
      <c r="A70" s="2867" t="s">
        <v>2963</v>
      </c>
      <c r="B70" s="2870" t="str">
        <f>估价对象房地状况!C15</f>
        <v>估价对象周边居住用地比例、居住小区规模和社区发展完善程度，综合评价居住社区成熟度一般</v>
      </c>
      <c r="C70" s="2767"/>
      <c r="D70" s="1282">
        <f t="shared" ref="D70:D78" si="20">SUMIF($J$69:$N$69,C70,J70:N70)</f>
        <v>0</v>
      </c>
      <c r="E70" s="818">
        <f>ROUND(SUM(D70:D78),4)</f>
        <v>0</v>
      </c>
      <c r="F70" s="2498"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7" t="s">
        <v>2949</v>
      </c>
      <c r="B71" s="2871" t="str">
        <f>估价对象房地状况!C18</f>
        <v>估价对象周边道路状况、公共交通通达情况、停车便捷程度，综合评价交通便捷度较好</v>
      </c>
      <c r="C71" s="2767"/>
      <c r="D71" s="1282">
        <f t="shared" si="20"/>
        <v>0</v>
      </c>
      <c r="E71" s="823"/>
      <c r="F71" s="2498"/>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2950</v>
      </c>
      <c r="B72" s="2871">
        <f>估价对象房地状况!C19</f>
        <v>0</v>
      </c>
      <c r="C72" s="2767"/>
      <c r="D72" s="1282">
        <f t="shared" si="20"/>
        <v>0</v>
      </c>
      <c r="E72" s="823"/>
      <c r="F72" s="2498"/>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7" t="s">
        <v>2964</v>
      </c>
      <c r="B73" s="2871">
        <f>估价对象房地状况!C24</f>
        <v>0</v>
      </c>
      <c r="C73" s="2767"/>
      <c r="D73" s="1282">
        <f t="shared" si="20"/>
        <v>0</v>
      </c>
      <c r="E73" s="823"/>
      <c r="F73" s="2498"/>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7" t="s">
        <v>2956</v>
      </c>
      <c r="B74" s="1721" t="str">
        <f>估价对象房地状况!C21</f>
        <v>估价对象所在区域公共配套设施齐备情况</v>
      </c>
      <c r="C74" s="2767"/>
      <c r="D74" s="1282">
        <f t="shared" si="20"/>
        <v>0</v>
      </c>
      <c r="E74" s="823"/>
      <c r="F74" s="2498"/>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7" t="s">
        <v>2957</v>
      </c>
      <c r="B75" s="1721" t="str">
        <f>估价对象房地状况!C22</f>
        <v>估价对象所在区域基础设施水平</v>
      </c>
      <c r="C75" s="2767"/>
      <c r="D75" s="1282">
        <f t="shared" si="20"/>
        <v>0</v>
      </c>
      <c r="E75" s="823"/>
      <c r="F75" s="2498"/>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67" t="s">
        <v>2954</v>
      </c>
      <c r="B76" s="2873" t="s">
        <v>2955</v>
      </c>
      <c r="C76" s="2767"/>
      <c r="D76" s="1282">
        <f t="shared" si="20"/>
        <v>0</v>
      </c>
      <c r="E76" s="823"/>
      <c r="F76" s="2498"/>
      <c r="G76" s="1280"/>
      <c r="H76" s="1284" t="str">
        <f t="shared" si="21"/>
        <v>——</v>
      </c>
      <c r="I76" s="817">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c r="A77" s="2867" t="s">
        <v>2958</v>
      </c>
      <c r="B77" s="2870" t="str">
        <f>估价对象房地状况!C20</f>
        <v>区域自然环境：；人文环境；综合评价环境状况一般</v>
      </c>
      <c r="C77" s="2767"/>
      <c r="D77" s="1282">
        <f t="shared" si="20"/>
        <v>0</v>
      </c>
      <c r="E77" s="823"/>
      <c r="F77" s="2498"/>
      <c r="G77" s="1280"/>
      <c r="H77" s="1284" t="str">
        <f t="shared" si="21"/>
        <v>——</v>
      </c>
      <c r="I77" s="817">
        <v>0.15</v>
      </c>
      <c r="J77" s="1281">
        <f t="shared" si="22"/>
        <v>0</v>
      </c>
      <c r="K77" s="1281">
        <f t="shared" si="23"/>
        <v>0</v>
      </c>
      <c r="L77" s="1281">
        <v>0</v>
      </c>
      <c r="M77" s="1281">
        <f t="shared" si="24"/>
        <v>0</v>
      </c>
      <c r="N77" s="1281">
        <f t="shared" si="24"/>
        <v>0</v>
      </c>
      <c r="Z77" s="2717"/>
      <c r="AA77" s="2785"/>
      <c r="AG77" s="1368"/>
      <c r="AK77" s="2785"/>
    </row>
    <row r="78" spans="1:37" ht="24.75" thickBot="1">
      <c r="A78" s="2875" t="s">
        <v>2965</v>
      </c>
      <c r="B78" s="2879"/>
      <c r="C78" s="2767"/>
      <c r="D78" s="1282">
        <f t="shared" si="20"/>
        <v>0</v>
      </c>
      <c r="E78" s="824"/>
      <c r="F78" s="2498"/>
      <c r="G78" s="1280"/>
      <c r="H78" s="1284" t="str">
        <f t="shared" si="21"/>
        <v>——</v>
      </c>
      <c r="I78" s="821">
        <v>0.04</v>
      </c>
      <c r="J78" s="1281">
        <f t="shared" si="22"/>
        <v>0</v>
      </c>
      <c r="K78" s="1281">
        <f t="shared" si="23"/>
        <v>0</v>
      </c>
      <c r="L78" s="1281">
        <v>0</v>
      </c>
      <c r="M78" s="1281">
        <f t="shared" si="24"/>
        <v>0</v>
      </c>
      <c r="N78" s="1281">
        <f t="shared" si="24"/>
        <v>0</v>
      </c>
      <c r="Z78" s="2717"/>
      <c r="AA78" s="2785"/>
      <c r="AG78" s="1368"/>
      <c r="AK78" s="2785"/>
    </row>
    <row r="79" spans="1:37" ht="15">
      <c r="A79" s="2863" t="s">
        <v>2966</v>
      </c>
      <c r="B79" s="2864">
        <f>1+E81</f>
        <v>1.0655000000000001</v>
      </c>
      <c r="C79" s="811"/>
      <c r="D79" s="811"/>
      <c r="E79" s="812"/>
      <c r="F79" s="2866"/>
      <c r="G79" s="6"/>
      <c r="H79" s="6"/>
      <c r="I79" s="6"/>
      <c r="J79" s="7"/>
      <c r="K79" s="7"/>
      <c r="L79" s="7"/>
      <c r="M79" s="7"/>
      <c r="N79" s="7"/>
      <c r="Z79" s="2717"/>
      <c r="AA79" s="2785"/>
      <c r="AG79" s="1368"/>
      <c r="AK79" s="2785"/>
    </row>
    <row r="80" spans="1:37" ht="24.75">
      <c r="A80" s="2867" t="s">
        <v>2940</v>
      </c>
      <c r="B80" s="1805"/>
      <c r="C80" s="1805" t="s">
        <v>2942</v>
      </c>
      <c r="D80" s="1805" t="s">
        <v>2943</v>
      </c>
      <c r="E80" s="816" t="s">
        <v>2944</v>
      </c>
      <c r="F80" s="2868" t="s">
        <v>2960</v>
      </c>
      <c r="G80" s="1805" t="s">
        <v>754</v>
      </c>
      <c r="H80" s="2869" t="s">
        <v>2946</v>
      </c>
      <c r="I80" s="1805" t="s">
        <v>2947</v>
      </c>
      <c r="J80" s="603" t="s">
        <v>2596</v>
      </c>
      <c r="K80" s="603" t="s">
        <v>2597</v>
      </c>
      <c r="L80" s="603" t="s">
        <v>2598</v>
      </c>
      <c r="M80" s="603" t="s">
        <v>2599</v>
      </c>
      <c r="N80" s="603" t="s">
        <v>2600</v>
      </c>
      <c r="Z80" s="2717"/>
      <c r="AA80" s="2785"/>
      <c r="AG80" s="1368"/>
      <c r="AK80" s="2785"/>
    </row>
    <row r="81" spans="1:37" ht="38.25">
      <c r="A81" s="2867" t="s">
        <v>2967</v>
      </c>
      <c r="B81" s="2871" t="str">
        <f>估价对象房地状况!G15</f>
        <v>估价对象位于XX开发区，园区建设成熟度XX，产业集聚程度XX</v>
      </c>
      <c r="C81" s="2767" t="s">
        <v>3128</v>
      </c>
      <c r="D81" s="1282">
        <f t="shared" ref="D81:D88" si="25">SUMIF($J$80:$N$80,C81,J81:N81)</f>
        <v>2.5999999999999999E-2</v>
      </c>
      <c r="E81" s="818">
        <f>ROUND(SUM(D81:D88),4)</f>
        <v>6.5500000000000003E-2</v>
      </c>
      <c r="F81" s="2498">
        <f>IF(E2="工业",SUMIF(L1:L12,G2,N1:N12),"——")</f>
        <v>0.1</v>
      </c>
      <c r="G81" s="1280">
        <v>1.2999999999999999E-2</v>
      </c>
      <c r="H81" s="1284">
        <f t="shared" ref="H81:H88" si="26">IFERROR(ROUNDDOWN($F$81*I81/2,4),"——")</f>
        <v>1.2999999999999999E-2</v>
      </c>
      <c r="I81" s="817">
        <v>0.26</v>
      </c>
      <c r="J81" s="1281">
        <f t="shared" ref="J81:J88" si="27">K81+$G81</f>
        <v>2.5999999999999999E-2</v>
      </c>
      <c r="K81" s="1281">
        <f t="shared" ref="K81:K88" si="28">$L81+$G81</f>
        <v>1.2999999999999999E-2</v>
      </c>
      <c r="L81" s="1281">
        <v>0</v>
      </c>
      <c r="M81" s="1281">
        <f t="shared" ref="M81:N88" si="29">L81-$G81</f>
        <v>-1.2999999999999999E-2</v>
      </c>
      <c r="N81" s="1281">
        <f t="shared" si="29"/>
        <v>-2.5999999999999999E-2</v>
      </c>
      <c r="Z81" s="2717"/>
      <c r="AA81" s="2785"/>
      <c r="AG81" s="1368"/>
      <c r="AK81" s="2785"/>
    </row>
    <row r="82" spans="1:37" ht="51">
      <c r="A82" s="2867" t="s">
        <v>2949</v>
      </c>
      <c r="B82" s="2871" t="str">
        <f>估价对象房地状况!G16</f>
        <v>估价对象周边道路状况、公共交通通达情况、停车便捷程度，综合评价交通便捷度较好</v>
      </c>
      <c r="C82" s="2767" t="s">
        <v>3129</v>
      </c>
      <c r="D82" s="1282">
        <f t="shared" si="25"/>
        <v>1.6500000000000001E-2</v>
      </c>
      <c r="E82" s="823"/>
      <c r="F82" s="2498"/>
      <c r="G82" s="1280">
        <v>1.6500000000000001E-2</v>
      </c>
      <c r="H82" s="1284">
        <f t="shared" si="26"/>
        <v>1.6500000000000001E-2</v>
      </c>
      <c r="I82" s="817">
        <v>0.33</v>
      </c>
      <c r="J82" s="1281">
        <f t="shared" si="27"/>
        <v>3.3000000000000002E-2</v>
      </c>
      <c r="K82" s="1281">
        <f t="shared" si="28"/>
        <v>1.6500000000000001E-2</v>
      </c>
      <c r="L82" s="1281">
        <v>0</v>
      </c>
      <c r="M82" s="1281">
        <f t="shared" si="29"/>
        <v>-1.6500000000000001E-2</v>
      </c>
      <c r="N82" s="1281">
        <f t="shared" si="29"/>
        <v>-3.3000000000000002E-2</v>
      </c>
      <c r="Z82" s="2717"/>
      <c r="AA82" s="2785"/>
      <c r="AG82" s="1368"/>
      <c r="AK82" s="2785"/>
    </row>
    <row r="83" spans="1:37" ht="24">
      <c r="A83" s="2867" t="s">
        <v>2950</v>
      </c>
      <c r="B83" s="2871">
        <f>估价对象房地状况!G17</f>
        <v>0</v>
      </c>
      <c r="C83" s="2767" t="s">
        <v>3129</v>
      </c>
      <c r="D83" s="1282">
        <f t="shared" si="25"/>
        <v>2.5000000000000001E-3</v>
      </c>
      <c r="E83" s="823"/>
      <c r="F83" s="2498"/>
      <c r="G83" s="1280">
        <v>2.5000000000000001E-3</v>
      </c>
      <c r="H83" s="1284">
        <f t="shared" si="26"/>
        <v>2.5000000000000001E-3</v>
      </c>
      <c r="I83" s="817">
        <v>0.05</v>
      </c>
      <c r="J83" s="1281">
        <f t="shared" si="27"/>
        <v>5.0000000000000001E-3</v>
      </c>
      <c r="K83" s="1281">
        <f t="shared" si="28"/>
        <v>2.5000000000000001E-3</v>
      </c>
      <c r="L83" s="1281">
        <v>0</v>
      </c>
      <c r="M83" s="1281">
        <f t="shared" si="29"/>
        <v>-2.5000000000000001E-3</v>
      </c>
      <c r="N83" s="1281">
        <f t="shared" si="29"/>
        <v>-5.0000000000000001E-3</v>
      </c>
      <c r="Z83" s="2717"/>
      <c r="AA83" s="2785"/>
      <c r="AG83" s="1368"/>
      <c r="AK83" s="2785"/>
    </row>
    <row r="84" spans="1:37" ht="14.25">
      <c r="A84" s="2867" t="s">
        <v>2964</v>
      </c>
      <c r="B84" s="2871">
        <f>估价对象房地状况!G22</f>
        <v>0</v>
      </c>
      <c r="C84" s="2767" t="s">
        <v>3129</v>
      </c>
      <c r="D84" s="1282">
        <f t="shared" si="25"/>
        <v>2E-3</v>
      </c>
      <c r="E84" s="823"/>
      <c r="F84" s="2498"/>
      <c r="G84" s="1280">
        <v>2E-3</v>
      </c>
      <c r="H84" s="1284">
        <f t="shared" si="26"/>
        <v>2E-3</v>
      </c>
      <c r="I84" s="817">
        <v>0.04</v>
      </c>
      <c r="J84" s="1281">
        <f t="shared" si="27"/>
        <v>4.0000000000000001E-3</v>
      </c>
      <c r="K84" s="1281">
        <f t="shared" si="28"/>
        <v>2E-3</v>
      </c>
      <c r="L84" s="1281">
        <v>0</v>
      </c>
      <c r="M84" s="1281">
        <f t="shared" si="29"/>
        <v>-2E-3</v>
      </c>
      <c r="N84" s="1281">
        <f t="shared" si="29"/>
        <v>-4.0000000000000001E-3</v>
      </c>
      <c r="Z84" s="2717"/>
      <c r="AA84" s="2785"/>
      <c r="AG84" s="1368"/>
      <c r="AK84" s="2785"/>
    </row>
    <row r="85" spans="1:37" ht="25.5">
      <c r="A85" s="2867" t="s">
        <v>2956</v>
      </c>
      <c r="B85" s="1721" t="str">
        <f>估价对象房地状况!G19</f>
        <v>估价对象所在区域公共配套设施齐备情况</v>
      </c>
      <c r="C85" s="2767" t="s">
        <v>3129</v>
      </c>
      <c r="D85" s="1282">
        <f t="shared" si="25"/>
        <v>3.0000000000000001E-3</v>
      </c>
      <c r="E85" s="823"/>
      <c r="F85" s="2498"/>
      <c r="G85" s="1280">
        <v>3.0000000000000001E-3</v>
      </c>
      <c r="H85" s="1284">
        <f t="shared" si="26"/>
        <v>3.0000000000000001E-3</v>
      </c>
      <c r="I85" s="817">
        <v>0.06</v>
      </c>
      <c r="J85" s="1281">
        <f t="shared" si="27"/>
        <v>6.0000000000000001E-3</v>
      </c>
      <c r="K85" s="1281">
        <f t="shared" si="28"/>
        <v>3.0000000000000001E-3</v>
      </c>
      <c r="L85" s="1281">
        <v>0</v>
      </c>
      <c r="M85" s="1281">
        <f t="shared" si="29"/>
        <v>-3.0000000000000001E-3</v>
      </c>
      <c r="N85" s="1281">
        <f t="shared" si="29"/>
        <v>-6.0000000000000001E-3</v>
      </c>
      <c r="Z85" s="2717"/>
      <c r="AA85" s="2785"/>
      <c r="AG85" s="1368"/>
      <c r="AK85" s="2785"/>
    </row>
    <row r="86" spans="1:37" ht="25.5">
      <c r="A86" s="2867" t="s">
        <v>2957</v>
      </c>
      <c r="B86" s="1721" t="str">
        <f>估价对象房地状况!G20</f>
        <v>估价对象所在区域基础设施水平</v>
      </c>
      <c r="C86" s="2767" t="s">
        <v>3129</v>
      </c>
      <c r="D86" s="1282">
        <f t="shared" si="25"/>
        <v>7.4999999999999997E-3</v>
      </c>
      <c r="E86" s="823"/>
      <c r="F86" s="2498"/>
      <c r="G86" s="1280">
        <v>7.4999999999999997E-3</v>
      </c>
      <c r="H86" s="1284">
        <f t="shared" si="26"/>
        <v>7.4999999999999997E-3</v>
      </c>
      <c r="I86" s="817">
        <v>0.15</v>
      </c>
      <c r="J86" s="1281">
        <f t="shared" si="27"/>
        <v>1.4999999999999999E-2</v>
      </c>
      <c r="K86" s="1281">
        <f t="shared" si="28"/>
        <v>7.4999999999999997E-3</v>
      </c>
      <c r="L86" s="1281">
        <v>0</v>
      </c>
      <c r="M86" s="1281">
        <f t="shared" si="29"/>
        <v>-7.4999999999999997E-3</v>
      </c>
      <c r="N86" s="1281">
        <f t="shared" si="29"/>
        <v>-1.4999999999999999E-2</v>
      </c>
      <c r="Z86" s="2717"/>
      <c r="AA86" s="2785"/>
      <c r="AG86" s="1368"/>
      <c r="AK86" s="2785"/>
    </row>
    <row r="87" spans="1:37" ht="24">
      <c r="A87" s="2867" t="s">
        <v>2954</v>
      </c>
      <c r="B87" s="2873" t="s">
        <v>2968</v>
      </c>
      <c r="C87" s="2767" t="s">
        <v>3128</v>
      </c>
      <c r="D87" s="1282">
        <f t="shared" si="25"/>
        <v>5.0000000000000001E-3</v>
      </c>
      <c r="E87" s="823"/>
      <c r="F87" s="2498"/>
      <c r="G87" s="1280">
        <v>2.5000000000000001E-3</v>
      </c>
      <c r="H87" s="1284">
        <f t="shared" si="26"/>
        <v>2.5000000000000001E-3</v>
      </c>
      <c r="I87" s="817">
        <v>0.05</v>
      </c>
      <c r="J87" s="1281">
        <f t="shared" si="27"/>
        <v>5.0000000000000001E-3</v>
      </c>
      <c r="K87" s="1281">
        <f t="shared" si="28"/>
        <v>2.5000000000000001E-3</v>
      </c>
      <c r="L87" s="1281">
        <v>0</v>
      </c>
      <c r="M87" s="1281">
        <f t="shared" si="29"/>
        <v>-2.5000000000000001E-3</v>
      </c>
      <c r="N87" s="1281">
        <f t="shared" si="29"/>
        <v>-5.0000000000000001E-3</v>
      </c>
      <c r="Z87" s="2717"/>
      <c r="AA87" s="2785"/>
      <c r="AG87" s="1368"/>
      <c r="AK87" s="2785"/>
    </row>
    <row r="88" spans="1:37" ht="39" thickBot="1">
      <c r="A88" s="2875" t="s">
        <v>2969</v>
      </c>
      <c r="B88" s="2880" t="str">
        <f>估价对象房地状况!G18</f>
        <v>该园区内是否有污染型企业，绿化情况，卫生条件，整体环境状况判断</v>
      </c>
      <c r="C88" s="2767" t="s">
        <v>3129</v>
      </c>
      <c r="D88" s="1282">
        <f t="shared" si="25"/>
        <v>3.0000000000000001E-3</v>
      </c>
      <c r="E88" s="824"/>
      <c r="F88" s="2498"/>
      <c r="G88" s="1280">
        <v>3.0000000000000001E-3</v>
      </c>
      <c r="H88" s="1284">
        <f t="shared" si="26"/>
        <v>3.0000000000000001E-3</v>
      </c>
      <c r="I88" s="821">
        <v>0.06</v>
      </c>
      <c r="J88" s="1281">
        <f t="shared" si="27"/>
        <v>6.0000000000000001E-3</v>
      </c>
      <c r="K88" s="1281">
        <f t="shared" si="28"/>
        <v>3.0000000000000001E-3</v>
      </c>
      <c r="L88" s="1281">
        <v>0</v>
      </c>
      <c r="M88" s="1281">
        <f t="shared" si="29"/>
        <v>-3.0000000000000001E-3</v>
      </c>
      <c r="N88" s="1281">
        <f t="shared" si="29"/>
        <v>-6.0000000000000001E-3</v>
      </c>
      <c r="Z88" s="2717"/>
      <c r="AA88" s="2785"/>
      <c r="AG88" s="1368"/>
      <c r="AK88" s="2785"/>
    </row>
    <row r="90" spans="1:37">
      <c r="A90" s="3284" t="s">
        <v>2970</v>
      </c>
      <c r="B90" s="3284"/>
      <c r="C90" s="3284"/>
      <c r="D90" s="3284"/>
      <c r="E90" s="3284"/>
      <c r="F90" s="3284"/>
      <c r="G90" s="3284"/>
      <c r="H90" s="3284"/>
      <c r="I90" s="3284"/>
      <c r="J90" s="3284"/>
      <c r="K90" s="2881"/>
      <c r="L90" s="2881"/>
      <c r="M90" s="2881"/>
      <c r="N90" s="2881"/>
    </row>
    <row r="91" spans="1:37">
      <c r="A91" s="3286" t="s">
        <v>2971</v>
      </c>
      <c r="B91" s="3286" t="s">
        <v>2972</v>
      </c>
      <c r="C91" s="2835" t="s">
        <v>2973</v>
      </c>
      <c r="D91" s="2836"/>
      <c r="E91" s="2836"/>
      <c r="F91" s="2836"/>
      <c r="G91" s="2836"/>
      <c r="H91" s="2836"/>
      <c r="I91" s="2836"/>
      <c r="J91" s="2882"/>
      <c r="K91" s="2883"/>
      <c r="L91" s="2883"/>
      <c r="M91" s="2883"/>
      <c r="N91" s="2883"/>
    </row>
    <row r="92" spans="1:37">
      <c r="A92" s="3286"/>
      <c r="B92" s="3286"/>
      <c r="C92" s="939" t="s">
        <v>2840</v>
      </c>
      <c r="D92" s="939" t="s">
        <v>2841</v>
      </c>
      <c r="E92" s="939" t="s">
        <v>2842</v>
      </c>
      <c r="F92" s="939" t="s">
        <v>2843</v>
      </c>
      <c r="G92" s="939" t="s">
        <v>2844</v>
      </c>
      <c r="H92" s="939" t="s">
        <v>2845</v>
      </c>
      <c r="I92" s="939" t="s">
        <v>2846</v>
      </c>
      <c r="J92" s="939" t="s">
        <v>2847</v>
      </c>
      <c r="K92" s="939" t="s">
        <v>2848</v>
      </c>
      <c r="L92" s="939" t="s">
        <v>2849</v>
      </c>
      <c r="M92" s="939" t="s">
        <v>2850</v>
      </c>
      <c r="N92" s="939" t="s">
        <v>2851</v>
      </c>
    </row>
    <row r="93" spans="1:37">
      <c r="A93" s="3287" t="s">
        <v>2974</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8"/>
      <c r="B99" s="2884" t="s">
        <v>2856</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7" t="s">
        <v>2975</v>
      </c>
      <c r="B101" s="2888" t="s">
        <v>2976</v>
      </c>
      <c r="C101" s="2889">
        <f>$G$3</f>
        <v>2.9</v>
      </c>
      <c r="D101" s="2889">
        <f t="shared" ref="D101:N101" si="31">$G$3</f>
        <v>2.9</v>
      </c>
      <c r="E101" s="2889">
        <f t="shared" si="31"/>
        <v>2.9</v>
      </c>
      <c r="F101" s="2889">
        <f t="shared" si="31"/>
        <v>2.9</v>
      </c>
      <c r="G101" s="2889">
        <f t="shared" si="31"/>
        <v>2.9</v>
      </c>
      <c r="H101" s="2889">
        <f t="shared" si="31"/>
        <v>2.9</v>
      </c>
      <c r="I101" s="2889">
        <f t="shared" si="31"/>
        <v>2.9</v>
      </c>
      <c r="J101" s="2889">
        <f t="shared" si="31"/>
        <v>2.9</v>
      </c>
      <c r="K101" s="2889">
        <f t="shared" si="31"/>
        <v>2.9</v>
      </c>
      <c r="L101" s="2889">
        <f t="shared" si="31"/>
        <v>2.9</v>
      </c>
      <c r="M101" s="2889">
        <f t="shared" si="31"/>
        <v>2.9</v>
      </c>
      <c r="N101" s="2889">
        <f t="shared" si="31"/>
        <v>2.9</v>
      </c>
    </row>
    <row r="102" spans="1:14">
      <c r="A102" s="3288"/>
      <c r="B102" s="2884">
        <v>1</v>
      </c>
      <c r="C102" s="2885">
        <f>1.9362/C101</f>
        <v>0.66765517241379313</v>
      </c>
      <c r="D102" s="2885">
        <f>1.9362/D101</f>
        <v>0.66765517241379313</v>
      </c>
      <c r="E102" s="2885">
        <f>1.8629/E101</f>
        <v>0.64237931034482765</v>
      </c>
      <c r="F102" s="2885">
        <f>1.8629/F101</f>
        <v>0.64237931034482765</v>
      </c>
      <c r="G102" s="2885">
        <f>1.8629/G101</f>
        <v>0.64237931034482765</v>
      </c>
      <c r="H102" s="2885">
        <f>1.8629/H101</f>
        <v>0.64237931034482765</v>
      </c>
      <c r="I102" s="2885">
        <f>1.8629/I101</f>
        <v>0.64237931034482765</v>
      </c>
      <c r="J102" s="2885">
        <f>1.942/J101</f>
        <v>0.66965517241379313</v>
      </c>
      <c r="K102" s="2885">
        <f>1.942/K101</f>
        <v>0.66965517241379313</v>
      </c>
      <c r="L102" s="2885">
        <f>1.942/L101</f>
        <v>0.66965517241379313</v>
      </c>
      <c r="M102" s="2885">
        <f>1.942/M101</f>
        <v>0.66965517241379313</v>
      </c>
      <c r="N102" s="2885">
        <f>1.942/N101</f>
        <v>0.66965517241379313</v>
      </c>
    </row>
    <row r="103" spans="1:14">
      <c r="A103" s="3288"/>
      <c r="B103" s="2884">
        <v>2</v>
      </c>
      <c r="C103" s="2885">
        <f>1.4198/C101</f>
        <v>0.48958620689655175</v>
      </c>
      <c r="D103" s="2885">
        <f>1.4198/D101</f>
        <v>0.48958620689655175</v>
      </c>
      <c r="E103" s="2885">
        <f>1.3372/E101</f>
        <v>0.46110344827586208</v>
      </c>
      <c r="F103" s="2885">
        <f>1.3372/F101</f>
        <v>0.46110344827586208</v>
      </c>
      <c r="G103" s="2885">
        <f>1.3372/G101</f>
        <v>0.46110344827586208</v>
      </c>
      <c r="H103" s="2885">
        <f>1.3372/H101</f>
        <v>0.46110344827586208</v>
      </c>
      <c r="I103" s="2885">
        <f>1.3372/I101</f>
        <v>0.46110344827586208</v>
      </c>
      <c r="J103" s="2885">
        <f>1.2799/J101</f>
        <v>0.44134482758620691</v>
      </c>
      <c r="K103" s="2885">
        <f>1.2799/K101</f>
        <v>0.44134482758620691</v>
      </c>
      <c r="L103" s="2885">
        <f>1.2799/L101</f>
        <v>0.44134482758620691</v>
      </c>
      <c r="M103" s="2885">
        <f>1.2799/M101</f>
        <v>0.44134482758620691</v>
      </c>
      <c r="N103" s="2885">
        <f>1.2799/N101</f>
        <v>0.44134482758620691</v>
      </c>
    </row>
    <row r="104" spans="1:14">
      <c r="A104" s="3288"/>
      <c r="B104" s="2884">
        <v>3</v>
      </c>
      <c r="C104" s="2885">
        <f>1.1594/C101</f>
        <v>0.39979310344827584</v>
      </c>
      <c r="D104" s="2885">
        <f>1.1594/D101</f>
        <v>0.39979310344827584</v>
      </c>
      <c r="E104" s="2885">
        <f>1.0788/E101</f>
        <v>0.372</v>
      </c>
      <c r="F104" s="2885">
        <f>1.0788/F101</f>
        <v>0.372</v>
      </c>
      <c r="G104" s="2885">
        <f>1.0788/G101</f>
        <v>0.372</v>
      </c>
      <c r="H104" s="2885">
        <f>1.0788/H101</f>
        <v>0.372</v>
      </c>
      <c r="I104" s="2885">
        <f>1.0788/I101</f>
        <v>0.372</v>
      </c>
      <c r="J104" s="2885">
        <f>1.0072/J101</f>
        <v>0.34731034482758627</v>
      </c>
      <c r="K104" s="2885">
        <f>1.0072/K101</f>
        <v>0.34731034482758627</v>
      </c>
      <c r="L104" s="2885">
        <f>1.0072/L101</f>
        <v>0.34731034482758627</v>
      </c>
      <c r="M104" s="2885">
        <f>1.0072/M101</f>
        <v>0.34731034482758627</v>
      </c>
      <c r="N104" s="2885">
        <f>1.0072/N101</f>
        <v>0.34731034482758627</v>
      </c>
    </row>
    <row r="105" spans="1:14">
      <c r="A105" s="3288"/>
      <c r="B105" s="2884">
        <v>4</v>
      </c>
      <c r="C105" s="2885">
        <f>0.9622/C101</f>
        <v>0.33179310344827589</v>
      </c>
      <c r="D105" s="2885">
        <f>0.9622/D101</f>
        <v>0.33179310344827589</v>
      </c>
      <c r="E105" s="2885">
        <f>0.8656/E101</f>
        <v>0.29848275862068968</v>
      </c>
      <c r="F105" s="2885">
        <f>0.8656/F101</f>
        <v>0.29848275862068968</v>
      </c>
      <c r="G105" s="2885">
        <f>0.8656/G101</f>
        <v>0.29848275862068968</v>
      </c>
      <c r="H105" s="2885">
        <f>0.8656/H101</f>
        <v>0.29848275862068968</v>
      </c>
      <c r="I105" s="2885">
        <f>0.8656/I101</f>
        <v>0.29848275862068968</v>
      </c>
      <c r="J105" s="2885">
        <f>0.7525/J101</f>
        <v>0.25948275862068965</v>
      </c>
      <c r="K105" s="2885">
        <f>0.7525/K101</f>
        <v>0.25948275862068965</v>
      </c>
      <c r="L105" s="2885">
        <f>0.7525/L101</f>
        <v>0.25948275862068965</v>
      </c>
      <c r="M105" s="2885">
        <f>0.7525/M101</f>
        <v>0.25948275862068965</v>
      </c>
      <c r="N105" s="2885">
        <f>0.7525/N101</f>
        <v>0.25948275862068965</v>
      </c>
    </row>
    <row r="106" spans="1:14">
      <c r="A106" s="3288"/>
      <c r="B106" s="2884">
        <v>5</v>
      </c>
      <c r="C106" s="2885">
        <f>0.8417/C101</f>
        <v>0.29024137931034483</v>
      </c>
      <c r="D106" s="2885">
        <f>0.8417/D101</f>
        <v>0.29024137931034483</v>
      </c>
      <c r="E106" s="2885">
        <f>0.7371/E101</f>
        <v>0.25417241379310346</v>
      </c>
      <c r="F106" s="2885">
        <f>0.7371/F101</f>
        <v>0.25417241379310346</v>
      </c>
      <c r="G106" s="2885">
        <f>0.7371/G101</f>
        <v>0.25417241379310346</v>
      </c>
      <c r="H106" s="2885">
        <f>0.7371/H101</f>
        <v>0.25417241379310346</v>
      </c>
      <c r="I106" s="2885">
        <f>0.7371/I101</f>
        <v>0.25417241379310346</v>
      </c>
      <c r="J106" s="2885">
        <f>0.5659/J101</f>
        <v>0.19513793103448274</v>
      </c>
      <c r="K106" s="2885">
        <f>0.5659/K101</f>
        <v>0.19513793103448274</v>
      </c>
      <c r="L106" s="2885">
        <f>0.5659/L101</f>
        <v>0.19513793103448274</v>
      </c>
      <c r="M106" s="2885">
        <f>0.5659/M101</f>
        <v>0.19513793103448274</v>
      </c>
      <c r="N106" s="2885">
        <f>0.5659/N101</f>
        <v>0.19513793103448274</v>
      </c>
    </row>
    <row r="107" spans="1:14">
      <c r="A107" s="3288"/>
      <c r="B107" s="2884">
        <v>6</v>
      </c>
      <c r="C107" s="2885">
        <f>0.7608/C101</f>
        <v>0.26234482758620692</v>
      </c>
      <c r="D107" s="2885">
        <f>0.7608/D101</f>
        <v>0.26234482758620692</v>
      </c>
      <c r="E107" s="2885">
        <f>0.6482/E101</f>
        <v>0.22351724137931034</v>
      </c>
      <c r="F107" s="2885">
        <f>0.6482/F101</f>
        <v>0.22351724137931034</v>
      </c>
      <c r="G107" s="2885">
        <f>0.6482/G101</f>
        <v>0.22351724137931034</v>
      </c>
      <c r="H107" s="2885">
        <f>0.6482/H101</f>
        <v>0.22351724137931034</v>
      </c>
      <c r="I107" s="2885">
        <f>0.6482/I101</f>
        <v>0.22351724137931034</v>
      </c>
      <c r="J107" s="2885">
        <f>0.4525/J101</f>
        <v>0.1560344827586207</v>
      </c>
      <c r="K107" s="2885">
        <f>0.4525/K101</f>
        <v>0.1560344827586207</v>
      </c>
      <c r="L107" s="2885">
        <f>0.4525/L101</f>
        <v>0.1560344827586207</v>
      </c>
      <c r="M107" s="2885">
        <f>0.4525/M101</f>
        <v>0.1560344827586207</v>
      </c>
      <c r="N107" s="2885">
        <f>0.4525/N101</f>
        <v>0.1560344827586207</v>
      </c>
    </row>
    <row r="108" spans="1:14">
      <c r="A108" s="3288"/>
      <c r="B108" s="3139" t="s">
        <v>2977</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9"/>
      <c r="B109" s="3140"/>
      <c r="C109" s="2887">
        <f>(-0.163*(C108^2)-0.59*C108+7617)*(10^(-4))/C101</f>
        <v>0.2626551724137931</v>
      </c>
      <c r="D109" s="2887">
        <f>(-0.163*(D108^2)-0.59*D108+7617)*(10^(-4))/D101</f>
        <v>0.2626551724137931</v>
      </c>
      <c r="E109" s="2887">
        <f>(-0.161*(E108^2)-7.509*E108+6533)*(10^(-4))/E101</f>
        <v>0.22527586206896552</v>
      </c>
      <c r="F109" s="2887">
        <f>(-0.161*(F108^2)-7.509*F108+6533)*(10^(-4))/F101</f>
        <v>0.22527586206896552</v>
      </c>
      <c r="G109" s="2887">
        <f>(-0.161*(G108^2)-7.509*G108+6533)*(10^(-4))/G101</f>
        <v>0.22527586206896552</v>
      </c>
      <c r="H109" s="2887">
        <f>(-0.161*(H108^2)-7.509*H108+6533)*(10^(-4))/H101</f>
        <v>0.22527586206896552</v>
      </c>
      <c r="I109" s="2887">
        <f>(-0.161*(I108^2)-7.509*I108+6533)*(10^(-4))/I101</f>
        <v>0.22527586206896552</v>
      </c>
      <c r="J109" s="2887">
        <f>(-0.214*(J108^2)-21.991*J108+4665)*(10^(-4))/J101</f>
        <v>0.16086206896551725</v>
      </c>
      <c r="K109" s="2887">
        <f>(-0.214*(K108^2)-21.991*K108+4665)*(10^(-4))/K101</f>
        <v>0.16086206896551725</v>
      </c>
      <c r="L109" s="2887">
        <f>(-0.214*(L108^2)-21.991*L108+4665)*(10^(-4))/L101</f>
        <v>0.16086206896551725</v>
      </c>
      <c r="M109" s="2887">
        <f>(-0.214*(M108^2)-21.991*M108+4665)*(10^(-4))/M101</f>
        <v>0.16086206896551725</v>
      </c>
      <c r="N109" s="2887">
        <f>(-0.214*(N108^2)-21.991*N108+4665)*(10^(-4))/N101</f>
        <v>0.16086206896551725</v>
      </c>
    </row>
    <row r="110" spans="1:14">
      <c r="A110" s="3285" t="s">
        <v>2978</v>
      </c>
      <c r="B110" s="3285"/>
      <c r="C110" s="3285"/>
      <c r="D110" s="3285"/>
      <c r="E110" s="3285"/>
      <c r="F110" s="3285"/>
      <c r="G110" s="3285"/>
      <c r="H110" s="3285"/>
      <c r="I110" s="3285"/>
      <c r="J110" s="3285"/>
      <c r="K110" s="2890"/>
      <c r="L110" s="2890"/>
      <c r="M110" s="2890"/>
      <c r="N110" s="2890"/>
    </row>
    <row r="112" spans="1:14" ht="13.5" thickBot="1"/>
    <row r="113" spans="1:13" ht="25.5" thickBot="1">
      <c r="A113" s="900" t="s">
        <v>2979</v>
      </c>
      <c r="B113" s="1283">
        <f>G3</f>
        <v>2.9</v>
      </c>
      <c r="C113" s="901" t="s">
        <v>2980</v>
      </c>
      <c r="D113" s="902">
        <f>SUMPRODUCT((A115:A118=F113)*(B114:M114=H113)*B115:M118)</f>
        <v>0.66949999999999998</v>
      </c>
      <c r="E113" s="2721" t="s">
        <v>2813</v>
      </c>
      <c r="F113" s="2892" t="str">
        <f>E2</f>
        <v>工业</v>
      </c>
      <c r="G113" s="2721" t="s">
        <v>2814</v>
      </c>
      <c r="H113" s="2892" t="str">
        <f>G2</f>
        <v>五级</v>
      </c>
      <c r="I113" s="2721"/>
      <c r="J113" s="2893"/>
      <c r="K113" s="2893"/>
      <c r="L113" s="2893"/>
      <c r="M113" s="2893"/>
    </row>
    <row r="114" spans="1:13">
      <c r="A114" s="905"/>
      <c r="B114" s="2894" t="s">
        <v>2981</v>
      </c>
      <c r="C114" s="2894" t="s">
        <v>2982</v>
      </c>
      <c r="D114" s="2894" t="s">
        <v>2983</v>
      </c>
      <c r="E114" s="2895" t="s">
        <v>2984</v>
      </c>
      <c r="F114" s="2895" t="s">
        <v>2985</v>
      </c>
      <c r="G114" s="2895" t="s">
        <v>2986</v>
      </c>
      <c r="H114" s="2896" t="s">
        <v>2987</v>
      </c>
      <c r="I114" s="2896" t="s">
        <v>2988</v>
      </c>
      <c r="J114" s="2897" t="s">
        <v>2989</v>
      </c>
      <c r="K114" s="2897" t="s">
        <v>2990</v>
      </c>
      <c r="L114" s="2897" t="s">
        <v>2991</v>
      </c>
      <c r="M114" s="2898" t="s">
        <v>2992</v>
      </c>
    </row>
    <row r="115" spans="1:13">
      <c r="A115" s="906" t="s">
        <v>2878</v>
      </c>
      <c r="B115" s="907">
        <f>ROUND(0.9335-0.0094*B113,4)</f>
        <v>0.90620000000000001</v>
      </c>
      <c r="C115" s="907">
        <f>B115</f>
        <v>0.90620000000000001</v>
      </c>
      <c r="D115" s="907">
        <f>ROUND(0.8331-0.0109*B113,4)</f>
        <v>0.80149999999999999</v>
      </c>
      <c r="E115" s="907">
        <f>D115</f>
        <v>0.80149999999999999</v>
      </c>
      <c r="F115" s="907">
        <f>E115</f>
        <v>0.80149999999999999</v>
      </c>
      <c r="G115" s="907">
        <f>F115</f>
        <v>0.80149999999999999</v>
      </c>
      <c r="H115" s="907">
        <f>G115</f>
        <v>0.80149999999999999</v>
      </c>
      <c r="I115" s="907">
        <f>ROUND(0.689-0.0155*B113,4)</f>
        <v>0.64410000000000001</v>
      </c>
      <c r="J115" s="907">
        <f t="shared" ref="J115:M118" si="33">I115</f>
        <v>0.64410000000000001</v>
      </c>
      <c r="K115" s="907">
        <f t="shared" si="33"/>
        <v>0.64410000000000001</v>
      </c>
      <c r="L115" s="907">
        <f t="shared" si="33"/>
        <v>0.64410000000000001</v>
      </c>
      <c r="M115" s="908">
        <f t="shared" si="33"/>
        <v>0.64410000000000001</v>
      </c>
    </row>
    <row r="116" spans="1:13">
      <c r="A116" s="906" t="s">
        <v>2879</v>
      </c>
      <c r="B116" s="907">
        <f>ROUND(0.949-0.012*B113,4)</f>
        <v>0.91420000000000001</v>
      </c>
      <c r="C116" s="907">
        <f>B116</f>
        <v>0.91420000000000001</v>
      </c>
      <c r="D116" s="907">
        <f>ROUND(0.8567-0.013*B113,4)</f>
        <v>0.81899999999999995</v>
      </c>
      <c r="E116" s="907">
        <f t="shared" ref="E116:H117" si="34">D116</f>
        <v>0.81899999999999995</v>
      </c>
      <c r="F116" s="907">
        <f t="shared" si="34"/>
        <v>0.81899999999999995</v>
      </c>
      <c r="G116" s="907">
        <f t="shared" si="34"/>
        <v>0.81899999999999995</v>
      </c>
      <c r="H116" s="907">
        <f t="shared" si="34"/>
        <v>0.81899999999999995</v>
      </c>
      <c r="I116" s="907">
        <f>ROUND(0.7694-0.014*B113,4)</f>
        <v>0.7288</v>
      </c>
      <c r="J116" s="907">
        <f t="shared" si="33"/>
        <v>0.7288</v>
      </c>
      <c r="K116" s="907">
        <f t="shared" si="33"/>
        <v>0.7288</v>
      </c>
      <c r="L116" s="907">
        <f t="shared" si="33"/>
        <v>0.7288</v>
      </c>
      <c r="M116" s="908">
        <f t="shared" si="33"/>
        <v>0.7288</v>
      </c>
    </row>
    <row r="117" spans="1:13">
      <c r="A117" s="906" t="s">
        <v>2880</v>
      </c>
      <c r="B117" s="907">
        <f>ROUND(0.8808-0.006*B113,4)</f>
        <v>0.86339999999999995</v>
      </c>
      <c r="C117" s="907">
        <f>B117</f>
        <v>0.86339999999999995</v>
      </c>
      <c r="D117" s="907">
        <f>ROUND(0.8748-0.008*B113,4)</f>
        <v>0.85160000000000002</v>
      </c>
      <c r="E117" s="907">
        <f t="shared" si="34"/>
        <v>0.85160000000000002</v>
      </c>
      <c r="F117" s="907">
        <f t="shared" si="34"/>
        <v>0.85160000000000002</v>
      </c>
      <c r="G117" s="907">
        <f t="shared" si="34"/>
        <v>0.85160000000000002</v>
      </c>
      <c r="H117" s="907">
        <f t="shared" si="34"/>
        <v>0.85160000000000002</v>
      </c>
      <c r="I117" s="907">
        <f>ROUND(0.7412-0.0095*B113,4)</f>
        <v>0.7137</v>
      </c>
      <c r="J117" s="907">
        <f t="shared" si="33"/>
        <v>0.7137</v>
      </c>
      <c r="K117" s="907">
        <f t="shared" si="33"/>
        <v>0.7137</v>
      </c>
      <c r="L117" s="907">
        <f t="shared" si="33"/>
        <v>0.7137</v>
      </c>
      <c r="M117" s="908">
        <f t="shared" si="33"/>
        <v>0.7137</v>
      </c>
    </row>
    <row r="118" spans="1:13" ht="13.5" thickBot="1">
      <c r="A118" s="712" t="s">
        <v>2881</v>
      </c>
      <c r="B118" s="909">
        <f>ROUND(0.7275-0.01*B113,4)</f>
        <v>0.69850000000000001</v>
      </c>
      <c r="C118" s="909">
        <f>B118</f>
        <v>0.69850000000000001</v>
      </c>
      <c r="D118" s="909">
        <f>ROUND(0.7043-0.012*B113,4)</f>
        <v>0.66949999999999998</v>
      </c>
      <c r="E118" s="909">
        <f>D118</f>
        <v>0.66949999999999998</v>
      </c>
      <c r="F118" s="909">
        <f>E118</f>
        <v>0.66949999999999998</v>
      </c>
      <c r="G118" s="909">
        <f>ROUND(0.6299-0.0122*B113,4)</f>
        <v>0.59450000000000003</v>
      </c>
      <c r="H118" s="909">
        <f>G118</f>
        <v>0.59450000000000003</v>
      </c>
      <c r="I118" s="909">
        <f>ROUND(0.5667-0.0136*B113,4)</f>
        <v>0.52729999999999999</v>
      </c>
      <c r="J118" s="909">
        <f t="shared" si="33"/>
        <v>0.52729999999999999</v>
      </c>
      <c r="K118" s="909">
        <f t="shared" si="33"/>
        <v>0.52729999999999999</v>
      </c>
      <c r="L118" s="909">
        <f t="shared" si="33"/>
        <v>0.52729999999999999</v>
      </c>
      <c r="M118" s="910">
        <f t="shared" si="33"/>
        <v>0.52729999999999999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6"/>
      <c r="B4" s="2984" t="s">
        <v>1625</v>
      </c>
      <c r="C4" s="2984"/>
      <c r="D4" s="2984"/>
      <c r="E4" s="1956"/>
    </row>
    <row r="5" spans="1:5" ht="16.5" thickTop="1">
      <c r="A5" s="1954"/>
      <c r="B5" s="2982" t="s">
        <v>1617</v>
      </c>
      <c r="C5" s="1957" t="s">
        <v>1618</v>
      </c>
      <c r="D5" s="1037">
        <f ca="1">结果表!H101</f>
        <v>89972</v>
      </c>
      <c r="E5" s="1954"/>
    </row>
    <row r="6" spans="1:5" ht="15.75">
      <c r="A6" s="1954"/>
      <c r="B6" s="2982"/>
      <c r="C6" s="1957" t="s">
        <v>1619</v>
      </c>
      <c r="D6" s="1037" t="str">
        <f ca="1">NUMBERSTRING(INT(D5*10000),2)&amp;"元整"</f>
        <v>捌亿玖仟玖佰柒拾贰万元整</v>
      </c>
      <c r="E6" s="1954"/>
    </row>
    <row r="7" spans="1:5" ht="15.75">
      <c r="A7" s="1954"/>
      <c r="B7" s="2987"/>
      <c r="C7" s="1958" t="s">
        <v>1620</v>
      </c>
      <c r="D7" s="1038">
        <f ca="1">结果表!H102</f>
        <v>29722</v>
      </c>
      <c r="E7" s="1954"/>
    </row>
    <row r="8" spans="1:5" ht="15.75">
      <c r="A8" s="1954"/>
      <c r="B8" s="2988" t="str">
        <f>结果表!E103</f>
        <v>2.估价师知悉的法定优先受偿款</v>
      </c>
      <c r="C8" s="1959" t="s">
        <v>1621</v>
      </c>
      <c r="D8" s="1038">
        <f>结果表!H103</f>
        <v>0</v>
      </c>
      <c r="E8" s="1954"/>
    </row>
    <row r="9" spans="1:5" ht="15.75">
      <c r="A9" s="1954"/>
      <c r="B9" s="2990"/>
      <c r="C9" s="1957" t="s">
        <v>1619</v>
      </c>
      <c r="D9" s="1037" t="str">
        <f>NUMBERSTRING(INT(D8*10000),2)&amp;"元整"</f>
        <v>零元整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0</v>
      </c>
      <c r="E12" s="1954"/>
    </row>
    <row r="13" spans="1:5" ht="15.75">
      <c r="A13" s="1954"/>
      <c r="B13" s="2981" t="str">
        <f>结果表!E107</f>
        <v>3.房地产抵押价值</v>
      </c>
      <c r="C13" s="1962" t="s">
        <v>1618</v>
      </c>
      <c r="D13" s="1040">
        <f ca="1">结果表!H107</f>
        <v>89972</v>
      </c>
      <c r="E13" s="1954"/>
    </row>
    <row r="14" spans="1:5" ht="15.75">
      <c r="A14" s="1954"/>
      <c r="B14" s="2982"/>
      <c r="C14" s="1957" t="s">
        <v>1619</v>
      </c>
      <c r="D14" s="1037" t="str">
        <f ca="1">NUMBERSTRING(INT(D13*10000),2)&amp;"元整"</f>
        <v>捌亿玖仟玖佰柒拾贰万元整</v>
      </c>
      <c r="E14" s="1954"/>
    </row>
    <row r="15" spans="1:5" ht="15">
      <c r="A15" s="1954"/>
      <c r="B15" s="2987"/>
      <c r="C15" s="1958" t="s">
        <v>1629</v>
      </c>
      <c r="D15" s="1049">
        <f ca="1">结果表!H108</f>
        <v>27663</v>
      </c>
      <c r="E15" s="1954"/>
    </row>
    <row r="16" spans="1:5" ht="15">
      <c r="A16" s="1954"/>
      <c r="B16" s="2988" t="str">
        <f>结果表!E109</f>
        <v>——</v>
      </c>
      <c r="C16" s="1962" t="s">
        <v>1630</v>
      </c>
      <c r="D16" s="1963" t="str">
        <f>结果表!H109</f>
        <v>——</v>
      </c>
      <c r="E16" s="1954"/>
    </row>
    <row r="17" spans="1:5" ht="15.75">
      <c r="A17" s="1954"/>
      <c r="B17" s="2989"/>
      <c r="C17" s="1957" t="s">
        <v>1631</v>
      </c>
      <c r="D17" s="1037" t="e">
        <f>NUMBERSTRING(INT(D16*10000),2)&amp;"元整"</f>
        <v>#VALUE!</v>
      </c>
      <c r="E17" s="1954"/>
    </row>
    <row r="18" spans="1:5" ht="15">
      <c r="A18" s="1954"/>
      <c r="B18" s="2990"/>
      <c r="C18" s="1958" t="s">
        <v>1620</v>
      </c>
      <c r="D18" s="1049" t="str">
        <f>结果表!H110</f>
        <v>——</v>
      </c>
      <c r="E18" s="1954"/>
    </row>
    <row r="19" spans="1:5" ht="15.75">
      <c r="A19" s="1954"/>
      <c r="B19" s="2981" t="str">
        <f>结果表!E111</f>
        <v>——</v>
      </c>
      <c r="C19" s="1962" t="s">
        <v>1618</v>
      </c>
      <c r="D19" s="1038" t="str">
        <f>结果表!H111</f>
        <v>——</v>
      </c>
      <c r="E19" s="1954"/>
    </row>
    <row r="20" spans="1:5" ht="15.75">
      <c r="A20" s="1954"/>
      <c r="B20" s="2982"/>
      <c r="C20" s="1957" t="s">
        <v>1631</v>
      </c>
      <c r="D20" s="1037" t="e">
        <f>NUMBERSTRING(INT(D19*10000),2)&amp;"元整"</f>
        <v>#VALUE!</v>
      </c>
      <c r="E20" s="1954"/>
    </row>
    <row r="21" spans="1:5" ht="15.75" thickBot="1">
      <c r="A21" s="1954"/>
      <c r="B21" s="2983"/>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5" t="s">
        <v>183</v>
      </c>
      <c r="B18" s="879" t="s">
        <v>560</v>
      </c>
      <c r="C18" s="880" t="s">
        <v>561</v>
      </c>
      <c r="D18" s="881"/>
      <c r="E18" s="879">
        <v>1</v>
      </c>
      <c r="F18" s="882" t="s">
        <v>562</v>
      </c>
      <c r="G18" s="883"/>
      <c r="H18" s="875"/>
      <c r="I18" s="875"/>
    </row>
    <row r="19" spans="1:9" s="884" customFormat="1" ht="19.5" customHeight="1">
      <c r="A19" s="3295"/>
      <c r="B19" s="3295" t="s">
        <v>563</v>
      </c>
      <c r="C19" s="880" t="s">
        <v>564</v>
      </c>
      <c r="D19" s="881"/>
      <c r="E19" s="879">
        <v>0.9</v>
      </c>
      <c r="F19" s="882" t="s">
        <v>565</v>
      </c>
      <c r="G19" s="883"/>
      <c r="H19" s="875"/>
      <c r="I19" s="875"/>
    </row>
    <row r="20" spans="1:9" s="884" customFormat="1" ht="19.5" customHeight="1">
      <c r="A20" s="3295"/>
      <c r="B20" s="3295"/>
      <c r="C20" s="880" t="s">
        <v>566</v>
      </c>
      <c r="D20" s="881"/>
      <c r="E20" s="879">
        <v>1.1000000000000001</v>
      </c>
      <c r="F20" s="882" t="s">
        <v>567</v>
      </c>
      <c r="G20" s="883"/>
      <c r="H20" s="875"/>
      <c r="I20" s="875"/>
    </row>
    <row r="21" spans="1:9" s="884" customFormat="1" ht="19.5" customHeight="1">
      <c r="A21" s="3295"/>
      <c r="B21" s="3295"/>
      <c r="C21" s="880" t="s">
        <v>568</v>
      </c>
      <c r="D21" s="881"/>
      <c r="E21" s="879">
        <v>0.8</v>
      </c>
      <c r="F21" s="882" t="s">
        <v>569</v>
      </c>
      <c r="G21" s="883"/>
      <c r="H21" s="875"/>
      <c r="I21" s="875"/>
    </row>
    <row r="22" spans="1:9" s="884" customFormat="1" ht="19.5" customHeight="1">
      <c r="A22" s="3295"/>
      <c r="B22" s="3295"/>
      <c r="C22" s="880" t="s">
        <v>570</v>
      </c>
      <c r="D22" s="881"/>
      <c r="E22" s="879">
        <v>0.5</v>
      </c>
      <c r="F22" s="882"/>
      <c r="G22" s="883"/>
      <c r="H22" s="875"/>
      <c r="I22" s="875"/>
    </row>
    <row r="23" spans="1:9" s="884" customFormat="1" ht="19.5" customHeight="1">
      <c r="A23" s="3295" t="s">
        <v>184</v>
      </c>
      <c r="B23" s="879" t="s">
        <v>560</v>
      </c>
      <c r="C23" s="880" t="s">
        <v>571</v>
      </c>
      <c r="D23" s="881"/>
      <c r="E23" s="879">
        <v>1</v>
      </c>
      <c r="F23" s="882" t="s">
        <v>572</v>
      </c>
      <c r="G23" s="883"/>
      <c r="H23" s="875"/>
      <c r="I23" s="875"/>
    </row>
    <row r="24" spans="1:9" s="884" customFormat="1" ht="19.5" customHeight="1">
      <c r="A24" s="3295"/>
      <c r="B24" s="3295" t="s">
        <v>563</v>
      </c>
      <c r="C24" s="880" t="s">
        <v>573</v>
      </c>
      <c r="D24" s="881"/>
      <c r="E24" s="879">
        <v>0.5</v>
      </c>
      <c r="F24" s="882"/>
      <c r="G24" s="883"/>
      <c r="H24" s="875"/>
      <c r="I24" s="875"/>
    </row>
    <row r="25" spans="1:9" s="884" customFormat="1" ht="19.5" customHeight="1">
      <c r="A25" s="3295"/>
      <c r="B25" s="3295"/>
      <c r="C25" s="880" t="s">
        <v>574</v>
      </c>
      <c r="D25" s="881"/>
      <c r="E25" s="879">
        <v>1.1000000000000001</v>
      </c>
      <c r="F25" s="882"/>
      <c r="G25" s="883"/>
      <c r="H25" s="875"/>
      <c r="I25" s="875"/>
    </row>
    <row r="26" spans="1:9" s="884" customFormat="1" ht="19.5" customHeight="1">
      <c r="A26" s="3295"/>
      <c r="B26" s="3295"/>
      <c r="C26" s="880" t="s">
        <v>575</v>
      </c>
      <c r="D26" s="881"/>
      <c r="E26" s="879">
        <v>1.1000000000000001</v>
      </c>
      <c r="F26" s="882"/>
      <c r="G26" s="883"/>
      <c r="H26" s="875"/>
      <c r="I26" s="875"/>
    </row>
    <row r="27" spans="1:9" s="884" customFormat="1" ht="19.5" customHeight="1">
      <c r="A27" s="3295"/>
      <c r="B27" s="3295"/>
      <c r="C27" s="880" t="s">
        <v>576</v>
      </c>
      <c r="D27" s="881"/>
      <c r="E27" s="879">
        <v>0.9</v>
      </c>
      <c r="F27" s="882" t="s">
        <v>577</v>
      </c>
      <c r="G27" s="883"/>
      <c r="H27" s="875"/>
      <c r="I27" s="875"/>
    </row>
    <row r="28" spans="1:9" s="884" customFormat="1" ht="19.5" customHeight="1">
      <c r="A28" s="3295"/>
      <c r="B28" s="3295"/>
      <c r="C28" s="880" t="s">
        <v>578</v>
      </c>
      <c r="D28" s="881"/>
      <c r="E28" s="879">
        <v>0.9</v>
      </c>
      <c r="F28" s="882" t="s">
        <v>579</v>
      </c>
      <c r="G28" s="883"/>
      <c r="H28" s="875"/>
      <c r="I28" s="875"/>
    </row>
    <row r="29" spans="1:9" s="884" customFormat="1" ht="19.5" customHeight="1">
      <c r="A29" s="3295"/>
      <c r="B29" s="3295"/>
      <c r="C29" s="880" t="s">
        <v>580</v>
      </c>
      <c r="D29" s="881"/>
      <c r="E29" s="879">
        <v>0.9</v>
      </c>
      <c r="F29" s="882" t="s">
        <v>581</v>
      </c>
      <c r="G29" s="883"/>
      <c r="H29" s="875"/>
      <c r="I29" s="875"/>
    </row>
    <row r="30" spans="1:9" s="884" customFormat="1" ht="19.5" customHeight="1">
      <c r="A30" s="3295"/>
      <c r="B30" s="3295"/>
      <c r="C30" s="880" t="s">
        <v>582</v>
      </c>
      <c r="D30" s="881"/>
      <c r="E30" s="879">
        <v>0.9</v>
      </c>
      <c r="F30" s="882" t="s">
        <v>583</v>
      </c>
      <c r="G30" s="883"/>
      <c r="H30" s="875"/>
      <c r="I30" s="875"/>
    </row>
    <row r="31" spans="1:9" s="884" customFormat="1" ht="19.5" customHeight="1">
      <c r="A31" s="3295"/>
      <c r="B31" s="3295"/>
      <c r="C31" s="880" t="s">
        <v>584</v>
      </c>
      <c r="D31" s="881"/>
      <c r="E31" s="879">
        <v>0.8</v>
      </c>
      <c r="F31" s="882" t="s">
        <v>585</v>
      </c>
      <c r="G31" s="883"/>
      <c r="H31" s="875"/>
      <c r="I31" s="875"/>
    </row>
    <row r="32" spans="1:9" s="884" customFormat="1" ht="19.5" customHeight="1">
      <c r="A32" s="3295"/>
      <c r="B32" s="3295"/>
      <c r="C32" s="880" t="s">
        <v>586</v>
      </c>
      <c r="D32" s="881"/>
      <c r="E32" s="879">
        <v>0.8</v>
      </c>
      <c r="F32" s="882" t="s">
        <v>587</v>
      </c>
      <c r="G32" s="883"/>
      <c r="H32" s="875"/>
      <c r="I32" s="875"/>
    </row>
    <row r="33" spans="1:9" s="884" customFormat="1" ht="19.5" customHeight="1">
      <c r="A33" s="3295" t="s">
        <v>185</v>
      </c>
      <c r="B33" s="879" t="s">
        <v>560</v>
      </c>
      <c r="C33" s="880" t="s">
        <v>588</v>
      </c>
      <c r="D33" s="881"/>
      <c r="E33" s="879">
        <v>1</v>
      </c>
      <c r="F33" s="882" t="s">
        <v>589</v>
      </c>
      <c r="G33" s="883"/>
      <c r="H33" s="875"/>
      <c r="I33" s="875"/>
    </row>
    <row r="34" spans="1:9" s="884" customFormat="1" ht="19.5" customHeight="1">
      <c r="A34" s="3295"/>
      <c r="B34" s="879" t="s">
        <v>563</v>
      </c>
      <c r="C34" s="880" t="s">
        <v>590</v>
      </c>
      <c r="D34" s="881"/>
      <c r="E34" s="879">
        <v>1.5</v>
      </c>
      <c r="F34" s="882" t="s">
        <v>591</v>
      </c>
      <c r="G34" s="883"/>
      <c r="H34" s="875"/>
      <c r="I34" s="875"/>
    </row>
    <row r="35" spans="1:9" s="884" customFormat="1" ht="19.5" customHeight="1">
      <c r="A35" s="3295" t="s">
        <v>186</v>
      </c>
      <c r="B35" s="879" t="s">
        <v>560</v>
      </c>
      <c r="C35" s="880" t="s">
        <v>592</v>
      </c>
      <c r="D35" s="881"/>
      <c r="E35" s="879">
        <v>1</v>
      </c>
      <c r="F35" s="882" t="s">
        <v>593</v>
      </c>
      <c r="G35" s="883"/>
      <c r="H35" s="875"/>
      <c r="I35" s="875"/>
    </row>
    <row r="36" spans="1:9" s="884" customFormat="1" ht="19.5" customHeight="1">
      <c r="A36" s="3295"/>
      <c r="B36" s="3295" t="s">
        <v>563</v>
      </c>
      <c r="C36" s="880" t="s">
        <v>594</v>
      </c>
      <c r="D36" s="881"/>
      <c r="E36" s="879">
        <v>1</v>
      </c>
      <c r="F36" s="882" t="s">
        <v>595</v>
      </c>
      <c r="G36" s="883"/>
      <c r="H36" s="875"/>
      <c r="I36" s="875"/>
    </row>
    <row r="37" spans="1:9" s="884" customFormat="1" ht="19.5" customHeight="1">
      <c r="A37" s="3295"/>
      <c r="B37" s="3295"/>
      <c r="C37" s="880" t="s">
        <v>596</v>
      </c>
      <c r="D37" s="881"/>
      <c r="E37" s="879">
        <v>1.5</v>
      </c>
      <c r="F37" s="882" t="s">
        <v>597</v>
      </c>
      <c r="G37" s="883"/>
      <c r="H37" s="875"/>
      <c r="I37" s="875"/>
    </row>
    <row r="38" spans="1:9" s="884" customFormat="1" ht="19.5" customHeight="1">
      <c r="A38" s="3295"/>
      <c r="B38" s="3295"/>
      <c r="C38" s="880" t="s">
        <v>598</v>
      </c>
      <c r="D38" s="881"/>
      <c r="E38" s="879">
        <v>1</v>
      </c>
      <c r="F38" s="882" t="s">
        <v>599</v>
      </c>
      <c r="G38" s="883"/>
      <c r="H38" s="875"/>
      <c r="I38" s="875"/>
    </row>
    <row r="39" spans="1:9" s="884" customFormat="1" ht="19.5" customHeight="1">
      <c r="A39" s="3295"/>
      <c r="B39" s="329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5" t="s">
        <v>614</v>
      </c>
      <c r="C61" s="815" t="s">
        <v>615</v>
      </c>
      <c r="D61" s="815" t="s">
        <v>616</v>
      </c>
      <c r="E61" s="892">
        <v>0.5</v>
      </c>
      <c r="F61" s="879">
        <v>80</v>
      </c>
    </row>
    <row r="62" spans="1:8" s="875" customFormat="1" ht="24">
      <c r="A62" s="879">
        <v>2</v>
      </c>
      <c r="B62" s="3295"/>
      <c r="C62" s="815" t="s">
        <v>617</v>
      </c>
      <c r="D62" s="815" t="s">
        <v>618</v>
      </c>
      <c r="E62" s="892">
        <v>0.5</v>
      </c>
      <c r="F62" s="879">
        <v>80</v>
      </c>
    </row>
    <row r="63" spans="1:8" s="875" customFormat="1" ht="36">
      <c r="A63" s="879">
        <v>3</v>
      </c>
      <c r="B63" s="3295"/>
      <c r="C63" s="815" t="s">
        <v>619</v>
      </c>
      <c r="D63" s="815" t="s">
        <v>620</v>
      </c>
      <c r="E63" s="892">
        <v>0.5</v>
      </c>
      <c r="F63" s="879">
        <v>80</v>
      </c>
    </row>
    <row r="64" spans="1:8" s="875" customFormat="1" ht="36">
      <c r="A64" s="879">
        <v>4</v>
      </c>
      <c r="B64" s="3295"/>
      <c r="C64" s="815" t="s">
        <v>621</v>
      </c>
      <c r="D64" s="815" t="s">
        <v>622</v>
      </c>
      <c r="E64" s="892">
        <v>0.4</v>
      </c>
      <c r="F64" s="879">
        <v>60</v>
      </c>
    </row>
    <row r="65" spans="1:6" s="875" customFormat="1" ht="36">
      <c r="A65" s="879">
        <v>5</v>
      </c>
      <c r="B65" s="3295"/>
      <c r="C65" s="815" t="s">
        <v>623</v>
      </c>
      <c r="D65" s="815" t="s">
        <v>624</v>
      </c>
      <c r="E65" s="892">
        <v>0.2</v>
      </c>
      <c r="F65" s="879">
        <v>30</v>
      </c>
    </row>
    <row r="66" spans="1:6" s="875" customFormat="1" ht="36">
      <c r="A66" s="879">
        <v>6</v>
      </c>
      <c r="B66" s="3295"/>
      <c r="C66" s="815" t="s">
        <v>625</v>
      </c>
      <c r="D66" s="815" t="s">
        <v>626</v>
      </c>
      <c r="E66" s="892">
        <v>0.3</v>
      </c>
      <c r="F66" s="879">
        <v>50</v>
      </c>
    </row>
    <row r="67" spans="1:6" s="875" customFormat="1" ht="36">
      <c r="A67" s="879">
        <v>7</v>
      </c>
      <c r="B67" s="3295"/>
      <c r="C67" s="815" t="s">
        <v>627</v>
      </c>
      <c r="D67" s="815" t="s">
        <v>628</v>
      </c>
      <c r="E67" s="892">
        <v>0.2</v>
      </c>
      <c r="F67" s="879">
        <v>30</v>
      </c>
    </row>
    <row r="68" spans="1:6" s="875" customFormat="1" ht="36">
      <c r="A68" s="879">
        <v>8</v>
      </c>
      <c r="B68" s="3295"/>
      <c r="C68" s="815" t="s">
        <v>629</v>
      </c>
      <c r="D68" s="815" t="s">
        <v>630</v>
      </c>
      <c r="E68" s="892">
        <v>0.2</v>
      </c>
      <c r="F68" s="879">
        <v>30</v>
      </c>
    </row>
    <row r="69" spans="1:6" s="875" customFormat="1" ht="36">
      <c r="A69" s="879">
        <v>9</v>
      </c>
      <c r="B69" s="3295"/>
      <c r="C69" s="815" t="s">
        <v>631</v>
      </c>
      <c r="D69" s="815" t="s">
        <v>632</v>
      </c>
      <c r="E69" s="892">
        <v>0.2</v>
      </c>
      <c r="F69" s="879">
        <v>30</v>
      </c>
    </row>
    <row r="70" spans="1:6" s="875" customFormat="1" ht="48">
      <c r="A70" s="879">
        <v>10</v>
      </c>
      <c r="B70" s="3295"/>
      <c r="C70" s="815" t="s">
        <v>633</v>
      </c>
      <c r="D70" s="815" t="s">
        <v>634</v>
      </c>
      <c r="E70" s="892">
        <v>0.2</v>
      </c>
      <c r="F70" s="879">
        <v>30</v>
      </c>
    </row>
    <row r="71" spans="1:6" s="875" customFormat="1" ht="48">
      <c r="A71" s="879">
        <v>11</v>
      </c>
      <c r="B71" s="3295"/>
      <c r="C71" s="815" t="s">
        <v>635</v>
      </c>
      <c r="D71" s="815" t="s">
        <v>636</v>
      </c>
      <c r="E71" s="892">
        <v>0.2</v>
      </c>
      <c r="F71" s="879">
        <v>30</v>
      </c>
    </row>
    <row r="72" spans="1:6" s="875" customFormat="1" ht="36">
      <c r="A72" s="879">
        <v>12</v>
      </c>
      <c r="B72" s="3295"/>
      <c r="C72" s="815" t="s">
        <v>637</v>
      </c>
      <c r="D72" s="815" t="s">
        <v>638</v>
      </c>
      <c r="E72" s="892">
        <v>0.5</v>
      </c>
      <c r="F72" s="879">
        <v>80</v>
      </c>
    </row>
    <row r="73" spans="1:6" s="875" customFormat="1" ht="24">
      <c r="A73" s="879">
        <v>13</v>
      </c>
      <c r="B73" s="3295"/>
      <c r="C73" s="815" t="s">
        <v>639</v>
      </c>
      <c r="D73" s="815" t="s">
        <v>640</v>
      </c>
      <c r="E73" s="892">
        <v>0.4</v>
      </c>
      <c r="F73" s="879">
        <v>60</v>
      </c>
    </row>
    <row r="74" spans="1:6" s="875" customFormat="1" ht="24">
      <c r="A74" s="879">
        <v>14</v>
      </c>
      <c r="B74" s="3295"/>
      <c r="C74" s="815" t="s">
        <v>641</v>
      </c>
      <c r="D74" s="815" t="s">
        <v>642</v>
      </c>
      <c r="E74" s="892">
        <v>0.2</v>
      </c>
      <c r="F74" s="879">
        <v>30</v>
      </c>
    </row>
    <row r="75" spans="1:6" s="875" customFormat="1" ht="24">
      <c r="A75" s="879">
        <v>15</v>
      </c>
      <c r="B75" s="3295"/>
      <c r="C75" s="815" t="s">
        <v>643</v>
      </c>
      <c r="D75" s="815" t="s">
        <v>644</v>
      </c>
      <c r="E75" s="892">
        <v>0.2</v>
      </c>
      <c r="F75" s="879">
        <v>30</v>
      </c>
    </row>
    <row r="76" spans="1:6" s="875" customFormat="1" ht="24">
      <c r="A76" s="879">
        <v>16</v>
      </c>
      <c r="B76" s="3295" t="s">
        <v>645</v>
      </c>
      <c r="C76" s="815" t="s">
        <v>646</v>
      </c>
      <c r="D76" s="815" t="s">
        <v>647</v>
      </c>
      <c r="E76" s="892">
        <v>0.5</v>
      </c>
      <c r="F76" s="879">
        <v>80</v>
      </c>
    </row>
    <row r="77" spans="1:6" s="875" customFormat="1" ht="24">
      <c r="A77" s="879">
        <v>17</v>
      </c>
      <c r="B77" s="3295"/>
      <c r="C77" s="815" t="s">
        <v>648</v>
      </c>
      <c r="D77" s="815" t="s">
        <v>649</v>
      </c>
      <c r="E77" s="892">
        <v>0.5</v>
      </c>
      <c r="F77" s="879">
        <v>80</v>
      </c>
    </row>
    <row r="78" spans="1:6" s="875" customFormat="1" ht="24">
      <c r="A78" s="879">
        <v>18</v>
      </c>
      <c r="B78" s="3295"/>
      <c r="C78" s="815" t="s">
        <v>650</v>
      </c>
      <c r="D78" s="815" t="s">
        <v>651</v>
      </c>
      <c r="E78" s="892">
        <v>0.2</v>
      </c>
      <c r="F78" s="879">
        <v>30</v>
      </c>
    </row>
    <row r="79" spans="1:6" s="875" customFormat="1" ht="24">
      <c r="A79" s="879">
        <v>19</v>
      </c>
      <c r="B79" s="3295"/>
      <c r="C79" s="815" t="s">
        <v>652</v>
      </c>
      <c r="D79" s="815" t="s">
        <v>653</v>
      </c>
      <c r="E79" s="892">
        <v>0.5</v>
      </c>
      <c r="F79" s="879">
        <v>80</v>
      </c>
    </row>
    <row r="80" spans="1:6" s="875" customFormat="1" ht="36">
      <c r="A80" s="879">
        <v>20</v>
      </c>
      <c r="B80" s="3295"/>
      <c r="C80" s="815" t="s">
        <v>654</v>
      </c>
      <c r="D80" s="815" t="s">
        <v>655</v>
      </c>
      <c r="E80" s="892">
        <v>0.2</v>
      </c>
      <c r="F80" s="879">
        <v>30</v>
      </c>
    </row>
    <row r="81" spans="1:6" s="875" customFormat="1" ht="36">
      <c r="A81" s="879">
        <v>21</v>
      </c>
      <c r="B81" s="3295"/>
      <c r="C81" s="815" t="s">
        <v>656</v>
      </c>
      <c r="D81" s="815" t="s">
        <v>657</v>
      </c>
      <c r="E81" s="892">
        <v>0.2</v>
      </c>
      <c r="F81" s="879">
        <v>30</v>
      </c>
    </row>
    <row r="82" spans="1:6" s="875" customFormat="1" ht="48">
      <c r="A82" s="879">
        <v>22</v>
      </c>
      <c r="B82" s="3295"/>
      <c r="C82" s="815" t="s">
        <v>658</v>
      </c>
      <c r="D82" s="815" t="s">
        <v>659</v>
      </c>
      <c r="E82" s="892">
        <v>0.2</v>
      </c>
      <c r="F82" s="879">
        <v>30</v>
      </c>
    </row>
    <row r="83" spans="1:6" s="875" customFormat="1" ht="48">
      <c r="A83" s="879">
        <v>23</v>
      </c>
      <c r="B83" s="3295"/>
      <c r="C83" s="815" t="s">
        <v>660</v>
      </c>
      <c r="D83" s="815" t="s">
        <v>661</v>
      </c>
      <c r="E83" s="892">
        <v>0.2</v>
      </c>
      <c r="F83" s="879">
        <v>30</v>
      </c>
    </row>
    <row r="84" spans="1:6" s="875" customFormat="1" ht="36">
      <c r="A84" s="879">
        <v>24</v>
      </c>
      <c r="B84" s="3295"/>
      <c r="C84" s="815" t="s">
        <v>662</v>
      </c>
      <c r="D84" s="815" t="s">
        <v>663</v>
      </c>
      <c r="E84" s="892">
        <v>0.2</v>
      </c>
      <c r="F84" s="879">
        <v>30</v>
      </c>
    </row>
    <row r="85" spans="1:6" s="875" customFormat="1" ht="36">
      <c r="A85" s="879">
        <v>25</v>
      </c>
      <c r="B85" s="3295"/>
      <c r="C85" s="815" t="s">
        <v>664</v>
      </c>
      <c r="D85" s="815" t="s">
        <v>665</v>
      </c>
      <c r="E85" s="892">
        <v>0.5</v>
      </c>
      <c r="F85" s="879">
        <v>80</v>
      </c>
    </row>
    <row r="86" spans="1:6" s="875" customFormat="1" ht="36">
      <c r="A86" s="879">
        <v>26</v>
      </c>
      <c r="B86" s="3295"/>
      <c r="C86" s="815" t="s">
        <v>666</v>
      </c>
      <c r="D86" s="815" t="s">
        <v>667</v>
      </c>
      <c r="E86" s="892">
        <v>0.2</v>
      </c>
      <c r="F86" s="879">
        <v>30</v>
      </c>
    </row>
    <row r="87" spans="1:6" s="875" customFormat="1" ht="36">
      <c r="A87" s="879">
        <v>27</v>
      </c>
      <c r="B87" s="3295"/>
      <c r="C87" s="815" t="s">
        <v>668</v>
      </c>
      <c r="D87" s="815" t="s">
        <v>669</v>
      </c>
      <c r="E87" s="892">
        <v>0.2</v>
      </c>
      <c r="F87" s="879">
        <v>30</v>
      </c>
    </row>
    <row r="88" spans="1:6" s="875" customFormat="1" ht="36">
      <c r="A88" s="879">
        <v>28</v>
      </c>
      <c r="B88" s="3295"/>
      <c r="C88" s="815" t="s">
        <v>670</v>
      </c>
      <c r="D88" s="815" t="s">
        <v>671</v>
      </c>
      <c r="E88" s="892">
        <v>0.2</v>
      </c>
      <c r="F88" s="879">
        <v>30</v>
      </c>
    </row>
    <row r="89" spans="1:6" s="875" customFormat="1" ht="24">
      <c r="A89" s="879">
        <v>29</v>
      </c>
      <c r="B89" s="3295"/>
      <c r="C89" s="815" t="s">
        <v>672</v>
      </c>
      <c r="D89" s="815" t="s">
        <v>673</v>
      </c>
      <c r="E89" s="892">
        <v>0.2</v>
      </c>
      <c r="F89" s="879">
        <v>30</v>
      </c>
    </row>
    <row r="90" spans="1:6" s="875" customFormat="1" ht="24">
      <c r="A90" s="879">
        <v>30</v>
      </c>
      <c r="B90" s="3295"/>
      <c r="C90" s="815" t="s">
        <v>674</v>
      </c>
      <c r="D90" s="815" t="s">
        <v>675</v>
      </c>
      <c r="E90" s="892">
        <v>0.2</v>
      </c>
      <c r="F90" s="879">
        <v>30</v>
      </c>
    </row>
    <row r="91" spans="1:6" s="875" customFormat="1" ht="36">
      <c r="A91" s="879">
        <v>31</v>
      </c>
      <c r="B91" s="3295"/>
      <c r="C91" s="815" t="s">
        <v>676</v>
      </c>
      <c r="D91" s="815" t="s">
        <v>677</v>
      </c>
      <c r="E91" s="892">
        <v>0.2</v>
      </c>
      <c r="F91" s="879">
        <v>30</v>
      </c>
    </row>
    <row r="92" spans="1:6" s="875" customFormat="1" ht="24">
      <c r="A92" s="879">
        <v>32</v>
      </c>
      <c r="B92" s="3295" t="s">
        <v>678</v>
      </c>
      <c r="C92" s="879" t="s">
        <v>679</v>
      </c>
      <c r="D92" s="815" t="s">
        <v>680</v>
      </c>
      <c r="E92" s="892">
        <v>0.2</v>
      </c>
      <c r="F92" s="879">
        <v>30</v>
      </c>
    </row>
    <row r="93" spans="1:6" s="875" customFormat="1" ht="36">
      <c r="A93" s="879">
        <v>33</v>
      </c>
      <c r="B93" s="3295"/>
      <c r="C93" s="879" t="s">
        <v>681</v>
      </c>
      <c r="D93" s="815" t="s">
        <v>682</v>
      </c>
      <c r="E93" s="892">
        <v>0.2</v>
      </c>
      <c r="F93" s="879">
        <v>30</v>
      </c>
    </row>
    <row r="94" spans="1:6" s="875" customFormat="1" ht="48">
      <c r="A94" s="879">
        <v>34</v>
      </c>
      <c r="B94" s="3295"/>
      <c r="C94" s="879" t="s">
        <v>683</v>
      </c>
      <c r="D94" s="815" t="s">
        <v>684</v>
      </c>
      <c r="E94" s="892">
        <v>0.2</v>
      </c>
      <c r="F94" s="879">
        <v>30</v>
      </c>
    </row>
    <row r="95" spans="1:6" s="875" customFormat="1" ht="36">
      <c r="A95" s="879">
        <v>35</v>
      </c>
      <c r="B95" s="3295"/>
      <c r="C95" s="879" t="s">
        <v>685</v>
      </c>
      <c r="D95" s="815" t="s">
        <v>686</v>
      </c>
      <c r="E95" s="892">
        <v>0.2</v>
      </c>
      <c r="F95" s="879">
        <v>30</v>
      </c>
    </row>
    <row r="96" spans="1:6" s="875" customFormat="1" ht="48">
      <c r="A96" s="879">
        <v>36</v>
      </c>
      <c r="B96" s="3295"/>
      <c r="C96" s="815" t="s">
        <v>687</v>
      </c>
      <c r="D96" s="815" t="s">
        <v>688</v>
      </c>
      <c r="E96" s="892">
        <v>0.2</v>
      </c>
      <c r="F96" s="879">
        <v>30</v>
      </c>
    </row>
    <row r="97" spans="1:6" s="875" customFormat="1" ht="36">
      <c r="A97" s="879">
        <v>37</v>
      </c>
      <c r="B97" s="3295"/>
      <c r="C97" s="879" t="s">
        <v>689</v>
      </c>
      <c r="D97" s="815" t="s">
        <v>690</v>
      </c>
      <c r="E97" s="892">
        <v>0.2</v>
      </c>
      <c r="F97" s="879">
        <v>30</v>
      </c>
    </row>
    <row r="98" spans="1:6" s="875" customFormat="1" ht="36">
      <c r="A98" s="879">
        <v>38</v>
      </c>
      <c r="B98" s="3295"/>
      <c r="C98" s="879" t="s">
        <v>691</v>
      </c>
      <c r="D98" s="815" t="s">
        <v>692</v>
      </c>
      <c r="E98" s="892">
        <v>0.2</v>
      </c>
      <c r="F98" s="879">
        <v>30</v>
      </c>
    </row>
    <row r="99" spans="1:6" s="875" customFormat="1" ht="36">
      <c r="A99" s="879">
        <v>39</v>
      </c>
      <c r="B99" s="3295" t="s">
        <v>693</v>
      </c>
      <c r="C99" s="879" t="s">
        <v>694</v>
      </c>
      <c r="D99" s="815" t="s">
        <v>695</v>
      </c>
      <c r="E99" s="892">
        <v>0.3</v>
      </c>
      <c r="F99" s="879">
        <v>50</v>
      </c>
    </row>
    <row r="100" spans="1:6" s="875" customFormat="1" ht="24">
      <c r="A100" s="879">
        <v>40</v>
      </c>
      <c r="B100" s="3295"/>
      <c r="C100" s="879" t="s">
        <v>696</v>
      </c>
      <c r="D100" s="815" t="s">
        <v>697</v>
      </c>
      <c r="E100" s="892">
        <v>0.2</v>
      </c>
      <c r="F100" s="879">
        <v>30</v>
      </c>
    </row>
    <row r="101" spans="1:6" s="875" customFormat="1" ht="36">
      <c r="A101" s="879">
        <v>41</v>
      </c>
      <c r="B101" s="329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5" t="s">
        <v>708</v>
      </c>
      <c r="C105" s="879" t="s">
        <v>709</v>
      </c>
      <c r="D105" s="815" t="s">
        <v>710</v>
      </c>
      <c r="E105" s="892">
        <v>0.2</v>
      </c>
      <c r="F105" s="879">
        <v>30</v>
      </c>
    </row>
    <row r="106" spans="1:6" s="875" customFormat="1" ht="36">
      <c r="A106" s="879">
        <v>46</v>
      </c>
      <c r="B106" s="3295"/>
      <c r="C106" s="879" t="s">
        <v>711</v>
      </c>
      <c r="D106" s="815" t="s">
        <v>712</v>
      </c>
      <c r="E106" s="892">
        <v>0.2</v>
      </c>
      <c r="F106" s="879">
        <v>30</v>
      </c>
    </row>
    <row r="107" spans="1:6" s="875" customFormat="1" ht="36">
      <c r="A107" s="879">
        <v>47</v>
      </c>
      <c r="B107" s="3295" t="s">
        <v>713</v>
      </c>
      <c r="C107" s="879" t="s">
        <v>714</v>
      </c>
      <c r="D107" s="815" t="s">
        <v>715</v>
      </c>
      <c r="E107" s="892">
        <v>0.3</v>
      </c>
      <c r="F107" s="879">
        <v>50</v>
      </c>
    </row>
    <row r="108" spans="1:6" s="875" customFormat="1" ht="36">
      <c r="A108" s="879">
        <v>48</v>
      </c>
      <c r="B108" s="329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5" t="s">
        <v>724</v>
      </c>
      <c r="C111" s="879" t="s">
        <v>725</v>
      </c>
      <c r="D111" s="815" t="s">
        <v>726</v>
      </c>
      <c r="E111" s="892">
        <v>0.2</v>
      </c>
      <c r="F111" s="879">
        <v>30</v>
      </c>
    </row>
    <row r="112" spans="1:6" s="875" customFormat="1" ht="24">
      <c r="A112" s="879">
        <v>52</v>
      </c>
      <c r="B112" s="3295"/>
      <c r="C112" s="879" t="s">
        <v>727</v>
      </c>
      <c r="D112" s="815" t="s">
        <v>728</v>
      </c>
      <c r="E112" s="892">
        <v>0.2</v>
      </c>
      <c r="F112" s="879">
        <v>30</v>
      </c>
    </row>
    <row r="113" spans="1:6" s="875" customFormat="1" ht="24">
      <c r="A113" s="879">
        <v>53</v>
      </c>
      <c r="B113" s="329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5" t="s">
        <v>737</v>
      </c>
      <c r="C116" s="879" t="s">
        <v>738</v>
      </c>
      <c r="D116" s="815" t="s">
        <v>739</v>
      </c>
      <c r="E116" s="892">
        <v>0.2</v>
      </c>
      <c r="F116" s="879">
        <v>30</v>
      </c>
    </row>
    <row r="117" spans="1:6" ht="36">
      <c r="A117" s="879">
        <v>57</v>
      </c>
      <c r="B117" s="329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0.95330000000000004</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3001</v>
      </c>
    </row>
    <row r="2" spans="1:5" ht="15.75">
      <c r="A2" s="2899" t="s">
        <v>2993</v>
      </c>
      <c r="B2" s="2900">
        <f ca="1">SUMIF(B6:B13,"&lt;&gt;#ref!",B6:B13)</f>
        <v>6757</v>
      </c>
      <c r="C2" s="2899" t="s">
        <v>2994</v>
      </c>
      <c r="D2" s="2899" t="s">
        <v>2995</v>
      </c>
      <c r="E2" s="2900">
        <f ca="1">SUMIF(E6:E13,"&lt;&gt;#ref!",E6:E13)</f>
        <v>32523.979999999989</v>
      </c>
    </row>
    <row r="3" spans="1:5" ht="15.75">
      <c r="A3" s="2899" t="s">
        <v>2996</v>
      </c>
      <c r="B3" s="2900">
        <f ca="1">ROUND(B2*10000/E2,0)</f>
        <v>2078</v>
      </c>
      <c r="C3" s="2899" t="s">
        <v>3002</v>
      </c>
      <c r="D3" s="2901"/>
      <c r="E3" s="2901"/>
    </row>
    <row r="4" spans="1:5" ht="15.75">
      <c r="A4" s="2902"/>
      <c r="B4" s="2901"/>
      <c r="C4" s="2901"/>
      <c r="D4" s="2901"/>
      <c r="E4" s="2901"/>
    </row>
    <row r="5" spans="1:5" ht="28.5">
      <c r="A5" s="2903" t="s">
        <v>2997</v>
      </c>
      <c r="B5" s="2899" t="s">
        <v>2998</v>
      </c>
      <c r="C5" s="2900"/>
      <c r="D5" s="2901"/>
      <c r="E5" s="2899" t="s">
        <v>2999</v>
      </c>
    </row>
    <row r="6" spans="1:5" ht="15.75">
      <c r="A6" s="2904" t="s">
        <v>3000</v>
      </c>
      <c r="B6" s="2900">
        <f ca="1">SUMIF(INDIRECT("'"&amp;A6&amp;"'"&amp;"!A:A"),"总价",INDIRECT("'"&amp;A6&amp;"'"&amp;"!B:B"))</f>
        <v>6757</v>
      </c>
      <c r="C6" s="2899" t="s">
        <v>2994</v>
      </c>
      <c r="D6" s="2901"/>
      <c r="E6" s="2572">
        <f ca="1">SUMIF(INDIRECT("'"&amp;A6&amp;"'"&amp;"!C:C"),"建筑面积",INDIRECT("'"&amp;A6&amp;"'"&amp;"!D:D"))</f>
        <v>32523.979999999989</v>
      </c>
    </row>
    <row r="7" spans="1:5" ht="15.75">
      <c r="A7" s="2904"/>
      <c r="B7" s="2900" t="e">
        <f ca="1">SUMIF(INDIRECT("'"&amp;A7&amp;"'"&amp;"!A:A"),"总价",INDIRECT("'"&amp;A7&amp;"'"&amp;"!B:B"))</f>
        <v>#REF!</v>
      </c>
      <c r="C7" s="2899" t="s">
        <v>2994</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2994</v>
      </c>
      <c r="D8" s="2901"/>
      <c r="E8" s="2572" t="e">
        <f t="shared" ca="1" si="0"/>
        <v>#REF!</v>
      </c>
    </row>
    <row r="9" spans="1:5" ht="15.75">
      <c r="A9" s="2904"/>
      <c r="B9" s="2900" t="e">
        <f t="shared" ca="1" si="1"/>
        <v>#REF!</v>
      </c>
      <c r="C9" s="2899" t="s">
        <v>2994</v>
      </c>
      <c r="D9" s="2901"/>
      <c r="E9" s="2572" t="e">
        <f t="shared" ca="1" si="0"/>
        <v>#REF!</v>
      </c>
    </row>
    <row r="10" spans="1:5" ht="15.75">
      <c r="A10" s="2904"/>
      <c r="B10" s="2900" t="e">
        <f t="shared" ca="1" si="1"/>
        <v>#REF!</v>
      </c>
      <c r="C10" s="2899" t="s">
        <v>2994</v>
      </c>
      <c r="D10" s="2901"/>
      <c r="E10" s="2572" t="e">
        <f t="shared" ca="1" si="0"/>
        <v>#REF!</v>
      </c>
    </row>
    <row r="11" spans="1:5" ht="15.75">
      <c r="A11" s="2904"/>
      <c r="B11" s="2900" t="e">
        <f t="shared" ca="1" si="1"/>
        <v>#REF!</v>
      </c>
      <c r="C11" s="2899" t="s">
        <v>2994</v>
      </c>
      <c r="D11" s="2901"/>
      <c r="E11" s="2572" t="e">
        <f t="shared" ca="1" si="0"/>
        <v>#REF!</v>
      </c>
    </row>
    <row r="12" spans="1:5" ht="15.75">
      <c r="A12" s="2904"/>
      <c r="B12" s="2900" t="e">
        <f t="shared" ca="1" si="1"/>
        <v>#REF!</v>
      </c>
      <c r="C12" s="2899" t="s">
        <v>2994</v>
      </c>
      <c r="D12" s="2901"/>
      <c r="E12" s="2572" t="e">
        <f t="shared" ca="1" si="0"/>
        <v>#REF!</v>
      </c>
    </row>
    <row r="13" spans="1:5" ht="15.75">
      <c r="A13" s="2904"/>
      <c r="B13" s="2900" t="e">
        <f t="shared" ca="1" si="1"/>
        <v>#REF!</v>
      </c>
      <c r="C13" s="2899" t="s">
        <v>2994</v>
      </c>
      <c r="D13" s="2901"/>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1" t="s">
        <v>1146</v>
      </c>
      <c r="C1" s="3301"/>
      <c r="D1" s="3301"/>
      <c r="E1" s="3301"/>
      <c r="F1" s="3301"/>
      <c r="G1" s="3300" t="s">
        <v>1147</v>
      </c>
      <c r="H1" s="3300"/>
      <c r="I1" s="3300"/>
      <c r="J1" s="3300"/>
      <c r="K1" s="3300"/>
      <c r="L1" s="3300"/>
      <c r="N1" s="3300" t="s">
        <v>1148</v>
      </c>
      <c r="O1" s="3300"/>
      <c r="P1" s="3300"/>
      <c r="Q1" s="3300"/>
      <c r="R1" s="1442"/>
      <c r="S1" s="3300" t="s">
        <v>1149</v>
      </c>
      <c r="T1" s="3300"/>
      <c r="U1" s="3300"/>
      <c r="V1" s="3300"/>
      <c r="X1" s="3299" t="s">
        <v>1150</v>
      </c>
      <c r="Y1" s="3300"/>
      <c r="Z1" s="3300"/>
      <c r="AA1" s="3300"/>
      <c r="AB1" s="3300"/>
      <c r="AD1" s="3299" t="s">
        <v>1151</v>
      </c>
      <c r="AE1" s="3300"/>
      <c r="AF1" s="3300"/>
      <c r="AG1" s="3300"/>
      <c r="AH1" s="3300"/>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25">
      <c r="A3" s="2924" t="s">
        <v>3034</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3052</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2019</v>
      </c>
      <c r="H5" s="1726">
        <v>4</v>
      </c>
      <c r="I5" s="2911">
        <v>0</v>
      </c>
      <c r="J5" s="2911">
        <v>0</v>
      </c>
      <c r="K5" s="2911">
        <v>0</v>
      </c>
      <c r="L5" s="2911">
        <v>0</v>
      </c>
      <c r="N5" s="1463">
        <f t="shared" ref="N5:N10" si="7">I5/100</f>
        <v>0</v>
      </c>
      <c r="O5" s="1463">
        <f t="shared" ref="O5" si="8">J5/100</f>
        <v>0</v>
      </c>
      <c r="P5" s="1463">
        <f t="shared" ref="P5" si="9">K5/100</f>
        <v>0</v>
      </c>
      <c r="Q5" s="1463">
        <f t="shared" ref="Q5" si="10">L5/100</f>
        <v>0</v>
      </c>
      <c r="R5" s="1728"/>
      <c r="S5" s="1729"/>
      <c r="T5" s="1728"/>
      <c r="U5" s="1728"/>
      <c r="V5" s="1728"/>
      <c r="W5" s="2914" t="s">
        <v>3035</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5" thickBot="1">
      <c r="A6" s="1457" t="s">
        <v>3051</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8">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3049</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4">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5" thickBot="1">
      <c r="A8" s="1457" t="s">
        <v>3047</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8">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3050</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97">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5" customHeight="1">
      <c r="A10" s="1457" t="s">
        <v>3041</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97"/>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5" customHeight="1">
      <c r="A11" s="1457" t="s">
        <v>3040</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97"/>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3033</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306"/>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3030</v>
      </c>
      <c r="B13" s="1465">
        <v>439</v>
      </c>
      <c r="C13" s="1465">
        <v>327</v>
      </c>
      <c r="D13" s="1465">
        <f>C13</f>
        <v>327</v>
      </c>
      <c r="E13" s="1465">
        <v>627</v>
      </c>
      <c r="F13" s="1466">
        <v>283</v>
      </c>
      <c r="G13" s="3302">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3031</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97"/>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7" t="s">
        <v>1381</v>
      </c>
      <c r="B15" s="1473">
        <f t="shared" si="94"/>
        <v>419.31181600000002</v>
      </c>
      <c r="C15" s="1473">
        <f t="shared" si="95"/>
        <v>313.95436800000004</v>
      </c>
      <c r="D15" s="1473">
        <f t="shared" si="96"/>
        <v>313.95436800000004</v>
      </c>
      <c r="E15" s="1473">
        <f t="shared" si="97"/>
        <v>596.63028431999999</v>
      </c>
      <c r="F15" s="1473">
        <f t="shared" si="98"/>
        <v>274.74220703999998</v>
      </c>
      <c r="G15" s="3297"/>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1157</v>
      </c>
      <c r="B16" s="1473">
        <f>B17*(1+N16)</f>
        <v>405.524</v>
      </c>
      <c r="C16" s="1473">
        <f>C17*(1+O16)</f>
        <v>307.79840000000002</v>
      </c>
      <c r="D16" s="1473">
        <f>C16</f>
        <v>307.79840000000002</v>
      </c>
      <c r="E16" s="1473">
        <f>E17*(1+P16)</f>
        <v>574.67759999999998</v>
      </c>
      <c r="F16" s="1473">
        <f>F17*(1+Q16)</f>
        <v>270.20280000000002</v>
      </c>
      <c r="G16" s="3306"/>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302">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97"/>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97"/>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98"/>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296">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97"/>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97"/>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98"/>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296">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97"/>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97"/>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98"/>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1158</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7" t="s">
        <v>1159</v>
      </c>
      <c r="B29" s="1465">
        <v>299</v>
      </c>
      <c r="C29" s="1465">
        <v>252</v>
      </c>
      <c r="D29" s="1465">
        <f t="shared" si="108"/>
        <v>252</v>
      </c>
      <c r="E29" s="1465">
        <v>409</v>
      </c>
      <c r="F29" s="1466">
        <v>227</v>
      </c>
      <c r="G29" s="3303">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1160</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304"/>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1161</v>
      </c>
      <c r="B31" s="1473">
        <f t="shared" si="117"/>
        <v>288.2649053828776</v>
      </c>
      <c r="C31" s="1473">
        <f t="shared" si="117"/>
        <v>243.64564425013293</v>
      </c>
      <c r="D31" s="1473">
        <f t="shared" si="108"/>
        <v>243.64564425013293</v>
      </c>
      <c r="E31" s="1473">
        <f t="shared" si="118"/>
        <v>393.31080825986544</v>
      </c>
      <c r="F31" s="1473">
        <f t="shared" si="118"/>
        <v>223.07903790551154</v>
      </c>
      <c r="G31" s="3304"/>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1162</v>
      </c>
      <c r="B32" s="1473">
        <f t="shared" si="117"/>
        <v>282.50186729015837</v>
      </c>
      <c r="C32" s="1473">
        <f t="shared" si="117"/>
        <v>238.09796174155468</v>
      </c>
      <c r="D32" s="1473">
        <f t="shared" si="108"/>
        <v>238.09796174155468</v>
      </c>
      <c r="E32" s="1473">
        <f t="shared" si="118"/>
        <v>385.33438646014054</v>
      </c>
      <c r="F32" s="1473">
        <f t="shared" si="118"/>
        <v>221.55034055567739</v>
      </c>
      <c r="G32" s="3305"/>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1163</v>
      </c>
      <c r="B33" s="1507">
        <v>278</v>
      </c>
      <c r="C33" s="1507">
        <v>234</v>
      </c>
      <c r="D33" s="1507">
        <f t="shared" si="108"/>
        <v>234</v>
      </c>
      <c r="E33" s="1507">
        <v>379</v>
      </c>
      <c r="F33" s="1508">
        <v>220</v>
      </c>
      <c r="G33" s="3296">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1164</v>
      </c>
      <c r="B34" s="1473">
        <f>B33/(1+N33)</f>
        <v>275.49301357645425</v>
      </c>
      <c r="C34" s="1473">
        <f>C33/(1+O33)</f>
        <v>232.41954707985698</v>
      </c>
      <c r="D34" s="1473">
        <f t="shared" si="108"/>
        <v>232.41954707985698</v>
      </c>
      <c r="E34" s="1473">
        <f t="shared" ref="E34:F36" si="119">E33/(1+P33)</f>
        <v>375.32184591008121</v>
      </c>
      <c r="F34" s="1473">
        <f t="shared" si="119"/>
        <v>218.03766105054513</v>
      </c>
      <c r="G34" s="3297"/>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1165</v>
      </c>
      <c r="B35" s="1473">
        <f>B34/(1+N34)</f>
        <v>275.24529281292263</v>
      </c>
      <c r="C35" s="1473">
        <f>C34/(1+O34)</f>
        <v>231.74747938962707</v>
      </c>
      <c r="D35" s="1473">
        <f t="shared" si="108"/>
        <v>231.74747938962707</v>
      </c>
      <c r="E35" s="1473">
        <f t="shared" si="119"/>
        <v>375.35938184826603</v>
      </c>
      <c r="F35" s="1473">
        <f t="shared" si="119"/>
        <v>216.78033510692495</v>
      </c>
      <c r="G35" s="3297"/>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1166</v>
      </c>
      <c r="B36" s="1473">
        <f>B35/(1+N35)</f>
        <v>275.19025476197027</v>
      </c>
      <c r="C36" s="1509">
        <v>232</v>
      </c>
      <c r="D36" s="1509">
        <f t="shared" si="108"/>
        <v>232</v>
      </c>
      <c r="E36" s="1473">
        <f t="shared" si="119"/>
        <v>375.65990977608692</v>
      </c>
      <c r="F36" s="1473">
        <f t="shared" si="119"/>
        <v>214.12518283971252</v>
      </c>
      <c r="G36" s="3298"/>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1167</v>
      </c>
      <c r="B37" s="1465">
        <v>275</v>
      </c>
      <c r="C37" s="1465">
        <v>232</v>
      </c>
      <c r="D37" s="1465">
        <f t="shared" si="108"/>
        <v>232</v>
      </c>
      <c r="E37" s="1465">
        <v>376</v>
      </c>
      <c r="F37" s="1466">
        <v>213</v>
      </c>
      <c r="G37" s="3296">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1168</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97">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1169</v>
      </c>
      <c r="B39" s="1473">
        <f t="shared" si="120"/>
        <v>275.19335084830601</v>
      </c>
      <c r="C39" s="1473">
        <f t="shared" si="120"/>
        <v>230.18088050139744</v>
      </c>
      <c r="D39" s="1473">
        <f t="shared" si="108"/>
        <v>230.18088050139744</v>
      </c>
      <c r="E39" s="1473">
        <f t="shared" si="121"/>
        <v>377.58482925212331</v>
      </c>
      <c r="F39" s="1473">
        <f t="shared" si="121"/>
        <v>210.90687997847917</v>
      </c>
      <c r="G39" s="3297">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1170</v>
      </c>
      <c r="B40" s="1473">
        <f t="shared" si="120"/>
        <v>276.29854502841971</v>
      </c>
      <c r="C40" s="1473">
        <f t="shared" si="120"/>
        <v>229.79023709833027</v>
      </c>
      <c r="D40" s="1473">
        <f t="shared" si="108"/>
        <v>229.79023709833027</v>
      </c>
      <c r="E40" s="1473">
        <f t="shared" si="121"/>
        <v>379.78759731655936</v>
      </c>
      <c r="F40" s="1473">
        <f t="shared" si="121"/>
        <v>211.32953905659235</v>
      </c>
      <c r="G40" s="3298">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1171</v>
      </c>
      <c r="B41" s="1465">
        <v>269</v>
      </c>
      <c r="C41" s="1465">
        <v>221</v>
      </c>
      <c r="D41" s="1465">
        <f t="shared" si="108"/>
        <v>221</v>
      </c>
      <c r="E41" s="1465">
        <v>373</v>
      </c>
      <c r="F41" s="1466">
        <v>196</v>
      </c>
      <c r="G41" s="3296">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1172</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97">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1173</v>
      </c>
      <c r="B43" s="1473">
        <f t="shared" si="122"/>
        <v>242.95398227588385</v>
      </c>
      <c r="C43" s="1473">
        <f t="shared" si="122"/>
        <v>199.59137053614126</v>
      </c>
      <c r="D43" s="1473">
        <f t="shared" si="108"/>
        <v>199.59137053614126</v>
      </c>
      <c r="E43" s="1473">
        <f t="shared" si="123"/>
        <v>335.92189522342125</v>
      </c>
      <c r="F43" s="1473">
        <f t="shared" si="123"/>
        <v>183.10139991109489</v>
      </c>
      <c r="G43" s="3297">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1174</v>
      </c>
      <c r="B44" s="1473">
        <f t="shared" si="122"/>
        <v>232.06990378821649</v>
      </c>
      <c r="C44" s="1473">
        <f t="shared" si="122"/>
        <v>192.74878854286936</v>
      </c>
      <c r="D44" s="1473">
        <f t="shared" si="108"/>
        <v>192.74878854286936</v>
      </c>
      <c r="E44" s="1473">
        <f t="shared" si="123"/>
        <v>319.71247284992984</v>
      </c>
      <c r="F44" s="1473">
        <f t="shared" si="123"/>
        <v>175.67053622862409</v>
      </c>
      <c r="G44" s="3298">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1175</v>
      </c>
      <c r="B45" s="1465">
        <v>220</v>
      </c>
      <c r="C45" s="1465">
        <v>187</v>
      </c>
      <c r="D45" s="1465">
        <f t="shared" si="108"/>
        <v>187</v>
      </c>
      <c r="E45" s="1465">
        <v>301</v>
      </c>
      <c r="F45" s="1466">
        <v>168</v>
      </c>
      <c r="G45" s="3296">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1176</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97">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1177</v>
      </c>
      <c r="B47" s="1473">
        <f t="shared" si="124"/>
        <v>210.630522469011</v>
      </c>
      <c r="C47" s="1473">
        <f t="shared" si="124"/>
        <v>181.69567812247232</v>
      </c>
      <c r="D47" s="1473">
        <f t="shared" si="108"/>
        <v>181.69567812247232</v>
      </c>
      <c r="E47" s="1473">
        <f t="shared" si="125"/>
        <v>286.13517466736738</v>
      </c>
      <c r="F47" s="1473">
        <f t="shared" si="125"/>
        <v>165.47535084591149</v>
      </c>
      <c r="G47" s="3297">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1178</v>
      </c>
      <c r="B48" s="1473">
        <f t="shared" si="124"/>
        <v>208.83454537875372</v>
      </c>
      <c r="C48" s="1473">
        <f t="shared" si="124"/>
        <v>183.77230517090351</v>
      </c>
      <c r="D48" s="1473">
        <f t="shared" si="108"/>
        <v>183.77230517090351</v>
      </c>
      <c r="E48" s="1473">
        <f t="shared" si="125"/>
        <v>281.10342338870947</v>
      </c>
      <c r="F48" s="1473">
        <f t="shared" si="125"/>
        <v>168.97309388942256</v>
      </c>
      <c r="G48" s="3298">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1179</v>
      </c>
      <c r="B49" s="1507">
        <v>214</v>
      </c>
      <c r="C49" s="1507">
        <v>188</v>
      </c>
      <c r="D49" s="1507">
        <f t="shared" si="108"/>
        <v>188</v>
      </c>
      <c r="E49" s="1507">
        <v>289</v>
      </c>
      <c r="F49" s="1508">
        <v>166</v>
      </c>
      <c r="G49" s="3296">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1180</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97">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1181</v>
      </c>
      <c r="B51" s="1473">
        <f t="shared" si="126"/>
        <v>206.31694671589116</v>
      </c>
      <c r="C51" s="1473">
        <f t="shared" si="126"/>
        <v>183.61041121036101</v>
      </c>
      <c r="D51" s="1473">
        <f t="shared" si="108"/>
        <v>183.61041121036101</v>
      </c>
      <c r="E51" s="1473">
        <f t="shared" si="127"/>
        <v>276.66850301795557</v>
      </c>
      <c r="F51" s="1473">
        <f t="shared" si="127"/>
        <v>165.1360938278614</v>
      </c>
      <c r="G51" s="3297">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1182</v>
      </c>
      <c r="B52" s="1510">
        <f t="shared" si="126"/>
        <v>196.62341248059772</v>
      </c>
      <c r="C52" s="1510">
        <f t="shared" si="126"/>
        <v>170.99125648199012</v>
      </c>
      <c r="D52" s="1510">
        <f t="shared" si="108"/>
        <v>170.99125648199012</v>
      </c>
      <c r="E52" s="1510">
        <f t="shared" si="127"/>
        <v>266.07857570490052</v>
      </c>
      <c r="F52" s="1510">
        <f t="shared" si="127"/>
        <v>154.53499328828505</v>
      </c>
      <c r="G52" s="3298">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1183</v>
      </c>
      <c r="B53" s="1465">
        <v>188</v>
      </c>
      <c r="C53" s="1465">
        <v>165</v>
      </c>
      <c r="D53" s="1465">
        <f t="shared" si="108"/>
        <v>165</v>
      </c>
      <c r="E53" s="1465">
        <v>254</v>
      </c>
      <c r="F53" s="1466">
        <v>148</v>
      </c>
      <c r="G53" s="3296">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1184</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97">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1185</v>
      </c>
      <c r="B55" s="1473">
        <f t="shared" si="130"/>
        <v>168.82017748715555</v>
      </c>
      <c r="C55" s="1473">
        <f t="shared" si="130"/>
        <v>148.06267029972753</v>
      </c>
      <c r="D55" s="1473">
        <f t="shared" si="108"/>
        <v>148.06267029972753</v>
      </c>
      <c r="E55" s="1473">
        <f t="shared" si="131"/>
        <v>216.46288379323747</v>
      </c>
      <c r="F55" s="1473">
        <f t="shared" si="131"/>
        <v>134.23529411764704</v>
      </c>
      <c r="G55" s="3297">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1186</v>
      </c>
      <c r="B56" s="1473">
        <f t="shared" si="130"/>
        <v>163.84913591779542</v>
      </c>
      <c r="C56" s="1473">
        <f t="shared" si="130"/>
        <v>145.0283378746594</v>
      </c>
      <c r="D56" s="1473">
        <f t="shared" si="108"/>
        <v>145.0283378746594</v>
      </c>
      <c r="E56" s="1473">
        <f t="shared" si="131"/>
        <v>204.95180722891567</v>
      </c>
      <c r="F56" s="1473">
        <f t="shared" si="131"/>
        <v>125.95920303605313</v>
      </c>
      <c r="G56" s="3298">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1187</v>
      </c>
      <c r="B57" s="1486">
        <v>159</v>
      </c>
      <c r="C57" s="1486">
        <v>141</v>
      </c>
      <c r="D57" s="1486">
        <f t="shared" si="108"/>
        <v>141</v>
      </c>
      <c r="E57" s="1486">
        <v>195</v>
      </c>
      <c r="F57" s="1487">
        <v>122</v>
      </c>
      <c r="G57" s="3296">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1188</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97">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1189</v>
      </c>
      <c r="B59" s="1473">
        <f t="shared" si="134"/>
        <v>146.57412060301507</v>
      </c>
      <c r="C59" s="1473">
        <f t="shared" si="134"/>
        <v>136.46831955922866</v>
      </c>
      <c r="D59" s="1473">
        <f t="shared" si="108"/>
        <v>136.46831955922866</v>
      </c>
      <c r="E59" s="1473">
        <f t="shared" si="135"/>
        <v>166.73864894795128</v>
      </c>
      <c r="F59" s="1473">
        <f t="shared" si="135"/>
        <v>115.05882352941177</v>
      </c>
      <c r="G59" s="3297">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1190</v>
      </c>
      <c r="B60" s="1473">
        <f t="shared" si="134"/>
        <v>144.04145728643215</v>
      </c>
      <c r="C60" s="1473">
        <f t="shared" si="134"/>
        <v>136.12396694214877</v>
      </c>
      <c r="D60" s="1473">
        <f t="shared" si="108"/>
        <v>136.12396694214877</v>
      </c>
      <c r="E60" s="1473">
        <f t="shared" si="135"/>
        <v>158.32225913621264</v>
      </c>
      <c r="F60" s="1473">
        <f t="shared" si="135"/>
        <v>114.04278074866311</v>
      </c>
      <c r="G60" s="3298">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1191</v>
      </c>
      <c r="B61" s="1486">
        <v>138</v>
      </c>
      <c r="C61" s="1486">
        <v>131</v>
      </c>
      <c r="D61" s="1486">
        <f t="shared" si="108"/>
        <v>131</v>
      </c>
      <c r="E61" s="1486">
        <v>155</v>
      </c>
      <c r="F61" s="1487">
        <v>114</v>
      </c>
      <c r="G61" s="3296">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1192</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97">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1193</v>
      </c>
      <c r="B63" s="1473">
        <f t="shared" si="138"/>
        <v>124.29032258064517</v>
      </c>
      <c r="C63" s="1473">
        <f t="shared" si="138"/>
        <v>123.8968609865471</v>
      </c>
      <c r="D63" s="1473">
        <f t="shared" si="108"/>
        <v>123.8968609865471</v>
      </c>
      <c r="E63" s="1473">
        <f t="shared" si="139"/>
        <v>138.00507614213197</v>
      </c>
      <c r="F63" s="1473">
        <f t="shared" si="139"/>
        <v>107.96106557377048</v>
      </c>
      <c r="G63" s="3297">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1194</v>
      </c>
      <c r="B64" s="1473">
        <f t="shared" si="138"/>
        <v>122.57204301075269</v>
      </c>
      <c r="C64" s="1473">
        <f t="shared" si="138"/>
        <v>123.4932735426009</v>
      </c>
      <c r="D64" s="1473">
        <f t="shared" si="108"/>
        <v>123.4932735426009</v>
      </c>
      <c r="E64" s="1473">
        <f t="shared" si="139"/>
        <v>129.82233502538071</v>
      </c>
      <c r="F64" s="1473">
        <f t="shared" si="139"/>
        <v>107.39446721311475</v>
      </c>
      <c r="G64" s="3298">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1195</v>
      </c>
      <c r="B65" s="1507">
        <v>121</v>
      </c>
      <c r="C65" s="1507">
        <v>122</v>
      </c>
      <c r="D65" s="1507">
        <f t="shared" si="108"/>
        <v>122</v>
      </c>
      <c r="E65" s="1507">
        <v>124</v>
      </c>
      <c r="F65" s="1508">
        <v>107</v>
      </c>
      <c r="G65" s="3296">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1196</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97">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1197</v>
      </c>
      <c r="B67" s="1473">
        <f t="shared" si="142"/>
        <v>116.99099099099099</v>
      </c>
      <c r="C67" s="1473">
        <f t="shared" si="142"/>
        <v>118.84848484848486</v>
      </c>
      <c r="D67" s="1473">
        <f t="shared" si="108"/>
        <v>118.84848484848486</v>
      </c>
      <c r="E67" s="1473">
        <f t="shared" si="143"/>
        <v>117.60960960960961</v>
      </c>
      <c r="F67" s="1473">
        <f t="shared" si="143"/>
        <v>104</v>
      </c>
      <c r="G67" s="3297">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1198</v>
      </c>
      <c r="B68" s="1510">
        <f t="shared" si="142"/>
        <v>112.48648648648648</v>
      </c>
      <c r="C68" s="1510">
        <f t="shared" si="142"/>
        <v>115.21212121212122</v>
      </c>
      <c r="D68" s="1510">
        <f t="shared" si="108"/>
        <v>115.21212121212122</v>
      </c>
      <c r="E68" s="1510">
        <f t="shared" si="143"/>
        <v>110.4024024024024</v>
      </c>
      <c r="F68" s="1510">
        <f t="shared" si="143"/>
        <v>104</v>
      </c>
      <c r="G68" s="3298">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1199</v>
      </c>
      <c r="B69" s="1528">
        <v>111</v>
      </c>
      <c r="C69" s="1528">
        <v>114</v>
      </c>
      <c r="D69" s="1528">
        <f t="shared" si="108"/>
        <v>114</v>
      </c>
      <c r="E69" s="1528">
        <v>108</v>
      </c>
      <c r="F69" s="1529">
        <v>104</v>
      </c>
      <c r="G69" s="3296">
        <v>2003</v>
      </c>
      <c r="H69" s="1518">
        <v>4</v>
      </c>
      <c r="I69" s="1530"/>
      <c r="J69" s="1530"/>
      <c r="K69" s="1530"/>
      <c r="L69" s="1530"/>
      <c r="N69" s="1531"/>
      <c r="O69" s="1530"/>
      <c r="P69" s="1530"/>
      <c r="Q69" s="1530"/>
      <c r="S69" s="1531"/>
      <c r="T69" s="1530"/>
      <c r="U69" s="1530"/>
      <c r="V69" s="1530"/>
      <c r="X69" s="1522"/>
      <c r="Y69" s="1522"/>
      <c r="Z69" s="1522"/>
    </row>
    <row r="70" spans="1:26">
      <c r="A70" s="1457" t="s">
        <v>1200</v>
      </c>
      <c r="B70" s="1532">
        <f t="shared" ref="B70:C72" si="144">B71+(B$69-B$73)/4</f>
        <v>109.75</v>
      </c>
      <c r="C70" s="1532">
        <f t="shared" si="144"/>
        <v>112.25</v>
      </c>
      <c r="D70" s="1532">
        <f t="shared" si="108"/>
        <v>112.25</v>
      </c>
      <c r="E70" s="1532">
        <f t="shared" ref="E70:F72" si="145">E71+(E$69-E$73)/4</f>
        <v>107.25</v>
      </c>
      <c r="F70" s="1532">
        <f t="shared" si="145"/>
        <v>103.5</v>
      </c>
      <c r="G70" s="3297">
        <v>2003</v>
      </c>
      <c r="H70" s="1483">
        <v>3</v>
      </c>
      <c r="I70" s="1530"/>
      <c r="J70" s="1530"/>
      <c r="K70" s="1530"/>
      <c r="L70" s="1530"/>
      <c r="X70" s="1522"/>
      <c r="Y70" s="1522"/>
      <c r="Z70" s="1522"/>
    </row>
    <row r="71" spans="1:26">
      <c r="A71" s="1457" t="s">
        <v>1201</v>
      </c>
      <c r="B71" s="1532">
        <f t="shared" si="144"/>
        <v>108.5</v>
      </c>
      <c r="C71" s="1532">
        <f t="shared" si="144"/>
        <v>110.5</v>
      </c>
      <c r="D71" s="1532">
        <f t="shared" si="108"/>
        <v>110.5</v>
      </c>
      <c r="E71" s="1532">
        <f t="shared" si="145"/>
        <v>106.5</v>
      </c>
      <c r="F71" s="1532">
        <f t="shared" si="145"/>
        <v>103</v>
      </c>
      <c r="G71" s="3297">
        <v>2003</v>
      </c>
      <c r="H71" s="1461">
        <v>2</v>
      </c>
      <c r="I71" s="1530"/>
      <c r="J71" s="1530"/>
      <c r="K71" s="1530"/>
      <c r="L71" s="1530"/>
      <c r="X71" s="1522"/>
      <c r="Y71" s="1522"/>
      <c r="Z71" s="1522"/>
    </row>
    <row r="72" spans="1:26" ht="13.5" thickBot="1">
      <c r="A72" s="1457" t="s">
        <v>1202</v>
      </c>
      <c r="B72" s="1532">
        <f t="shared" si="144"/>
        <v>107.25</v>
      </c>
      <c r="C72" s="1532">
        <f t="shared" si="144"/>
        <v>108.75</v>
      </c>
      <c r="D72" s="1532">
        <f t="shared" si="108"/>
        <v>108.75</v>
      </c>
      <c r="E72" s="1532">
        <f t="shared" si="145"/>
        <v>105.75</v>
      </c>
      <c r="F72" s="1532">
        <f t="shared" si="145"/>
        <v>102.5</v>
      </c>
      <c r="G72" s="3298">
        <v>2003</v>
      </c>
      <c r="H72" s="1533">
        <v>1</v>
      </c>
      <c r="I72" s="1530"/>
      <c r="J72" s="1530"/>
      <c r="K72" s="1530"/>
      <c r="L72" s="1530"/>
      <c r="S72" s="1468"/>
      <c r="T72" s="1469"/>
      <c r="U72" s="1469"/>
      <c r="X72" s="1522"/>
      <c r="Y72" s="1522"/>
      <c r="Z72" s="1522"/>
    </row>
    <row r="73" spans="1:26" ht="13.5" thickBot="1">
      <c r="A73" s="1457" t="s">
        <v>1203</v>
      </c>
      <c r="B73" s="1534">
        <v>106</v>
      </c>
      <c r="C73" s="1534">
        <v>107</v>
      </c>
      <c r="D73" s="1534">
        <f t="shared" si="108"/>
        <v>107</v>
      </c>
      <c r="E73" s="1534">
        <v>105</v>
      </c>
      <c r="F73" s="1535">
        <v>102</v>
      </c>
      <c r="G73" s="3296">
        <v>2002</v>
      </c>
      <c r="H73" s="1478">
        <v>4</v>
      </c>
      <c r="I73" s="1530"/>
      <c r="J73" s="1530"/>
      <c r="K73" s="1530"/>
      <c r="L73" s="1530"/>
      <c r="N73" s="1531"/>
      <c r="O73" s="1530"/>
      <c r="P73" s="1530"/>
      <c r="Q73" s="1530"/>
      <c r="S73" s="1531"/>
      <c r="T73" s="1530"/>
      <c r="U73" s="1530"/>
      <c r="V73" s="1530"/>
      <c r="X73" s="1522"/>
      <c r="Y73" s="1522"/>
      <c r="Z73" s="1522"/>
    </row>
    <row r="74" spans="1:26">
      <c r="A74" s="1457" t="s">
        <v>1204</v>
      </c>
      <c r="B74" s="1532">
        <f t="shared" ref="B74:C76" si="146">B75+(B$73-B$77)/4</f>
        <v>105</v>
      </c>
      <c r="C74" s="1532">
        <f t="shared" si="146"/>
        <v>106</v>
      </c>
      <c r="D74" s="1532">
        <f t="shared" si="108"/>
        <v>106</v>
      </c>
      <c r="E74" s="1532">
        <f t="shared" ref="E74:F76" si="147">E75+(E$73-E$77)/4</f>
        <v>104.5</v>
      </c>
      <c r="F74" s="1532">
        <f t="shared" si="147"/>
        <v>101.5</v>
      </c>
      <c r="G74" s="3297">
        <v>2002</v>
      </c>
      <c r="H74" s="1483">
        <v>3</v>
      </c>
      <c r="I74" s="1530"/>
      <c r="J74" s="1530"/>
      <c r="K74" s="1530"/>
      <c r="L74" s="1530"/>
      <c r="X74" s="1522"/>
      <c r="Y74" s="1522"/>
      <c r="Z74" s="1522"/>
    </row>
    <row r="75" spans="1:26">
      <c r="A75" s="1457" t="s">
        <v>1205</v>
      </c>
      <c r="B75" s="1532">
        <f t="shared" si="146"/>
        <v>104</v>
      </c>
      <c r="C75" s="1532">
        <f t="shared" si="146"/>
        <v>105</v>
      </c>
      <c r="D75" s="1532">
        <f t="shared" si="108"/>
        <v>105</v>
      </c>
      <c r="E75" s="1532">
        <f t="shared" si="147"/>
        <v>104</v>
      </c>
      <c r="F75" s="1532">
        <f t="shared" si="147"/>
        <v>101</v>
      </c>
      <c r="G75" s="3297">
        <v>2002</v>
      </c>
      <c r="H75" s="1461">
        <v>2</v>
      </c>
      <c r="I75" s="1530"/>
      <c r="J75" s="1530"/>
      <c r="K75" s="1530"/>
      <c r="L75" s="1530"/>
      <c r="X75" s="1522"/>
      <c r="Y75" s="1522"/>
      <c r="Z75" s="1522"/>
    </row>
    <row r="76" spans="1:26" s="1494" customFormat="1" ht="13.5" thickBot="1">
      <c r="A76" s="1490" t="s">
        <v>1206</v>
      </c>
      <c r="B76" s="1536">
        <f t="shared" si="146"/>
        <v>103</v>
      </c>
      <c r="C76" s="1536">
        <f t="shared" si="146"/>
        <v>104</v>
      </c>
      <c r="D76" s="1536">
        <f t="shared" si="108"/>
        <v>104</v>
      </c>
      <c r="E76" s="1536">
        <f t="shared" si="147"/>
        <v>103.5</v>
      </c>
      <c r="F76" s="1536">
        <f t="shared" si="147"/>
        <v>100.5</v>
      </c>
      <c r="G76" s="3298">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1207</v>
      </c>
      <c r="G79" s="1546"/>
      <c r="N79" s="1546"/>
      <c r="S79" s="1546"/>
    </row>
    <row r="80" spans="1:26" s="1545" customFormat="1">
      <c r="A80" s="1545" t="s">
        <v>1208</v>
      </c>
      <c r="G80" s="1546"/>
      <c r="N80" s="1546"/>
      <c r="S80" s="1546"/>
    </row>
    <row r="81" spans="1:22" s="1545" customFormat="1">
      <c r="A81" s="1545" t="s">
        <v>1209</v>
      </c>
      <c r="G81" s="1546"/>
      <c r="I81" s="1547"/>
      <c r="J81" s="1547"/>
      <c r="K81" s="1547"/>
      <c r="L81" s="1547"/>
      <c r="N81" s="1548"/>
      <c r="O81" s="1547"/>
      <c r="P81" s="1547"/>
      <c r="Q81" s="1547"/>
      <c r="S81" s="1548"/>
      <c r="T81" s="1547"/>
      <c r="U81" s="1547"/>
      <c r="V81" s="1547"/>
    </row>
    <row r="82" spans="1:22" s="1545" customFormat="1">
      <c r="A82" s="1545" t="s">
        <v>1210</v>
      </c>
      <c r="G82" s="1546"/>
      <c r="N82" s="1546"/>
      <c r="S82" s="1546"/>
    </row>
    <row r="89" spans="1:22" ht="13.5" thickBot="1"/>
    <row r="90" spans="1:22">
      <c r="G90" s="1467"/>
      <c r="S90" s="1549" t="s">
        <v>1211</v>
      </c>
      <c r="T90" s="1550" t="s">
        <v>1212</v>
      </c>
      <c r="U90" s="1550" t="s">
        <v>1213</v>
      </c>
      <c r="V90" s="1550" t="s">
        <v>1214</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36496</v>
      </c>
      <c r="C2" s="2" t="s">
        <v>133</v>
      </c>
      <c r="D2" s="243"/>
      <c r="E2" s="243"/>
      <c r="F2" s="243"/>
      <c r="G2" s="243"/>
    </row>
    <row r="3" spans="1:7" s="244" customFormat="1" ht="18" customHeight="1" thickBot="1">
      <c r="A3" s="247" t="s">
        <v>85</v>
      </c>
      <c r="B3" s="248">
        <f ca="1">ROUND(B2*10000/'数据-汇总表'!E3,0)</f>
        <v>11221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650</v>
      </c>
      <c r="D10" s="1029">
        <f>'数据-汇总表'!E6</f>
        <v>32523.979999999992</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650</v>
      </c>
      <c r="D19" s="1033">
        <f>'数据-汇总表'!E3</f>
        <v>32523.979999999992</v>
      </c>
      <c r="E19" s="255">
        <f>'数据-取费表'!B31</f>
        <v>200</v>
      </c>
      <c r="F19" s="275"/>
      <c r="G19" s="1" t="s">
        <v>1071</v>
      </c>
    </row>
    <row r="20" spans="1:7" s="258" customFormat="1" ht="13.5" customHeight="1">
      <c r="A20" s="945" t="s">
        <v>1054</v>
      </c>
      <c r="B20" s="254" t="s">
        <v>104</v>
      </c>
      <c r="C20" s="276">
        <f>ROUND((C5+C19)*F20,0)</f>
        <v>319</v>
      </c>
      <c r="D20" s="276"/>
      <c r="E20" s="276"/>
      <c r="F20" s="277">
        <f>'数据-取费表'!B37</f>
        <v>1.4999999999999999E-2</v>
      </c>
      <c r="G20" s="1285" t="s">
        <v>1065</v>
      </c>
    </row>
    <row r="21" spans="1:7" s="258" customFormat="1" ht="13.5" customHeight="1">
      <c r="A21" s="945" t="s">
        <v>1056</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50">
        <f ca="1">ROUND(SUM(C23:C25),0)</f>
        <v>2082</v>
      </c>
      <c r="D22" s="279">
        <f ca="1">C26</f>
        <v>6.9999999999999999E-4</v>
      </c>
      <c r="E22" s="280" t="s">
        <v>126</v>
      </c>
      <c r="F22" s="281">
        <f ca="1">'数据-取费表'!B40</f>
        <v>4.7500000000000001E-2</v>
      </c>
      <c r="G22" s="1285" t="str">
        <f>IF('数据-取费表'!B22&lt;=1,"单利计息","复利计息")</f>
        <v>复利计息</v>
      </c>
    </row>
    <row r="23" spans="1:7" s="258" customFormat="1" ht="13.5" customHeight="1">
      <c r="A23" s="948" t="s">
        <v>794</v>
      </c>
      <c r="B23" s="259" t="s">
        <v>1058</v>
      </c>
      <c r="C23" s="1351">
        <f ca="1">ROUND(IF('数据-取费表'!B22&lt;=1,C5*F22*'数据-取费表'!B23,C5*(POWER((1+F22),'数据-取费表'!B23)-1)),0)</f>
        <v>2004</v>
      </c>
      <c r="D23" s="282"/>
      <c r="E23" s="282"/>
      <c r="F23" s="283"/>
      <c r="G23" s="284" t="s">
        <v>108</v>
      </c>
    </row>
    <row r="24" spans="1:7" s="258" customFormat="1" ht="13.5" customHeight="1">
      <c r="A24" s="948" t="s">
        <v>792</v>
      </c>
      <c r="B24" s="259" t="s">
        <v>1053</v>
      </c>
      <c r="C24" s="1351">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1">
        <f ca="1">ROUND(IF('数据-取费表'!B22&lt;=1,C20*F22*'数据-取费表'!B23/2,C20*(POWER((1+F22),'数据-取费表'!B23/2)-1)),0)</f>
        <v>15</v>
      </c>
      <c r="D25" s="282"/>
      <c r="E25" s="285"/>
      <c r="F25" s="283"/>
      <c r="G25" s="286" t="s">
        <v>110</v>
      </c>
    </row>
    <row r="26" spans="1:7" s="258" customFormat="1">
      <c r="A26" s="948" t="s">
        <v>795</v>
      </c>
      <c r="B26" s="259" t="s">
        <v>1057</v>
      </c>
      <c r="C26" s="282">
        <f ca="1">ROUND(IF('数据-取费表'!B22&lt;=1,F21*F22*'数据-取费表'!B23/2,F21*(POWER((1+F22),'数据-取费表'!B23/2)-1)),4)</f>
        <v>6.9999999999999999E-4</v>
      </c>
      <c r="D26" s="282"/>
      <c r="E26" s="285"/>
      <c r="F26" s="283"/>
      <c r="G26" s="287"/>
    </row>
    <row r="27" spans="1:7" s="258" customFormat="1" ht="24.75">
      <c r="A27" s="945" t="s">
        <v>787</v>
      </c>
      <c r="B27" s="288" t="s">
        <v>112</v>
      </c>
      <c r="C27" s="289">
        <f>C28</f>
        <v>2158</v>
      </c>
      <c r="D27" s="279">
        <f>C29</f>
        <v>1.5E-3</v>
      </c>
      <c r="E27" s="280" t="s">
        <v>126</v>
      </c>
      <c r="F27" s="290">
        <f>'数据-取费表'!Q16</f>
        <v>0.1</v>
      </c>
      <c r="G27" s="291" t="s">
        <v>1066</v>
      </c>
    </row>
    <row r="28" spans="1:7" s="258" customFormat="1" ht="13.5" customHeight="1">
      <c r="A28" s="948" t="s">
        <v>794</v>
      </c>
      <c r="B28" s="292" t="s">
        <v>1059</v>
      </c>
      <c r="C28" s="293">
        <f>ROUND((C5+C19+C20)*F27*'数据-取费表'!B21/'数据-取费表'!B20,0)</f>
        <v>2158</v>
      </c>
      <c r="D28" s="279"/>
      <c r="E28" s="280"/>
      <c r="F28" s="290"/>
      <c r="G28" s="291"/>
    </row>
    <row r="29" spans="1:7" s="258" customFormat="1" ht="13.5" customHeight="1">
      <c r="A29" s="948" t="s">
        <v>792</v>
      </c>
      <c r="B29" s="292" t="s">
        <v>1060</v>
      </c>
      <c r="C29" s="282">
        <f>ROUND(C21*F27*'数据-取费表'!B21/'数据-取费表'!B20,4)</f>
        <v>1.5E-3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27778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9662</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8624</v>
      </c>
      <c r="D34" s="261"/>
      <c r="E34" s="264"/>
      <c r="F34" s="301">
        <f>IF('数据-取费表'!B24=0,1,'数据-取费表'!N16)</f>
        <v>1</v>
      </c>
      <c r="G34" s="263" t="s">
        <v>116</v>
      </c>
    </row>
    <row r="35" spans="1:7" ht="13.5" customHeight="1">
      <c r="A35" s="948" t="s">
        <v>796</v>
      </c>
      <c r="B35" s="259" t="s">
        <v>60</v>
      </c>
      <c r="C35" s="264">
        <f>ROUND(C34*F35,0)</f>
        <v>259</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650</v>
      </c>
      <c r="D37" s="261">
        <f>'数据-汇总表'!E3</f>
        <v>32523.979999999992</v>
      </c>
      <c r="E37" s="293">
        <f>'数据-取费表'!B35</f>
        <v>200</v>
      </c>
      <c r="F37" s="303"/>
      <c r="G37" s="305" t="s">
        <v>119</v>
      </c>
    </row>
    <row r="38" spans="1:7" ht="13.5" customHeight="1">
      <c r="A38" s="948" t="s">
        <v>799</v>
      </c>
      <c r="B38" s="259" t="s">
        <v>63</v>
      </c>
      <c r="C38" s="264">
        <f>ROUND(C34*F38,0)</f>
        <v>129</v>
      </c>
      <c r="D38" s="264"/>
      <c r="E38" s="264"/>
      <c r="F38" s="303">
        <f>'数据-取费表'!B36</f>
        <v>1.4999999999999999E-2</v>
      </c>
      <c r="G38" s="263" t="s">
        <v>117</v>
      </c>
    </row>
    <row r="39" spans="1:7" s="258" customFormat="1" ht="13.5" customHeight="1">
      <c r="A39" s="945" t="s">
        <v>783</v>
      </c>
      <c r="B39" s="254" t="s">
        <v>104</v>
      </c>
      <c r="C39" s="276">
        <f>ROUND(C33*F20,0)</f>
        <v>145</v>
      </c>
      <c r="D39" s="276"/>
      <c r="E39" s="276"/>
      <c r="F39" s="277"/>
      <c r="G39" s="1285" t="s">
        <v>1068</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466</v>
      </c>
      <c r="D41" s="279">
        <f ca="1">C44</f>
        <v>6.9999999999999999E-4</v>
      </c>
      <c r="E41" s="280" t="s">
        <v>129</v>
      </c>
      <c r="F41" s="281"/>
      <c r="G41" s="1285" t="str">
        <f>IF('数据-取费表'!B22&lt;=1,"单利计息","复利计息")</f>
        <v>复利计息</v>
      </c>
    </row>
    <row r="42" spans="1:7" ht="13.5" customHeight="1">
      <c r="A42" s="948" t="s">
        <v>794</v>
      </c>
      <c r="B42" s="259" t="s">
        <v>1058</v>
      </c>
      <c r="C42" s="282">
        <f ca="1">ROUND(IF('数据-取费表'!B22&lt;=1,C33*F22*'数据-取费表'!B21/2,C33*(POWER((1+F22),'数据-取费表'!B21/2)-1)),0)</f>
        <v>459</v>
      </c>
      <c r="D42" s="282"/>
      <c r="E42" s="282"/>
      <c r="F42" s="283"/>
      <c r="G42" s="3261" t="s">
        <v>121</v>
      </c>
    </row>
    <row r="43" spans="1:7" ht="13.5" customHeight="1">
      <c r="A43" s="948" t="s">
        <v>792</v>
      </c>
      <c r="B43" s="259" t="s">
        <v>1061</v>
      </c>
      <c r="C43" s="282">
        <f ca="1">ROUND(IF('数据-取费表'!B22&lt;=1,C39*F22*'数据-取费表'!B21/2,C39*(POWER((1+F22),'数据-取费表'!B21/2)-1)),0)</f>
        <v>7</v>
      </c>
      <c r="D43" s="282"/>
      <c r="E43" s="282"/>
      <c r="F43" s="283"/>
      <c r="G43" s="3262"/>
    </row>
    <row r="44" spans="1:7" ht="13.5" customHeight="1">
      <c r="A44" s="948" t="s">
        <v>793</v>
      </c>
      <c r="B44" s="259" t="s">
        <v>1063</v>
      </c>
      <c r="C44" s="282">
        <f ca="1">ROUND(IF('数据-取费表'!B22&lt;=1,C40*F22*'数据-取费表'!B21/2,C40*(POWER((1+F22),'数据-取费表'!B21/2)-1)),4)</f>
        <v>6.9999999999999999E-4</v>
      </c>
      <c r="D44" s="282"/>
      <c r="E44" s="282"/>
      <c r="F44" s="283"/>
      <c r="G44" s="3263"/>
    </row>
    <row r="45" spans="1:7" s="258" customFormat="1" ht="13.5" customHeight="1">
      <c r="A45" s="945" t="s">
        <v>786</v>
      </c>
      <c r="B45" s="288" t="s">
        <v>112</v>
      </c>
      <c r="C45" s="289">
        <f>C46</f>
        <v>981</v>
      </c>
      <c r="D45" s="279">
        <f>C47</f>
        <v>1.5E-3</v>
      </c>
      <c r="E45" s="280" t="s">
        <v>129</v>
      </c>
      <c r="F45" s="290"/>
      <c r="G45" s="291" t="s">
        <v>1069</v>
      </c>
    </row>
    <row r="46" spans="1:7" s="258" customFormat="1" ht="13.5" customHeight="1">
      <c r="A46" s="948" t="s">
        <v>794</v>
      </c>
      <c r="B46" s="292" t="s">
        <v>1062</v>
      </c>
      <c r="C46" s="293">
        <f>ROUND((C33+C39)*F27,0)</f>
        <v>981</v>
      </c>
      <c r="D46" s="307"/>
      <c r="E46" s="280"/>
      <c r="F46" s="290"/>
      <c r="G46" s="291"/>
    </row>
    <row r="47" spans="1:7" s="258" customFormat="1" ht="13.5" customHeight="1">
      <c r="A47" s="948" t="s">
        <v>792</v>
      </c>
      <c r="B47" s="292" t="s">
        <v>1064</v>
      </c>
      <c r="C47" s="282">
        <f>ROUND(C40*F27,4)</f>
        <v>1.5E-3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12108</v>
      </c>
      <c r="D49" s="276"/>
      <c r="E49" s="276"/>
      <c r="F49" s="308"/>
      <c r="G49" s="278" t="s">
        <v>1070</v>
      </c>
    </row>
    <row r="50" spans="1:7" s="302" customFormat="1" ht="24">
      <c r="A50" s="945" t="s">
        <v>789</v>
      </c>
      <c r="B50" s="254" t="s">
        <v>124</v>
      </c>
      <c r="C50" s="276"/>
      <c r="D50" s="276"/>
      <c r="E50" s="276"/>
      <c r="F50" s="308">
        <f>IF('数据-取费表'!B24=0,'数据-取费表'!N16,1)</f>
        <v>0.72</v>
      </c>
      <c r="G50" s="291" t="s">
        <v>125</v>
      </c>
    </row>
    <row r="51" spans="1:7" ht="16.5" customHeight="1">
      <c r="A51" s="945" t="s">
        <v>790</v>
      </c>
      <c r="B51" s="254" t="s">
        <v>132</v>
      </c>
      <c r="C51" s="276">
        <f ca="1">ROUND(C49*F50,0)</f>
        <v>8718</v>
      </c>
      <c r="D51" s="276"/>
      <c r="E51" s="276"/>
      <c r="F51" s="308"/>
      <c r="G51" s="278" t="s">
        <v>64</v>
      </c>
    </row>
    <row r="52" spans="1:7" s="252" customFormat="1" ht="16.5" thickBot="1">
      <c r="A52" s="309" t="s">
        <v>65</v>
      </c>
      <c r="B52" s="310"/>
      <c r="C52" s="311">
        <f ca="1">C31+C51</f>
        <v>36496</v>
      </c>
      <c r="D52" s="310"/>
      <c r="E52" s="310"/>
      <c r="F52" s="310"/>
      <c r="G52" s="312"/>
    </row>
    <row r="55" spans="1:7" ht="15">
      <c r="B55" s="314" t="s">
        <v>66</v>
      </c>
      <c r="C55" s="315"/>
    </row>
    <row r="56" spans="1:7">
      <c r="B56" s="317" t="s">
        <v>67</v>
      </c>
      <c r="C56" s="318">
        <f ca="1">ROUND(C51/C52,3)</f>
        <v>0.23899999999999999</v>
      </c>
    </row>
    <row r="57" spans="1:7">
      <c r="B57" s="317" t="s">
        <v>68</v>
      </c>
      <c r="C57" s="319">
        <f ca="1">1-C56</f>
        <v>0.76100000000000001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7" t="s">
        <v>156</v>
      </c>
      <c r="B1" s="3307"/>
      <c r="C1" s="3307"/>
      <c r="D1" s="3307"/>
      <c r="E1" s="3307"/>
      <c r="F1" s="330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8" t="s">
        <v>169</v>
      </c>
      <c r="B2" s="3308"/>
      <c r="C2" s="3308"/>
      <c r="D2" s="3308"/>
      <c r="E2" s="3308"/>
      <c r="F2" s="330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7" t="s">
        <v>868</v>
      </c>
      <c r="B1" s="3307"/>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43790</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1636</v>
      </c>
      <c r="B2" s="3001" t="s">
        <v>1637</v>
      </c>
      <c r="C2" s="3001" t="s">
        <v>1638</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1" t="s">
        <v>1633</v>
      </c>
      <c r="E3" s="1041" t="s">
        <v>1639</v>
      </c>
      <c r="F3" s="1041" t="s">
        <v>1633</v>
      </c>
      <c r="G3" s="1041" t="s">
        <v>1634</v>
      </c>
      <c r="H3" s="1041" t="s">
        <v>1633</v>
      </c>
      <c r="I3" s="1041" t="s">
        <v>1634</v>
      </c>
    </row>
    <row r="4" spans="1:9" ht="15">
      <c r="A4" s="1968" t="str">
        <f>项目基本情况!S2</f>
        <v>北京市房地产</v>
      </c>
      <c r="B4" s="1041">
        <f>项目基本情况!C17</f>
        <v>32523.979999999992</v>
      </c>
      <c r="C4" s="1041">
        <f>项目基本情况!C18</f>
        <v>8811.7800000000007</v>
      </c>
      <c r="D4" s="1041" t="e">
        <f ca="1">结果表!D118</f>
        <v>#REF!</v>
      </c>
      <c r="E4" s="1041" t="e">
        <f ca="1">结果表!E118</f>
        <v>#REF!</v>
      </c>
      <c r="F4" s="1041" t="e">
        <f ca="1">结果表!F118</f>
        <v>#REF!</v>
      </c>
      <c r="G4" s="1041" t="e">
        <f ca="1">结果表!G118</f>
        <v>#REF!</v>
      </c>
      <c r="H4" s="1041">
        <f ca="1">结果表!H118</f>
        <v>89972</v>
      </c>
      <c r="I4" s="1041">
        <f ca="1">结果表!I118</f>
        <v>29722</v>
      </c>
    </row>
    <row r="5" spans="1:9" ht="30" customHeight="1">
      <c r="A5" s="2995" t="s">
        <v>1635</v>
      </c>
      <c r="B5" s="2995"/>
      <c r="C5" s="2995"/>
      <c r="D5" s="2996" t="e">
        <f ca="1">结果表!D119</f>
        <v>#REF!</v>
      </c>
      <c r="E5" s="2996"/>
      <c r="F5" s="2996" t="e">
        <f ca="1">结果表!F119</f>
        <v>#REF!</v>
      </c>
      <c r="G5" s="2996"/>
      <c r="H5" s="2996" t="str">
        <f ca="1">结果表!H119</f>
        <v>捌亿玖仟玖佰柒拾贰万元整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1635</v>
      </c>
      <c r="B7" s="2995"/>
      <c r="C7" s="2995"/>
      <c r="D7" s="2997" t="str">
        <f>结果表!D121</f>
        <v>零元整</v>
      </c>
      <c r="E7" s="2998"/>
      <c r="F7" s="2998"/>
      <c r="G7" s="2998"/>
      <c r="H7" s="2998"/>
      <c r="I7" s="2999"/>
    </row>
    <row r="8" spans="1:9" ht="15.75">
      <c r="A8" s="2994" t="str">
        <f>结果表!A122</f>
        <v>房地产抵押价值</v>
      </c>
      <c r="B8" s="2994"/>
      <c r="C8" s="2994"/>
      <c r="D8" s="2994">
        <f ca="1">结果表!D122</f>
        <v>89972</v>
      </c>
      <c r="E8" s="2994"/>
      <c r="F8" s="2994"/>
      <c r="G8" s="2994"/>
      <c r="H8" s="2994"/>
      <c r="I8" s="2994"/>
    </row>
    <row r="9" spans="1:9" ht="15">
      <c r="A9" s="2995" t="s">
        <v>1635</v>
      </c>
      <c r="B9" s="2995"/>
      <c r="C9" s="2995"/>
      <c r="D9" s="2996" t="str">
        <f ca="1">结果表!D123</f>
        <v>捌亿玖仟玖佰柒拾贰万元整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1635</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1635</v>
      </c>
      <c r="B13" s="2991"/>
      <c r="C13" s="2991"/>
      <c r="D13" s="2992" t="e">
        <f>结果表!D127</f>
        <v>#VALUE!</v>
      </c>
      <c r="E13" s="2992"/>
      <c r="F13" s="2992"/>
      <c r="G13" s="2992"/>
      <c r="H13" s="2992"/>
      <c r="I13" s="2992"/>
    </row>
    <row r="14" spans="1:9" ht="15" thickTop="1">
      <c r="A14" s="2993" t="s">
        <v>1640</v>
      </c>
      <c r="B14" s="2993"/>
      <c r="C14" s="2993"/>
      <c r="D14" s="2993"/>
      <c r="E14" s="2993"/>
      <c r="F14" s="2993"/>
      <c r="G14" s="2993"/>
      <c r="H14" s="2993"/>
      <c r="I14" s="2993"/>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08" t="s">
        <v>1657</v>
      </c>
      <c r="B1" s="3008"/>
      <c r="C1" s="3008"/>
      <c r="D1" s="3008"/>
    </row>
    <row r="2" spans="1:4" ht="18">
      <c r="A2" s="3009" t="s">
        <v>1641</v>
      </c>
      <c r="B2" s="3009"/>
      <c r="C2" s="3009"/>
      <c r="D2" s="3009"/>
    </row>
    <row r="3" spans="1:4" ht="18.75">
      <c r="A3" s="1972" t="s">
        <v>1642</v>
      </c>
      <c r="B3" s="1972" t="s">
        <v>1643</v>
      </c>
      <c r="C3" s="1972" t="s">
        <v>1644</v>
      </c>
      <c r="D3" s="1972" t="s">
        <v>1645</v>
      </c>
    </row>
    <row r="4" spans="1:4" ht="56.25" customHeight="1">
      <c r="A4" s="1973">
        <f>项目基本情况!B4</f>
        <v>0</v>
      </c>
      <c r="B4" s="1974">
        <f>项目基本情况!C4</f>
        <v>0</v>
      </c>
      <c r="C4" s="1975"/>
      <c r="D4" s="1976" t="s">
        <v>1646</v>
      </c>
    </row>
    <row r="5" spans="1:4" ht="56.25" customHeight="1">
      <c r="A5" s="1973">
        <f>项目基本情况!D4</f>
        <v>0</v>
      </c>
      <c r="B5" s="1974">
        <f>项目基本情况!E4</f>
        <v>0</v>
      </c>
      <c r="C5" s="1977"/>
      <c r="D5" s="1976" t="s">
        <v>1646</v>
      </c>
    </row>
    <row r="6" spans="1:4" ht="18">
      <c r="A6" s="3009" t="s">
        <v>1647</v>
      </c>
      <c r="B6" s="3009"/>
      <c r="C6" s="3009"/>
      <c r="D6" s="3009"/>
    </row>
    <row r="7" spans="1:4" ht="18.75">
      <c r="A7" s="1972" t="s">
        <v>1642</v>
      </c>
      <c r="B7" s="1974" t="s">
        <v>1648</v>
      </c>
      <c r="C7" s="1972" t="s">
        <v>1644</v>
      </c>
      <c r="D7" s="1972" t="s">
        <v>1645</v>
      </c>
    </row>
    <row r="8" spans="1:4" ht="56.25" customHeight="1">
      <c r="A8" s="1978" t="s">
        <v>866</v>
      </c>
      <c r="B8" s="1978" t="s">
        <v>1</v>
      </c>
      <c r="C8" s="1975"/>
      <c r="D8" s="1976" t="s">
        <v>1646</v>
      </c>
    </row>
    <row r="9" spans="1:4">
      <c r="A9" s="725"/>
      <c r="B9" s="725"/>
      <c r="C9" s="725"/>
      <c r="D9" s="725"/>
    </row>
    <row r="10" spans="1:4" ht="18.75">
      <c r="A10" s="1979" t="s">
        <v>1649</v>
      </c>
      <c r="B10" s="725"/>
      <c r="C10" s="725"/>
      <c r="D10" s="725"/>
    </row>
    <row r="11" spans="1:4" ht="30" customHeight="1">
      <c r="A11" s="3010" t="s">
        <v>1650</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1651</v>
      </c>
      <c r="B16" s="3004"/>
      <c r="C16" s="3004"/>
      <c r="D16" s="3004"/>
    </row>
    <row r="17" spans="1:4" ht="144" customHeight="1">
      <c r="A17" s="3004" t="s">
        <v>1652</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1653</v>
      </c>
      <c r="B22" s="3006"/>
      <c r="C22" s="3006"/>
      <c r="D22" s="3006"/>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16" t="s">
        <v>1664</v>
      </c>
      <c r="B15" s="3011" t="s">
        <v>136</v>
      </c>
      <c r="C15" s="3012"/>
    </row>
    <row r="16" spans="1:7" ht="13.5">
      <c r="A16" s="3017"/>
      <c r="B16" s="3011" t="s">
        <v>69</v>
      </c>
      <c r="C16" s="3012"/>
    </row>
    <row r="17" spans="1:3" ht="13.5">
      <c r="A17" s="3017"/>
      <c r="B17" s="3014" t="s">
        <v>1665</v>
      </c>
      <c r="C17" s="1995" t="s">
        <v>1664</v>
      </c>
    </row>
    <row r="18" spans="1:3" ht="13.5">
      <c r="A18" s="3017"/>
      <c r="B18" s="3014"/>
      <c r="C18" s="1995" t="s">
        <v>1666</v>
      </c>
    </row>
    <row r="19" spans="1:3" ht="13.5">
      <c r="A19" s="3017"/>
      <c r="B19" s="3014"/>
      <c r="C19" s="1995" t="s">
        <v>1667</v>
      </c>
    </row>
    <row r="20" spans="1:3" ht="13.5">
      <c r="A20" s="3018"/>
      <c r="B20" s="3013" t="s">
        <v>1668</v>
      </c>
      <c r="C20" s="3012"/>
    </row>
    <row r="21" spans="1:3" ht="13.5">
      <c r="A21" s="1996" t="s">
        <v>1669</v>
      </c>
      <c r="B21" s="1997"/>
      <c r="C21" s="1998"/>
    </row>
    <row r="22" spans="1:3" ht="13.5">
      <c r="A22" s="3015" t="s">
        <v>1670</v>
      </c>
      <c r="B22" s="3013" t="s">
        <v>1671</v>
      </c>
      <c r="C22" s="3012"/>
    </row>
    <row r="23" spans="1:3" ht="13.5">
      <c r="A23" s="3015"/>
      <c r="B23" s="3013" t="s">
        <v>1672</v>
      </c>
      <c r="C23" s="3012"/>
    </row>
    <row r="24" spans="1:3" ht="13.5">
      <c r="A24" s="3015"/>
      <c r="B24" s="3013" t="s">
        <v>1673</v>
      </c>
      <c r="C24" s="3012"/>
    </row>
    <row r="25" spans="1:3" ht="13.5">
      <c r="A25" s="3015"/>
      <c r="B25" s="3014" t="s">
        <v>1674</v>
      </c>
      <c r="C25" s="1995" t="s">
        <v>1675</v>
      </c>
    </row>
    <row r="26" spans="1:3" ht="13.5">
      <c r="A26" s="3015"/>
      <c r="B26" s="3014"/>
      <c r="C26" s="1995" t="s">
        <v>1676</v>
      </c>
    </row>
    <row r="27" spans="1:3" ht="13.5">
      <c r="A27" s="3015"/>
      <c r="B27" s="3014"/>
      <c r="C27" s="1995" t="s">
        <v>1677</v>
      </c>
    </row>
    <row r="28" spans="1:3" ht="13.5">
      <c r="A28" s="3015"/>
      <c r="B28" s="3014"/>
      <c r="C28" s="1995" t="s">
        <v>1678</v>
      </c>
    </row>
    <row r="29" spans="1:3" ht="13.5">
      <c r="A29" s="3015"/>
      <c r="B29" s="3014"/>
      <c r="C29" s="1995" t="s">
        <v>1679</v>
      </c>
    </row>
    <row r="30" spans="1:3" ht="13.5">
      <c r="A30" s="3015"/>
      <c r="B30" s="3014"/>
      <c r="C30" s="1995" t="s">
        <v>1680</v>
      </c>
    </row>
    <row r="31" spans="1:3" ht="13.5">
      <c r="A31" s="3015"/>
      <c r="B31" s="3014"/>
      <c r="C31" s="1995" t="s">
        <v>1681</v>
      </c>
    </row>
    <row r="32" spans="1:3" ht="13.5">
      <c r="A32" s="3015"/>
      <c r="B32" s="3014"/>
      <c r="C32" s="1995" t="s">
        <v>1682</v>
      </c>
    </row>
    <row r="33" spans="1:3" ht="13.5">
      <c r="A33" s="3015"/>
      <c r="B33" s="3014"/>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43791</v>
      </c>
      <c r="C2" s="1016" t="s">
        <v>826</v>
      </c>
      <c r="D2" s="1016"/>
    </row>
    <row r="3" spans="1:6" ht="24" customHeight="1">
      <c r="A3" s="1017" t="s">
        <v>827</v>
      </c>
      <c r="B3" s="1018" t="s">
        <v>828</v>
      </c>
      <c r="C3" s="2342" t="s">
        <v>829</v>
      </c>
      <c r="D3" s="2345" t="s">
        <v>830</v>
      </c>
      <c r="E3" s="1019" t="s">
        <v>831</v>
      </c>
      <c r="F3" s="1018" t="s">
        <v>829</v>
      </c>
    </row>
    <row r="4" spans="1:6" ht="24" customHeight="1">
      <c r="A4" s="1698" t="s">
        <v>832</v>
      </c>
      <c r="B4" s="1019">
        <f ca="1">IF(C4&lt;B2,"已过期",1119970066)</f>
        <v>1119970066</v>
      </c>
      <c r="C4" s="2343">
        <v>43849</v>
      </c>
      <c r="D4" s="2346" t="s">
        <v>832</v>
      </c>
      <c r="E4" s="1019">
        <f ca="1">IF(F4&lt;B2,"已过期",96010014)</f>
        <v>96010014</v>
      </c>
      <c r="F4" s="1027">
        <v>47118</v>
      </c>
    </row>
    <row r="5" spans="1:6" ht="24" customHeight="1">
      <c r="A5" s="1698" t="s">
        <v>833</v>
      </c>
      <c r="B5" s="1019">
        <f ca="1">IF(C5&lt;B2,"已过期",1119970074)</f>
        <v>1119970074</v>
      </c>
      <c r="C5" s="2343">
        <v>43849</v>
      </c>
      <c r="D5" s="2346" t="s">
        <v>833</v>
      </c>
      <c r="E5" s="1019">
        <f ca="1">IF(F5&lt;B2,"已过期",2002110027)</f>
        <v>2002110027</v>
      </c>
      <c r="F5" s="1027">
        <v>46752</v>
      </c>
    </row>
    <row r="6" spans="1:6" ht="24" customHeight="1">
      <c r="A6" s="1698" t="s">
        <v>834</v>
      </c>
      <c r="B6" s="1019">
        <f ca="1">IF(C6&lt;B2,"已过期",1119970111)</f>
        <v>1119970111</v>
      </c>
      <c r="C6" s="2343">
        <v>43849</v>
      </c>
      <c r="D6" s="2346" t="s">
        <v>834</v>
      </c>
      <c r="E6" s="1019">
        <f ca="1">IF(F6&lt;B2,"已过期",94010078)</f>
        <v>94010078</v>
      </c>
      <c r="F6" s="1027">
        <v>46387</v>
      </c>
    </row>
    <row r="7" spans="1:6" ht="24" customHeight="1">
      <c r="A7" s="1698" t="s">
        <v>835</v>
      </c>
      <c r="B7" s="1019">
        <f ca="1">IF(C7&lt;B2,"已过期",1120050019)</f>
        <v>1120050019</v>
      </c>
      <c r="C7" s="2343">
        <v>44395</v>
      </c>
      <c r="D7" s="2346" t="s">
        <v>835</v>
      </c>
      <c r="E7" s="1019">
        <f ca="1">IF(F7&lt;B2,"已过期",2002110030)</f>
        <v>2002110030</v>
      </c>
      <c r="F7" s="1027">
        <v>46387</v>
      </c>
    </row>
    <row r="8" spans="1:6" ht="24" customHeight="1">
      <c r="A8" s="1698" t="s">
        <v>836</v>
      </c>
      <c r="B8" s="1019">
        <f ca="1">IF(C8&lt;B2,"已过期",1120000080)</f>
        <v>1120000080</v>
      </c>
      <c r="C8" s="2343">
        <v>43849</v>
      </c>
      <c r="D8" s="2346" t="s">
        <v>836</v>
      </c>
      <c r="E8" s="1019">
        <f ca="1">IF(F8&lt;B2,"已过期",2000110082)</f>
        <v>2000110082</v>
      </c>
      <c r="F8" s="1027">
        <v>46387</v>
      </c>
    </row>
    <row r="9" spans="1:6" ht="24" customHeight="1">
      <c r="A9" s="1698" t="s">
        <v>837</v>
      </c>
      <c r="B9" s="1019">
        <f ca="1">IF(C9&lt;B2,"已过期",1419970001)</f>
        <v>1419970001</v>
      </c>
      <c r="C9" s="2343">
        <v>43867</v>
      </c>
      <c r="D9" s="2346" t="s">
        <v>837</v>
      </c>
      <c r="E9" s="1019">
        <f ca="1">IF(F9&lt;B2,"已过期",2002110125)</f>
        <v>2002110125</v>
      </c>
      <c r="F9" s="1027">
        <v>47118</v>
      </c>
    </row>
    <row r="10" spans="1:6" ht="24" customHeight="1">
      <c r="A10" s="1698" t="s">
        <v>838</v>
      </c>
      <c r="B10" s="1019">
        <f ca="1">IF(C10&lt;B2,"已过期",1120060040)</f>
        <v>1120060040</v>
      </c>
      <c r="C10" s="2343">
        <v>44554</v>
      </c>
      <c r="D10" s="2346" t="s">
        <v>838</v>
      </c>
      <c r="E10" s="1019">
        <f ca="1">IF(F10&lt;B2,"已过期",2004110096)</f>
        <v>2004110096</v>
      </c>
      <c r="F10" s="1027">
        <v>47118</v>
      </c>
    </row>
    <row r="11" spans="1:6" ht="24" customHeight="1">
      <c r="A11" s="1698" t="s">
        <v>839</v>
      </c>
      <c r="B11" s="1019">
        <f ca="1">IF(C11&lt;B2,"已过期",1120100036)</f>
        <v>1120100036</v>
      </c>
      <c r="C11" s="2343">
        <v>44675</v>
      </c>
      <c r="D11" s="2346" t="s">
        <v>839</v>
      </c>
      <c r="E11" s="1019">
        <f ca="1">IF(F11&lt;B2,"已过期",2010110070)</f>
        <v>2010110070</v>
      </c>
      <c r="F11" s="1027">
        <v>47907</v>
      </c>
    </row>
    <row r="12" spans="1:6" ht="24" customHeight="1">
      <c r="A12" s="1698"/>
      <c r="B12" s="1019"/>
      <c r="C12" s="2925"/>
      <c r="D12" s="1698"/>
      <c r="E12" s="1019"/>
      <c r="F12" s="1027"/>
    </row>
    <row r="13" spans="1:6" ht="24" customHeight="1">
      <c r="A13" s="1698" t="s">
        <v>840</v>
      </c>
      <c r="B13" s="1019">
        <f ca="1">IF(C13&lt;B2,"已过期",1120070131)</f>
        <v>1120070131</v>
      </c>
      <c r="C13" s="2343">
        <v>43814</v>
      </c>
      <c r="D13" s="2346" t="s">
        <v>840</v>
      </c>
      <c r="E13" s="1019">
        <f ca="1">IF(F13&lt;B2,"已过期",2014110011)</f>
        <v>2014110011</v>
      </c>
      <c r="F13" s="1027">
        <v>49302</v>
      </c>
    </row>
    <row r="14" spans="1:6" ht="24" customHeight="1">
      <c r="A14" s="1698" t="s">
        <v>3042</v>
      </c>
      <c r="B14" s="1019">
        <f ca="1">IF(C14&lt;B2,"已过期",1120040230)</f>
        <v>1120040230</v>
      </c>
      <c r="C14" s="2343">
        <v>43835</v>
      </c>
      <c r="D14" s="2346" t="s">
        <v>3042</v>
      </c>
      <c r="E14" s="1019">
        <f ca="1">IF(F14&lt;B2,"已过期",98030020)</f>
        <v>98030020</v>
      </c>
      <c r="F14" s="1027">
        <v>47118</v>
      </c>
    </row>
    <row r="15" spans="1:6" ht="24" customHeight="1">
      <c r="A15" s="1699" t="s">
        <v>3043</v>
      </c>
      <c r="B15" s="1019">
        <f ca="1">IF(C15&lt;B2,"已过期",1120070085)</f>
        <v>1120070085</v>
      </c>
      <c r="C15" s="2343">
        <v>43814</v>
      </c>
      <c r="D15" s="2347" t="s">
        <v>3043</v>
      </c>
      <c r="E15" s="1019">
        <f ca="1">IF(F15&lt;B2,"已过期",2004110128)</f>
        <v>2004110128</v>
      </c>
      <c r="F15" s="1020">
        <v>47118</v>
      </c>
    </row>
    <row r="16" spans="1:6" ht="24" customHeight="1">
      <c r="A16" s="1698" t="s">
        <v>3044</v>
      </c>
      <c r="B16" s="1019">
        <f ca="1">IF(C16&lt;B2,"已过期",1120140022)</f>
        <v>1120140022</v>
      </c>
      <c r="C16" s="2925">
        <v>44029</v>
      </c>
      <c r="D16" s="2346" t="s">
        <v>3044</v>
      </c>
      <c r="E16" s="1019">
        <f ca="1">IF(F16&lt;B2,"已过期",2008110059)</f>
        <v>2008110059</v>
      </c>
      <c r="F16" s="1027">
        <v>47177</v>
      </c>
    </row>
    <row r="17" spans="1:7" ht="24" customHeight="1">
      <c r="A17" s="1698"/>
      <c r="B17" s="1019"/>
      <c r="C17" s="2343"/>
      <c r="D17" s="2346" t="s">
        <v>3045</v>
      </c>
      <c r="E17" s="1019">
        <f ca="1">IF(F17&lt;B2,"已过期",2014110076)</f>
        <v>2014110076</v>
      </c>
      <c r="F17" s="1027">
        <v>49302</v>
      </c>
    </row>
    <row r="18" spans="1:7" ht="24" customHeight="1">
      <c r="A18" s="1698" t="s">
        <v>3053</v>
      </c>
      <c r="B18" s="1019">
        <v>1120190079</v>
      </c>
      <c r="C18" s="2925">
        <v>44826</v>
      </c>
      <c r="D18" s="2346"/>
      <c r="E18" s="1019"/>
      <c r="F18" s="1027"/>
    </row>
    <row r="19" spans="1:7" ht="24" customHeight="1">
      <c r="A19" s="1698"/>
      <c r="B19" s="1019"/>
      <c r="C19" s="2343"/>
      <c r="D19" s="2346"/>
      <c r="E19" s="1019"/>
      <c r="F19" s="1019"/>
    </row>
    <row r="20" spans="1:7" ht="24" customHeight="1">
      <c r="A20" s="1698"/>
      <c r="B20" s="1019"/>
      <c r="C20" s="2343"/>
      <c r="D20" s="2346"/>
      <c r="E20" s="1019"/>
      <c r="F20" s="1019"/>
    </row>
    <row r="21" spans="1:7" ht="24" customHeight="1">
      <c r="A21" s="1698"/>
      <c r="B21" s="1019"/>
      <c r="C21" s="2343"/>
      <c r="D21" s="2346" t="s">
        <v>841</v>
      </c>
      <c r="E21" s="1019">
        <f ca="1">IF(F21&lt;B2,"已过期",2011110090)</f>
        <v>2011110090</v>
      </c>
      <c r="F21" s="1027">
        <v>48302</v>
      </c>
    </row>
    <row r="22" spans="1:7" ht="24" customHeight="1">
      <c r="A22" s="1698" t="s">
        <v>842</v>
      </c>
      <c r="B22" s="1019">
        <f ca="1">IF(C22&lt;B2,"已过期",1120020033)</f>
        <v>1120020033</v>
      </c>
      <c r="C22" s="2925">
        <v>44339</v>
      </c>
      <c r="D22" s="2346" t="s">
        <v>842</v>
      </c>
      <c r="E22" s="1019">
        <f ca="1">IF(F22&lt;B2,"已过期",2000110137)</f>
        <v>2000110137</v>
      </c>
      <c r="F22" s="1027">
        <v>46387</v>
      </c>
    </row>
    <row r="23" spans="1:7" ht="24" customHeight="1">
      <c r="A23" s="1698"/>
      <c r="B23" s="1019"/>
      <c r="C23" s="2343"/>
      <c r="D23" s="2346"/>
      <c r="E23" s="1019"/>
      <c r="F23" s="1019"/>
    </row>
    <row r="24" spans="1:7" s="1021" customFormat="1" ht="24" customHeight="1">
      <c r="A24" s="1699" t="s">
        <v>1329</v>
      </c>
      <c r="B24" s="1699" t="s">
        <v>1329</v>
      </c>
      <c r="C24" s="2344" t="s">
        <v>1329</v>
      </c>
      <c r="D24" s="2347" t="s">
        <v>1329</v>
      </c>
      <c r="E24" s="1699" t="s">
        <v>1329</v>
      </c>
      <c r="F24" s="1699" t="s">
        <v>1329</v>
      </c>
    </row>
    <row r="25" spans="1:7" ht="24" customHeight="1">
      <c r="A25" s="3019" t="s">
        <v>843</v>
      </c>
      <c r="B25" s="3019"/>
      <c r="C25" s="3019"/>
      <c r="D25" s="3019"/>
      <c r="E25" s="3019"/>
      <c r="F25" s="3019"/>
      <c r="G25" s="3019"/>
    </row>
    <row r="26" spans="1:7" s="1022" customFormat="1" ht="24" customHeight="1">
      <c r="A26" s="3020" t="s">
        <v>844</v>
      </c>
      <c r="B26" s="3020"/>
      <c r="C26" s="3021"/>
      <c r="D26" s="3022" t="s">
        <v>845</v>
      </c>
      <c r="E26" s="3020"/>
      <c r="F26" s="3020"/>
    </row>
    <row r="27" spans="1:7" s="1024" customFormat="1" ht="24" customHeight="1">
      <c r="A27" s="1023" t="s">
        <v>846</v>
      </c>
      <c r="B27" s="1018" t="s">
        <v>847</v>
      </c>
      <c r="C27" s="2342" t="s">
        <v>848</v>
      </c>
      <c r="D27" s="2349" t="s">
        <v>846</v>
      </c>
      <c r="E27" s="1018" t="s">
        <v>847</v>
      </c>
      <c r="F27" s="1018" t="s">
        <v>848</v>
      </c>
    </row>
    <row r="28" spans="1:7" s="1024" customFormat="1" ht="24" customHeight="1">
      <c r="A28" s="1025" t="s">
        <v>849</v>
      </c>
      <c r="B28" s="1026" t="s">
        <v>850</v>
      </c>
      <c r="C28" s="1027">
        <v>44820</v>
      </c>
      <c r="D28" s="2350" t="s">
        <v>851</v>
      </c>
      <c r="E28" s="1025" t="s">
        <v>852</v>
      </c>
      <c r="F28" s="1055">
        <v>44377</v>
      </c>
    </row>
    <row r="29" spans="1:7" s="1024" customFormat="1" ht="24" customHeight="1">
      <c r="A29" s="1025"/>
      <c r="B29" s="1025"/>
      <c r="C29" s="2348"/>
      <c r="D29" s="2350" t="s">
        <v>853</v>
      </c>
      <c r="E29" s="1199" t="s">
        <v>3054</v>
      </c>
      <c r="F29" s="1200">
        <v>44012</v>
      </c>
    </row>
    <row r="30" spans="1:7" ht="24" customHeight="1">
      <c r="C30" s="1028"/>
      <c r="D30" s="1028"/>
    </row>
  </sheetData>
  <sheetProtection sheet="1" objects="1" scenarios="1"/>
  <mergeCells count="3">
    <mergeCell ref="A25:G25"/>
    <mergeCell ref="A26:C26"/>
    <mergeCell ref="D26:F26"/>
  </mergeCells>
  <phoneticPr fontId="87"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收益法-办公</vt:lpstr>
      <vt:lpstr>收益法-办公（元）</vt:lpstr>
      <vt:lpstr>收益法（汇总）</vt:lpstr>
      <vt:lpstr>酒店收入计算</vt:lpstr>
      <vt:lpstr>比较法-住宅</vt:lpstr>
      <vt:lpstr>比较法-商业</vt:lpstr>
      <vt:lpstr>租金求取</vt:lpstr>
      <vt:lpstr>比较法-办公</vt:lpstr>
      <vt:lpstr>比较法-工业</vt:lpstr>
      <vt:lpstr>办公案例</vt:lpstr>
      <vt:lpstr>典型户型修正</vt:lpstr>
      <vt:lpstr>结果表-车库</vt:lpstr>
      <vt:lpstr>成本法</vt:lpstr>
      <vt:lpstr>成本法 (元)</vt:lpstr>
      <vt:lpstr>比较法-车位</vt:lpstr>
      <vt:lpstr>比较法-仓储</vt:lpstr>
      <vt:lpstr>土地比较法-住宅、综合</vt:lpstr>
      <vt:lpstr>土地比较法-工业</vt:lpstr>
      <vt:lpstr>收益法-车库（元）</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'收益法-办公'!Print_Area</vt:lpstr>
      <vt:lpstr>'收益法-办公（元）'!Print_Area</vt:lpstr>
      <vt:lpstr>'收益法-车库（元）'!Print_Area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2019-11-22T05:12:35Z</dcterms:modified>
</cp:coreProperties>
</file>