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30" windowWidth="10815" windowHeight="9885" tabRatio="875" firstSheet="15"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容积率修正" sheetId="45" state="hidden" r:id="rId25"/>
    <sheet name="因素修正幅度" sheetId="56" state="hidden" r:id="rId26"/>
    <sheet name="基准地价-办公" sheetId="68" r:id="rId27"/>
    <sheet name="地价" sheetId="59" r:id="rId28"/>
    <sheet name="基准地价（汇总）" sheetId="67"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8">'基准地价（汇总）'!$A$1:$F$14</definedName>
    <definedName name="_xlnm.Print_Area" localSheetId="26">'基准地价-办公'!$A$1:$J$41,'基准地价-办公'!$A$44:$N$87,'基准地价-办公'!$R$1:$V$16</definedName>
    <definedName name="_xlnm.Print_Area" localSheetId="21">'基准地价-商业'!$A$1:$J$41,'基准地价-商业'!$A$44:$N$87</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'基准地价-办公'!$N$19:$AB$19</definedName>
    <definedName name="季度">'基准地价-商业'!$N$19:$AB$19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U3" i="46" l="1"/>
  <c r="U4" i="46"/>
  <c r="U5" i="46"/>
  <c r="U6" i="46"/>
  <c r="U7" i="46"/>
  <c r="U8" i="46"/>
  <c r="U9" i="46"/>
  <c r="U10" i="46"/>
  <c r="U11" i="46"/>
  <c r="U2" i="46"/>
  <c r="K13" i="3"/>
  <c r="I4" i="65"/>
  <c r="E20" i="68"/>
  <c r="N28" i="68"/>
  <c r="G20" i="68"/>
  <c r="C20" i="68"/>
  <c r="G2" i="68"/>
  <c r="I2" i="68"/>
  <c r="M8" i="68"/>
  <c r="C6" i="68"/>
  <c r="C16" i="68"/>
  <c r="C5" i="68"/>
  <c r="F19" i="6"/>
  <c r="F20" i="6"/>
  <c r="BB13" i="3"/>
  <c r="BB5" i="3"/>
  <c r="BC13" i="3"/>
  <c r="BC5" i="3"/>
  <c r="E8" i="6"/>
  <c r="F27" i="6"/>
  <c r="F31" i="6"/>
  <c r="H13" i="3"/>
  <c r="G13" i="3"/>
  <c r="G5" i="3"/>
  <c r="B3" i="3"/>
  <c r="A3" i="3"/>
  <c r="BA13" i="3"/>
  <c r="AZ13" i="3"/>
  <c r="AZ5" i="3"/>
  <c r="AY6" i="3"/>
  <c r="D3" i="6"/>
  <c r="E19" i="6"/>
  <c r="E3" i="6"/>
  <c r="D19" i="6"/>
  <c r="E20" i="6"/>
  <c r="D20" i="6"/>
  <c r="D21" i="6"/>
  <c r="D22" i="6"/>
  <c r="D23" i="6"/>
  <c r="D24" i="6"/>
  <c r="D25" i="6"/>
  <c r="D26" i="6"/>
  <c r="D27" i="6"/>
  <c r="D28" i="6"/>
  <c r="D29" i="6"/>
  <c r="D30" i="6"/>
  <c r="D31" i="6"/>
  <c r="I6" i="6"/>
  <c r="G3" i="68"/>
  <c r="F22" i="68"/>
  <c r="E22" i="68"/>
  <c r="G22" i="68"/>
  <c r="D22" i="68"/>
  <c r="C21" i="68"/>
  <c r="M63" i="68"/>
  <c r="D63" i="68"/>
  <c r="D58" i="68"/>
  <c r="D59" i="68"/>
  <c r="D60" i="68"/>
  <c r="D61" i="68"/>
  <c r="D62" i="68"/>
  <c r="D64" i="68"/>
  <c r="D65" i="68"/>
  <c r="D66" i="68"/>
  <c r="E58" i="68"/>
  <c r="B56" i="68"/>
  <c r="C24" i="68"/>
  <c r="C29" i="68"/>
  <c r="C30" i="68"/>
  <c r="D30" i="68"/>
  <c r="D29" i="68"/>
  <c r="E20" i="46"/>
  <c r="M28" i="46"/>
  <c r="G20" i="46"/>
  <c r="C20" i="46"/>
  <c r="G2" i="46"/>
  <c r="I2" i="46"/>
  <c r="M8" i="46"/>
  <c r="C6" i="46"/>
  <c r="C16" i="46"/>
  <c r="C5" i="46"/>
  <c r="G3" i="46"/>
  <c r="F22" i="46"/>
  <c r="E22" i="46"/>
  <c r="G22" i="46"/>
  <c r="D22" i="46"/>
  <c r="C21" i="46"/>
  <c r="D52" i="46"/>
  <c r="E47" i="46"/>
  <c r="B45" i="46"/>
  <c r="C24" i="46"/>
  <c r="C29" i="46"/>
  <c r="C30" i="46"/>
  <c r="S2" i="46"/>
  <c r="S3" i="46"/>
  <c r="S4" i="46"/>
  <c r="S5" i="46"/>
  <c r="S6" i="46"/>
  <c r="S7" i="46"/>
  <c r="S16" i="46"/>
  <c r="D30" i="46"/>
  <c r="D29" i="46"/>
  <c r="S11" i="46"/>
  <c r="S10" i="46"/>
  <c r="S9" i="46"/>
  <c r="S8" i="46"/>
  <c r="N7" i="1"/>
  <c r="L7" i="1"/>
  <c r="J7" i="1"/>
  <c r="I7" i="1"/>
  <c r="H7" i="1"/>
  <c r="F17" i="4"/>
  <c r="B113" i="68"/>
  <c r="I118" i="68"/>
  <c r="J118" i="68"/>
  <c r="K118" i="68"/>
  <c r="L118" i="68"/>
  <c r="M118" i="68"/>
  <c r="G118" i="68"/>
  <c r="H118" i="68"/>
  <c r="D118" i="68"/>
  <c r="E118" i="68"/>
  <c r="F118" i="68"/>
  <c r="B118" i="68"/>
  <c r="C118" i="68"/>
  <c r="I117" i="68"/>
  <c r="J117" i="68"/>
  <c r="K117" i="68"/>
  <c r="L117" i="68"/>
  <c r="M117" i="68"/>
  <c r="D117" i="68"/>
  <c r="E117" i="68"/>
  <c r="F117" i="68"/>
  <c r="G117" i="68"/>
  <c r="H117" i="68"/>
  <c r="B117" i="68"/>
  <c r="C117" i="68"/>
  <c r="I116" i="68"/>
  <c r="J116" i="68"/>
  <c r="K116" i="68"/>
  <c r="L116" i="68"/>
  <c r="M116" i="68"/>
  <c r="D116" i="68"/>
  <c r="E116" i="68"/>
  <c r="F116" i="68"/>
  <c r="G116" i="68"/>
  <c r="H116" i="68"/>
  <c r="B116" i="68"/>
  <c r="C116" i="68"/>
  <c r="I115" i="68"/>
  <c r="J115" i="68"/>
  <c r="K115" i="68"/>
  <c r="L115" i="68"/>
  <c r="M115" i="68"/>
  <c r="D115" i="68"/>
  <c r="E115" i="68"/>
  <c r="F115" i="68"/>
  <c r="G115" i="68"/>
  <c r="H115" i="68"/>
  <c r="B115" i="68"/>
  <c r="C115" i="68"/>
  <c r="H113" i="68"/>
  <c r="F113" i="68"/>
  <c r="D113" i="68"/>
  <c r="N99" i="68"/>
  <c r="N108" i="68"/>
  <c r="N101" i="68"/>
  <c r="N109" i="68"/>
  <c r="M99" i="68"/>
  <c r="M108" i="68"/>
  <c r="M101" i="68"/>
  <c r="M109" i="68"/>
  <c r="L99" i="68"/>
  <c r="L108" i="68"/>
  <c r="L101" i="68"/>
  <c r="L109" i="68"/>
  <c r="K99" i="68"/>
  <c r="K108" i="68"/>
  <c r="K101" i="68"/>
  <c r="K109" i="68"/>
  <c r="J99" i="68"/>
  <c r="J108" i="68"/>
  <c r="J101" i="68"/>
  <c r="J109" i="68"/>
  <c r="I99" i="68"/>
  <c r="I108" i="68"/>
  <c r="I101" i="68"/>
  <c r="I109" i="68"/>
  <c r="H99" i="68"/>
  <c r="H108" i="68"/>
  <c r="H101" i="68"/>
  <c r="H109" i="68"/>
  <c r="G99" i="68"/>
  <c r="G108" i="68"/>
  <c r="G101" i="68"/>
  <c r="G109" i="68"/>
  <c r="F99" i="68"/>
  <c r="F108" i="68"/>
  <c r="F101" i="68"/>
  <c r="F109" i="68"/>
  <c r="E99" i="68"/>
  <c r="E108" i="68"/>
  <c r="E101" i="68"/>
  <c r="E109" i="68"/>
  <c r="D99" i="68"/>
  <c r="D108" i="68"/>
  <c r="D101" i="68"/>
  <c r="D109" i="68"/>
  <c r="C99" i="68"/>
  <c r="C108" i="68"/>
  <c r="C101" i="68"/>
  <c r="C109" i="68"/>
  <c r="N107" i="68"/>
  <c r="M107" i="68"/>
  <c r="L107" i="68"/>
  <c r="K107" i="68"/>
  <c r="J107" i="68"/>
  <c r="I107" i="68"/>
  <c r="H107" i="68"/>
  <c r="G107" i="68"/>
  <c r="F107" i="68"/>
  <c r="E107" i="68"/>
  <c r="D107" i="68"/>
  <c r="C107" i="68"/>
  <c r="N106" i="68"/>
  <c r="M106" i="68"/>
  <c r="L106" i="68"/>
  <c r="K106" i="68"/>
  <c r="J106" i="68"/>
  <c r="I106" i="68"/>
  <c r="H106" i="68"/>
  <c r="G106" i="68"/>
  <c r="F106" i="68"/>
  <c r="E106" i="68"/>
  <c r="D106" i="68"/>
  <c r="C106" i="68"/>
  <c r="N105" i="68"/>
  <c r="M105" i="68"/>
  <c r="L105" i="68"/>
  <c r="K105" i="68"/>
  <c r="J105" i="68"/>
  <c r="I105" i="68"/>
  <c r="H105" i="68"/>
  <c r="G105" i="68"/>
  <c r="F105" i="68"/>
  <c r="E105" i="68"/>
  <c r="D105" i="68"/>
  <c r="C105" i="68"/>
  <c r="N104" i="68"/>
  <c r="M104" i="68"/>
  <c r="L104" i="68"/>
  <c r="K104" i="68"/>
  <c r="J104" i="68"/>
  <c r="I104" i="68"/>
  <c r="H104" i="68"/>
  <c r="G104" i="68"/>
  <c r="F104" i="68"/>
  <c r="E104" i="68"/>
  <c r="D104" i="68"/>
  <c r="C104" i="68"/>
  <c r="N103" i="68"/>
  <c r="M103" i="68"/>
  <c r="L103" i="68"/>
  <c r="K103" i="68"/>
  <c r="J103" i="68"/>
  <c r="I103" i="68"/>
  <c r="H103" i="68"/>
  <c r="G103" i="68"/>
  <c r="F103" i="68"/>
  <c r="E103" i="68"/>
  <c r="D103" i="68"/>
  <c r="C103" i="68"/>
  <c r="N102" i="68"/>
  <c r="M102" i="68"/>
  <c r="L102" i="68"/>
  <c r="K102" i="68"/>
  <c r="J102" i="68"/>
  <c r="I102" i="68"/>
  <c r="H102" i="68"/>
  <c r="G102" i="68"/>
  <c r="F102" i="68"/>
  <c r="E102" i="68"/>
  <c r="D102" i="68"/>
  <c r="C102"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N9" i="68"/>
  <c r="N8" i="68"/>
  <c r="F58" i="68"/>
  <c r="H66" i="68"/>
  <c r="B66" i="68"/>
  <c r="M65" i="68"/>
  <c r="N65" i="68"/>
  <c r="K65" i="68"/>
  <c r="J65" i="68"/>
  <c r="H65" i="68"/>
  <c r="B65" i="68"/>
  <c r="M64" i="68"/>
  <c r="N64" i="68"/>
  <c r="K64" i="68"/>
  <c r="J64" i="68"/>
  <c r="H64" i="68"/>
  <c r="B64" i="68"/>
  <c r="N63" i="68"/>
  <c r="K63" i="68"/>
  <c r="J63" i="68"/>
  <c r="H63" i="68"/>
  <c r="M62" i="68"/>
  <c r="N62" i="68"/>
  <c r="K62" i="68"/>
  <c r="J62" i="68"/>
  <c r="H62" i="68"/>
  <c r="B62" i="68"/>
  <c r="M61" i="68"/>
  <c r="N61" i="68"/>
  <c r="K61" i="68"/>
  <c r="J61" i="68"/>
  <c r="H61" i="68"/>
  <c r="M60" i="68"/>
  <c r="N60" i="68"/>
  <c r="K60" i="68"/>
  <c r="J60" i="68"/>
  <c r="H60" i="68"/>
  <c r="B60" i="68"/>
  <c r="M59" i="68"/>
  <c r="N59" i="68"/>
  <c r="K59" i="68"/>
  <c r="J59" i="68"/>
  <c r="H59" i="68"/>
  <c r="B59" i="68"/>
  <c r="M58" i="68"/>
  <c r="N58" i="68"/>
  <c r="K58" i="68"/>
  <c r="J58" i="68"/>
  <c r="H58" i="68"/>
  <c r="B58" i="68"/>
  <c r="M55" i="68"/>
  <c r="N55" i="68"/>
  <c r="K55" i="68"/>
  <c r="J55"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E41" i="68"/>
  <c r="C41" i="68"/>
  <c r="M9" i="68"/>
  <c r="H17" i="68"/>
  <c r="I17" i="68"/>
  <c r="J17" i="68"/>
  <c r="K17" i="68"/>
  <c r="L17" i="68"/>
  <c r="M17" i="68"/>
  <c r="N17" i="68"/>
  <c r="O17" i="68"/>
  <c r="G17" i="68"/>
  <c r="E17" i="68"/>
  <c r="C17" i="68"/>
  <c r="D5" i="68"/>
  <c r="I19" i="68"/>
  <c r="B2" i="1"/>
  <c r="G19" i="68"/>
  <c r="O19" i="68"/>
  <c r="C19" i="68"/>
  <c r="F39" i="68"/>
  <c r="C39" i="68"/>
  <c r="G39" i="68"/>
  <c r="H39" i="68"/>
  <c r="I39" i="68"/>
  <c r="E39" i="68"/>
  <c r="F38" i="68"/>
  <c r="C38" i="68"/>
  <c r="G38" i="68"/>
  <c r="H38" i="68"/>
  <c r="I38" i="68"/>
  <c r="E38" i="68"/>
  <c r="J20" i="68"/>
  <c r="I20" i="68"/>
  <c r="F37" i="68"/>
  <c r="C37" i="68"/>
  <c r="G37" i="68"/>
  <c r="H37" i="68"/>
  <c r="I37" i="68"/>
  <c r="E37" i="68"/>
  <c r="F36" i="68"/>
  <c r="C36" i="68"/>
  <c r="G36" i="68"/>
  <c r="H36" i="68"/>
  <c r="I36" i="68"/>
  <c r="E36" i="68"/>
  <c r="F35" i="68"/>
  <c r="C35" i="68"/>
  <c r="G35" i="68"/>
  <c r="H35" i="68"/>
  <c r="I35" i="68"/>
  <c r="E35" i="68"/>
  <c r="F34" i="68"/>
  <c r="C34" i="68"/>
  <c r="G34" i="68"/>
  <c r="H34" i="68"/>
  <c r="I34" i="68"/>
  <c r="E34" i="68"/>
  <c r="F33" i="68"/>
  <c r="C33" i="68"/>
  <c r="G33" i="68"/>
  <c r="H33" i="68"/>
  <c r="I33" i="68"/>
  <c r="E33" i="68"/>
  <c r="C18" i="68"/>
  <c r="C23" i="68"/>
  <c r="E30" i="68"/>
  <c r="E29" i="68"/>
  <c r="C1" i="65"/>
  <c r="H1" i="65"/>
  <c r="P28" i="68"/>
  <c r="O28" i="68"/>
  <c r="M28" i="68"/>
  <c r="C27" i="68"/>
  <c r="S2" i="68"/>
  <c r="T2" i="68"/>
  <c r="V2" i="68"/>
  <c r="C26" i="68"/>
  <c r="P25" i="68"/>
  <c r="P24" i="68"/>
  <c r="P23" i="68"/>
  <c r="P22" i="68"/>
  <c r="J22" i="68"/>
  <c r="H22" i="68"/>
  <c r="P21" i="68"/>
  <c r="M20" i="68"/>
  <c r="M19" i="68"/>
  <c r="D17" i="68"/>
  <c r="T16" i="68"/>
  <c r="V16" i="68"/>
  <c r="T15" i="68"/>
  <c r="V15" i="68"/>
  <c r="F15" i="68"/>
  <c r="E15" i="68"/>
  <c r="D15" i="68"/>
  <c r="C15" i="68"/>
  <c r="T14" i="68"/>
  <c r="V14" i="68"/>
  <c r="AJ9" i="68"/>
  <c r="AJ12" i="68"/>
  <c r="AJ11" i="68"/>
  <c r="AJ13" i="68"/>
  <c r="AI9" i="68"/>
  <c r="AI12" i="68"/>
  <c r="AI11" i="68"/>
  <c r="AI13" i="68"/>
  <c r="AH9" i="68"/>
  <c r="AH12" i="68"/>
  <c r="AH11" i="68"/>
  <c r="AH13" i="68"/>
  <c r="AG9" i="68"/>
  <c r="AG12" i="68"/>
  <c r="AG11" i="68"/>
  <c r="AG13" i="68"/>
  <c r="AF9" i="68"/>
  <c r="AF12" i="68"/>
  <c r="AF11" i="68"/>
  <c r="AF13" i="68"/>
  <c r="AE9" i="68"/>
  <c r="AE12" i="68"/>
  <c r="AE11" i="68"/>
  <c r="AE13" i="68"/>
  <c r="AD9" i="68"/>
  <c r="AD12" i="68"/>
  <c r="AD11" i="68"/>
  <c r="AD13" i="68"/>
  <c r="AC9" i="68"/>
  <c r="AC12" i="68"/>
  <c r="AC11" i="68"/>
  <c r="AC13" i="68"/>
  <c r="AB9" i="68"/>
  <c r="AB12" i="68"/>
  <c r="AB11" i="68"/>
  <c r="AB13" i="68"/>
  <c r="AA9" i="68"/>
  <c r="AA12" i="68"/>
  <c r="AA11" i="68"/>
  <c r="AA13" i="68"/>
  <c r="Z9" i="68"/>
  <c r="Z12" i="68"/>
  <c r="Z11" i="68"/>
  <c r="Z13" i="68"/>
  <c r="Y12" i="68"/>
  <c r="Y11" i="68"/>
  <c r="Y13" i="68"/>
  <c r="T13" i="68"/>
  <c r="V13" i="68"/>
  <c r="T12" i="68"/>
  <c r="V12" i="68"/>
  <c r="N12" i="68"/>
  <c r="M12" i="68"/>
  <c r="C12" i="68"/>
  <c r="T11" i="68"/>
  <c r="V11" i="68"/>
  <c r="N11" i="68"/>
  <c r="M11" i="68"/>
  <c r="C10" i="68"/>
  <c r="C11" i="68"/>
  <c r="E11" i="68"/>
  <c r="AJ10" i="68"/>
  <c r="AI10" i="68"/>
  <c r="AH10" i="68"/>
  <c r="AG10" i="68"/>
  <c r="AF10" i="68"/>
  <c r="AE10" i="68"/>
  <c r="AD10" i="68"/>
  <c r="AC10" i="68"/>
  <c r="AB10" i="68"/>
  <c r="AA10" i="68"/>
  <c r="Z10" i="68"/>
  <c r="Y10" i="68"/>
  <c r="T10" i="68"/>
  <c r="V10" i="68"/>
  <c r="N10" i="68"/>
  <c r="M10" i="68"/>
  <c r="E10" i="68"/>
  <c r="T9" i="68"/>
  <c r="V9" i="68"/>
  <c r="E9" i="68"/>
  <c r="C9" i="68"/>
  <c r="T8" i="68"/>
  <c r="V8" i="68"/>
  <c r="E8" i="68"/>
  <c r="Z7" i="68"/>
  <c r="X7" i="68"/>
  <c r="S7" i="68"/>
  <c r="T7" i="68"/>
  <c r="V7" i="68"/>
  <c r="N7" i="68"/>
  <c r="M7" i="68"/>
  <c r="C7" i="68"/>
  <c r="A7" i="68"/>
  <c r="S6" i="68"/>
  <c r="T6" i="68"/>
  <c r="V6" i="68"/>
  <c r="N6" i="68"/>
  <c r="M6" i="68"/>
  <c r="S5" i="68"/>
  <c r="T5" i="68"/>
  <c r="V5" i="68"/>
  <c r="N5" i="68"/>
  <c r="M5" i="68"/>
  <c r="S4" i="68"/>
  <c r="T4" i="68"/>
  <c r="V4" i="68"/>
  <c r="N4" i="68"/>
  <c r="M4" i="68"/>
  <c r="B2" i="68"/>
  <c r="D4" i="68"/>
  <c r="B4" i="68"/>
  <c r="S3" i="68"/>
  <c r="T3" i="68"/>
  <c r="V3" i="68"/>
  <c r="N3" i="68"/>
  <c r="M3" i="68"/>
  <c r="D1" i="68"/>
  <c r="B3" i="68"/>
  <c r="N2" i="68"/>
  <c r="M2" i="68"/>
  <c r="N1" i="68"/>
  <c r="M1" i="68"/>
  <c r="AH5" i="59"/>
  <c r="AG5" i="59"/>
  <c r="AE5" i="59"/>
  <c r="AF5" i="59"/>
  <c r="AD5" i="59"/>
  <c r="Q5" i="59"/>
  <c r="P5" i="59"/>
  <c r="O5" i="59"/>
  <c r="N5" i="59"/>
  <c r="AH6" i="59"/>
  <c r="AG6" i="59"/>
  <c r="AE6" i="59"/>
  <c r="AF6" i="59"/>
  <c r="AD6" i="59"/>
  <c r="Q6" i="59"/>
  <c r="AB5" i="59"/>
  <c r="P6" i="59"/>
  <c r="AA5" i="59"/>
  <c r="O6" i="59"/>
  <c r="Y5" i="59"/>
  <c r="Z5" i="59"/>
  <c r="N6" i="59"/>
  <c r="X5" i="59"/>
  <c r="AB32" i="59"/>
  <c r="AA32" i="59"/>
  <c r="Z32" i="59"/>
  <c r="Y32" i="59"/>
  <c r="X32" i="59"/>
  <c r="AB31" i="59"/>
  <c r="AA31" i="59"/>
  <c r="Y31" i="59"/>
  <c r="Z31" i="59"/>
  <c r="X31" i="59"/>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F25" i="12"/>
  <c r="C25" i="12"/>
  <c r="C16" i="11"/>
  <c r="C15" i="11"/>
  <c r="C14" i="11"/>
  <c r="C9" i="11"/>
  <c r="C8" i="11"/>
  <c r="K36" i="36"/>
  <c r="K38" i="35"/>
  <c r="K42" i="37"/>
  <c r="K49" i="34"/>
  <c r="K48" i="33"/>
  <c r="K48" i="21"/>
  <c r="K44" i="40"/>
  <c r="K49" i="39"/>
  <c r="E77" i="9"/>
  <c r="F77" i="9"/>
  <c r="AH7" i="59"/>
  <c r="AG7" i="59"/>
  <c r="AE7" i="59"/>
  <c r="AF7" i="59"/>
  <c r="AD7" i="59"/>
  <c r="Q7" i="59"/>
  <c r="P7" i="59"/>
  <c r="O7" i="59"/>
  <c r="N7" i="59"/>
  <c r="Y6" i="59"/>
  <c r="Z6" i="59"/>
  <c r="Y7" i="59"/>
  <c r="X6" i="59"/>
  <c r="X7" i="59"/>
  <c r="AA6" i="59"/>
  <c r="AA7" i="59"/>
  <c r="AB6" i="59"/>
  <c r="AB7" i="59"/>
  <c r="A21" i="31"/>
  <c r="C109" i="9"/>
  <c r="V9" i="59"/>
  <c r="U9" i="59"/>
  <c r="T9" i="59"/>
  <c r="S9" i="59"/>
  <c r="AH8" i="59"/>
  <c r="AG8" i="59"/>
  <c r="AE8" i="59"/>
  <c r="AF8" i="59"/>
  <c r="AD8" i="59"/>
  <c r="Q8" i="59"/>
  <c r="P8" i="59"/>
  <c r="O8" i="59"/>
  <c r="Z7" i="59"/>
  <c r="N8" i="59"/>
  <c r="Q10" i="59"/>
  <c r="P10" i="59"/>
  <c r="O10" i="59"/>
  <c r="N10" i="59"/>
  <c r="AH9" i="59"/>
  <c r="AG9" i="59"/>
  <c r="AE9" i="59"/>
  <c r="AF9" i="59"/>
  <c r="AD9" i="59"/>
  <c r="Q9" i="59"/>
  <c r="P9" i="59"/>
  <c r="O9" i="59"/>
  <c r="N9" i="59"/>
  <c r="F10" i="59"/>
  <c r="F9" i="59"/>
  <c r="F8" i="59"/>
  <c r="F7" i="59"/>
  <c r="F6" i="59"/>
  <c r="F5" i="59"/>
  <c r="E10" i="59"/>
  <c r="C10" i="59"/>
  <c r="C9" i="59"/>
  <c r="C8" i="59"/>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P17" i="59"/>
  <c r="O17" i="59"/>
  <c r="N17"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N12" i="46"/>
  <c r="A7" i="46"/>
  <c r="F41" i="4"/>
  <c r="J52" i="40"/>
  <c r="H61" i="49"/>
  <c r="H39" i="46"/>
  <c r="H38" i="46"/>
  <c r="H37" i="46"/>
  <c r="H36" i="46"/>
  <c r="H35" i="46"/>
  <c r="H34" i="46"/>
  <c r="H33" i="46"/>
  <c r="J20" i="46"/>
  <c r="C18" i="46"/>
  <c r="F15" i="46"/>
  <c r="E15" i="46"/>
  <c r="D15" i="46"/>
  <c r="C15" i="46"/>
  <c r="C10" i="46"/>
  <c r="C11" i="46"/>
  <c r="C9" i="46"/>
  <c r="E32"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AZ15" i="3"/>
  <c r="BK5" i="3"/>
  <c r="BO5" i="3"/>
  <c r="BP5" i="3"/>
  <c r="BN5" i="3"/>
  <c r="BL18" i="3"/>
  <c r="AZ18" i="3"/>
  <c r="BD5" i="3"/>
  <c r="BR5" i="3"/>
  <c r="G28" i="6"/>
  <c r="BS5" i="3"/>
  <c r="BQ5" i="3"/>
  <c r="BL16" i="3"/>
  <c r="BM5" i="3"/>
  <c r="G28" i="12"/>
  <c r="G22" i="43"/>
  <c r="G26" i="12"/>
  <c r="D24" i="44"/>
  <c r="D26" i="44"/>
  <c r="G27" i="12"/>
  <c r="G23" i="43"/>
  <c r="G21" i="43"/>
  <c r="N8" i="46"/>
  <c r="N4" i="46"/>
  <c r="N1" i="46"/>
  <c r="F69" i="46"/>
  <c r="N9" i="46"/>
  <c r="F47" i="46"/>
  <c r="M9" i="46"/>
  <c r="M2" i="46"/>
  <c r="N11" i="46"/>
  <c r="M4" i="46"/>
  <c r="M12" i="46"/>
  <c r="M3" i="46"/>
  <c r="M5" i="46"/>
  <c r="H6" i="48"/>
  <c r="H15" i="48"/>
  <c r="H5" i="48"/>
  <c r="H14" i="48"/>
  <c r="F36" i="46"/>
  <c r="K17" i="46"/>
  <c r="F39" i="46"/>
  <c r="H13" i="48"/>
  <c r="H11" i="48"/>
  <c r="D17" i="46"/>
  <c r="D71" i="46"/>
  <c r="D84" i="46"/>
  <c r="E80" i="46"/>
  <c r="B78" i="46"/>
  <c r="D69" i="46"/>
  <c r="E69" i="46"/>
  <c r="B67" i="46"/>
  <c r="E58" i="46"/>
  <c r="B56" i="46"/>
  <c r="A4" i="64"/>
  <c r="A4" i="51"/>
  <c r="B6" i="63"/>
  <c r="C51" i="10"/>
  <c r="I100" i="46"/>
  <c r="N100" i="46"/>
  <c r="H100" i="46"/>
  <c r="F108" i="46"/>
  <c r="H80"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AE6" i="1"/>
  <c r="W18" i="36"/>
  <c r="AC18" i="36"/>
  <c r="AG6" i="1"/>
  <c r="L20" i="6"/>
  <c r="B21" i="55"/>
  <c r="B72" i="63"/>
  <c r="B20" i="55"/>
  <c r="B70" i="63"/>
  <c r="K20" i="6"/>
  <c r="S7" i="1"/>
  <c r="S8" i="1"/>
  <c r="S9" i="1"/>
  <c r="R9" i="1"/>
  <c r="M20" i="6"/>
  <c r="I20" i="6"/>
  <c r="H20" i="6"/>
  <c r="R20" i="6"/>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Q16" i="1"/>
  <c r="F24" i="43"/>
  <c r="C26" i="43"/>
  <c r="D24" i="43"/>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E65" i="40"/>
  <c r="F65" i="40"/>
  <c r="F67" i="40"/>
  <c r="D72" i="39"/>
  <c r="V13" i="59"/>
  <c r="D13" i="59"/>
  <c r="K14" i="1"/>
  <c r="M14" i="1"/>
  <c r="E30" i="6"/>
  <c r="E46" i="36"/>
  <c r="C23" i="46"/>
  <c r="C7" i="46"/>
  <c r="F70" i="39"/>
  <c r="G70" i="39"/>
  <c r="H70" i="39"/>
  <c r="I70" i="39"/>
  <c r="D12" i="59"/>
  <c r="D11" i="59"/>
  <c r="F46" i="36"/>
  <c r="G46" i="36"/>
  <c r="H46" i="36"/>
  <c r="G65" i="40"/>
  <c r="H65" i="40"/>
  <c r="H67" i="40"/>
  <c r="G72" i="39"/>
  <c r="I65" i="40"/>
  <c r="J65" i="40"/>
  <c r="H72" i="39"/>
  <c r="I67" i="40"/>
  <c r="M29" i="15"/>
  <c r="F39" i="44"/>
  <c r="J15" i="15"/>
  <c r="F42" i="15"/>
  <c r="E9" i="67"/>
  <c r="F11" i="67"/>
  <c r="F40" i="44"/>
  <c r="M6" i="15"/>
  <c r="M9" i="15"/>
  <c r="F45" i="44"/>
  <c r="E10" i="67"/>
  <c r="B10" i="67"/>
  <c r="F12" i="67"/>
  <c r="B8" i="67"/>
  <c r="F40" i="15"/>
  <c r="F28" i="44"/>
  <c r="F9" i="67"/>
  <c r="F46" i="44"/>
  <c r="J17" i="44"/>
  <c r="F41" i="15"/>
  <c r="N5" i="65"/>
  <c r="L47" i="15"/>
  <c r="M27" i="15"/>
  <c r="E8" i="67"/>
  <c r="E14" i="67"/>
  <c r="F9" i="44"/>
  <c r="F38" i="44"/>
  <c r="F16" i="15"/>
  <c r="F37" i="15"/>
  <c r="B13" i="67"/>
  <c r="F15" i="44"/>
  <c r="M28" i="44"/>
  <c r="M24" i="44"/>
  <c r="D21" i="9"/>
  <c r="I3" i="65"/>
  <c r="N6" i="65"/>
  <c r="I7" i="65"/>
  <c r="F8" i="15"/>
  <c r="B14" i="67"/>
  <c r="N7" i="65"/>
  <c r="M8" i="15"/>
  <c r="M28" i="15"/>
  <c r="E29" i="46"/>
  <c r="D5" i="46"/>
  <c r="C33" i="46"/>
  <c r="E33" i="46"/>
  <c r="C34" i="46"/>
  <c r="E34" i="46"/>
  <c r="C35" i="46"/>
  <c r="E35" i="46"/>
  <c r="C36" i="46"/>
  <c r="E36" i="46"/>
  <c r="C37" i="46"/>
  <c r="E37" i="46"/>
  <c r="E41" i="46"/>
  <c r="C41" i="46"/>
  <c r="C38" i="46"/>
  <c r="E38" i="46"/>
  <c r="C39" i="46"/>
  <c r="E39" i="46"/>
  <c r="C26" i="46"/>
  <c r="B2" i="46"/>
  <c r="B4" i="46"/>
  <c r="C21" i="9"/>
  <c r="F8" i="67"/>
  <c r="B11" i="67"/>
  <c r="M26" i="15"/>
  <c r="E13" i="67"/>
  <c r="F38" i="15"/>
  <c r="F13" i="67"/>
  <c r="M11" i="44"/>
  <c r="F43" i="15"/>
  <c r="F6" i="15"/>
  <c r="L48" i="44"/>
  <c r="I5" i="65"/>
  <c r="D20" i="9"/>
  <c r="E12" i="67"/>
  <c r="F14" i="67"/>
  <c r="M8" i="44"/>
  <c r="J5" i="65"/>
  <c r="N4" i="65"/>
  <c r="J7" i="65"/>
  <c r="N3" i="65"/>
  <c r="B12" i="67"/>
  <c r="J6" i="65"/>
  <c r="F10" i="44"/>
  <c r="J4" i="65"/>
  <c r="F26" i="15"/>
  <c r="L49" i="44"/>
  <c r="F13" i="15"/>
  <c r="M22" i="15"/>
  <c r="F8" i="44"/>
  <c r="B3" i="46"/>
  <c r="C20" i="9"/>
  <c r="F7" i="15"/>
  <c r="F10" i="67"/>
  <c r="J36" i="15"/>
  <c r="F9" i="15"/>
  <c r="F18" i="44"/>
  <c r="F43" i="44"/>
  <c r="M23" i="15"/>
  <c r="L48" i="15"/>
  <c r="M25" i="44"/>
  <c r="C19" i="9"/>
  <c r="I6" i="65"/>
  <c r="D19" i="9"/>
  <c r="B9" i="67"/>
  <c r="F11" i="44"/>
  <c r="F36" i="15"/>
  <c r="M29" i="44"/>
  <c r="M31" i="44"/>
  <c r="J3" i="65"/>
  <c r="E11" i="67"/>
  <c r="M26" i="44"/>
  <c r="M30" i="44"/>
  <c r="M10" i="44"/>
  <c r="M24" i="15"/>
  <c r="G17" i="46"/>
  <c r="C31" i="43"/>
  <c r="Y11" i="46"/>
  <c r="Y13" i="46"/>
  <c r="F101" i="46"/>
  <c r="M101" i="46"/>
  <c r="M107" i="46"/>
  <c r="AC11" i="46"/>
  <c r="AC13" i="46"/>
  <c r="AJ11" i="46"/>
  <c r="AJ13" i="46"/>
  <c r="C101" i="46"/>
  <c r="J101" i="46"/>
  <c r="N104" i="45"/>
  <c r="Z7" i="46"/>
  <c r="AA11" i="46"/>
  <c r="AA13" i="46"/>
  <c r="AF11" i="46"/>
  <c r="AF13" i="46"/>
  <c r="H22" i="46"/>
  <c r="H101" i="46"/>
  <c r="D101" i="46"/>
  <c r="I101" i="46"/>
  <c r="N101" i="46"/>
  <c r="AD11" i="46"/>
  <c r="AD13" i="46"/>
  <c r="G101" i="46"/>
  <c r="B113" i="46"/>
  <c r="L101" i="46"/>
  <c r="E101" i="46"/>
  <c r="K101" i="46"/>
  <c r="AG11" i="46"/>
  <c r="AG13" i="46"/>
  <c r="Z11" i="46"/>
  <c r="Z13" i="46"/>
  <c r="AH11" i="46"/>
  <c r="AH13" i="46"/>
  <c r="AI11" i="46"/>
  <c r="AI13" i="46"/>
  <c r="AE11" i="46"/>
  <c r="AE13" i="46"/>
  <c r="AB11" i="46"/>
  <c r="AB13" i="46"/>
  <c r="F33" i="12"/>
  <c r="C34" i="12"/>
  <c r="D33" i="12"/>
  <c r="H16" i="1"/>
  <c r="E12" i="6"/>
  <c r="E15" i="6"/>
  <c r="E11" i="6"/>
  <c r="F105" i="46"/>
  <c r="F104" i="4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H71" i="46"/>
  <c r="H75" i="46"/>
  <c r="H72" i="46"/>
  <c r="H77" i="46"/>
  <c r="H70" i="46"/>
  <c r="H73" i="46"/>
  <c r="H74" i="46"/>
  <c r="H69" i="46"/>
  <c r="H76" i="46"/>
  <c r="F28" i="15"/>
  <c r="C28" i="15"/>
  <c r="F30" i="44"/>
  <c r="C30" i="44"/>
  <c r="M20" i="44"/>
  <c r="F70" i="9"/>
  <c r="F32" i="15"/>
  <c r="F59" i="15"/>
  <c r="F72" i="9"/>
  <c r="F66" i="9"/>
  <c r="P72" i="9"/>
  <c r="O9" i="1"/>
  <c r="P9" i="1"/>
  <c r="O14" i="1"/>
  <c r="K16" i="1"/>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I102" i="46"/>
  <c r="I109" i="46"/>
  <c r="O8" i="1"/>
  <c r="P8" i="1"/>
  <c r="O6" i="1"/>
  <c r="BL5" i="3"/>
  <c r="E14" i="6"/>
  <c r="E13" i="6"/>
  <c r="E10" i="6"/>
  <c r="M105" i="46"/>
  <c r="M102" i="46"/>
  <c r="M106" i="46"/>
  <c r="I106" i="46"/>
  <c r="M109" i="46"/>
  <c r="M103" i="46"/>
  <c r="AP16" i="1"/>
  <c r="F22" i="11"/>
  <c r="G16" i="1"/>
  <c r="H12" i="39"/>
  <c r="C18" i="11"/>
  <c r="K77" i="9"/>
  <c r="K79" i="9"/>
  <c r="K81" i="9"/>
  <c r="E12" i="52"/>
  <c r="B15" i="52"/>
  <c r="F31" i="15"/>
  <c r="F33" i="44"/>
  <c r="D8" i="59"/>
  <c r="C7" i="59"/>
  <c r="E9" i="59"/>
  <c r="E8" i="59"/>
  <c r="E7" i="59"/>
  <c r="E6" i="59"/>
  <c r="E5" i="59"/>
  <c r="B9" i="59"/>
  <c r="B8" i="59"/>
  <c r="B7" i="59"/>
  <c r="B6" i="59"/>
  <c r="B5" i="59"/>
  <c r="B4" i="52"/>
  <c r="B7" i="52"/>
  <c r="E14" i="52"/>
  <c r="E6" i="52"/>
  <c r="E11" i="52"/>
  <c r="E9" i="52"/>
  <c r="E7" i="52"/>
  <c r="B9" i="52"/>
  <c r="E4" i="52"/>
  <c r="E13" i="52"/>
  <c r="B8" i="52"/>
  <c r="E10" i="52"/>
  <c r="B10" i="52"/>
  <c r="B6" i="52"/>
  <c r="B5" i="52"/>
  <c r="B11" i="52"/>
  <c r="B12" i="52"/>
  <c r="E8" i="52"/>
  <c r="B14" i="52"/>
  <c r="E5" i="52"/>
  <c r="Y3" i="59"/>
  <c r="Z3" i="59"/>
  <c r="D9" i="59"/>
  <c r="P22" i="46"/>
  <c r="P24" i="46"/>
  <c r="B68" i="40"/>
  <c r="P23" i="46"/>
  <c r="P25" i="46"/>
  <c r="B73" i="39"/>
  <c r="P21" i="46"/>
  <c r="L44" i="9"/>
  <c r="G20" i="9"/>
  <c r="G21" i="9"/>
  <c r="L43" i="9"/>
  <c r="G19" i="9"/>
  <c r="D22" i="9"/>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F58" i="15"/>
  <c r="M7" i="15"/>
  <c r="M17" i="15"/>
  <c r="I55" i="44"/>
  <c r="J54" i="44"/>
  <c r="L57" i="44"/>
  <c r="J58" i="44"/>
  <c r="J56" i="44"/>
  <c r="J59" i="44"/>
  <c r="Q52" i="44"/>
  <c r="J60" i="44"/>
  <c r="J61" i="44"/>
  <c r="Q50" i="44"/>
  <c r="Q72" i="15"/>
  <c r="F63" i="15"/>
  <c r="C4" i="65"/>
  <c r="B39" i="1"/>
  <c r="C17" i="15"/>
  <c r="C19" i="44"/>
  <c r="C18" i="44"/>
  <c r="E3" i="65"/>
  <c r="C16" i="15"/>
  <c r="E2" i="65"/>
  <c r="D7" i="59"/>
  <c r="C6" i="5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P6" i="1"/>
  <c r="C13" i="43"/>
  <c r="L16" i="1"/>
  <c r="N16" i="1"/>
  <c r="C29" i="43"/>
  <c r="E61" i="40"/>
  <c r="E66" i="39"/>
  <c r="U12" i="39"/>
  <c r="AB12" i="39"/>
  <c r="M19" i="44"/>
  <c r="C19" i="46"/>
  <c r="B40" i="1"/>
  <c r="F17" i="11"/>
  <c r="C17" i="11"/>
  <c r="C19" i="11"/>
  <c r="F13" i="44"/>
  <c r="C12" i="44"/>
  <c r="C7" i="44"/>
  <c r="C34" i="44"/>
  <c r="T6" i="1"/>
  <c r="C16" i="44"/>
  <c r="C17" i="44"/>
  <c r="C20" i="44"/>
  <c r="C21" i="44"/>
  <c r="C22" i="44"/>
  <c r="F26" i="44"/>
  <c r="C25" i="44"/>
  <c r="C28" i="44"/>
  <c r="C26" i="44"/>
  <c r="C31" i="44"/>
  <c r="C35" i="44"/>
  <c r="I19" i="6"/>
  <c r="H19" i="6"/>
  <c r="R19" i="6"/>
  <c r="R6" i="1"/>
  <c r="F37" i="44"/>
  <c r="C36" i="44"/>
  <c r="C33" i="44"/>
  <c r="C38" i="44"/>
  <c r="C15" i="44"/>
  <c r="C39" i="44"/>
  <c r="C40" i="44"/>
  <c r="C32" i="44"/>
  <c r="C42" i="44"/>
  <c r="C43" i="44"/>
  <c r="C44" i="44"/>
  <c r="C45" i="44"/>
  <c r="L52" i="44"/>
  <c r="L58" i="44"/>
  <c r="L61" i="44"/>
  <c r="L47" i="44"/>
  <c r="Q62" i="15"/>
  <c r="Q75" i="15"/>
  <c r="C32" i="9"/>
  <c r="N43" i="9"/>
  <c r="M13" i="44"/>
  <c r="J12" i="44"/>
  <c r="J7" i="44"/>
  <c r="F11" i="15"/>
  <c r="M11" i="15"/>
  <c r="J10" i="15"/>
  <c r="Q75" i="44"/>
  <c r="Q62" i="44"/>
  <c r="C48" i="15"/>
  <c r="C32" i="15"/>
  <c r="P28" i="46"/>
  <c r="O28" i="46"/>
  <c r="N28" i="46"/>
  <c r="F1" i="44"/>
  <c r="Q54" i="44"/>
  <c r="J20" i="44"/>
  <c r="Q63" i="44"/>
  <c r="Q76" i="44"/>
  <c r="F1" i="15"/>
  <c r="Q53" i="15"/>
  <c r="Q61" i="15"/>
  <c r="Q74" i="15"/>
  <c r="J6" i="15"/>
  <c r="D6" i="59"/>
  <c r="C5" i="59"/>
  <c r="T12" i="1"/>
  <c r="C115"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C13" i="12"/>
  <c r="C17" i="12"/>
  <c r="C15" i="12"/>
  <c r="W12" i="39"/>
  <c r="M27" i="6"/>
  <c r="D16" i="12"/>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c r="G36" i="46"/>
  <c r="I36" i="46"/>
  <c r="T3" i="46"/>
  <c r="V3" i="46"/>
  <c r="T16" i="46"/>
  <c r="V16" i="46"/>
  <c r="T8" i="46"/>
  <c r="V8" i="46"/>
  <c r="T9" i="46"/>
  <c r="V9" i="46"/>
  <c r="G35" i="46"/>
  <c r="I35" i="46"/>
  <c r="T13" i="46"/>
  <c r="V13" i="46"/>
  <c r="T5" i="46"/>
  <c r="V5" i="46"/>
  <c r="T11" i="46"/>
  <c r="V11" i="46"/>
  <c r="G37" i="46"/>
  <c r="I37" i="46"/>
  <c r="T15" i="46"/>
  <c r="V15" i="46"/>
  <c r="T2" i="46"/>
  <c r="V2" i="46"/>
  <c r="T12" i="46"/>
  <c r="V12" i="46"/>
  <c r="T6" i="46"/>
  <c r="V6" i="46"/>
  <c r="J18" i="15"/>
  <c r="J5" i="15"/>
  <c r="J28" i="44"/>
  <c r="J31" i="44"/>
  <c r="J26" i="44"/>
  <c r="O43" i="9"/>
  <c r="C42" i="9"/>
  <c r="C35" i="9"/>
  <c r="F42" i="9"/>
  <c r="C34" i="9"/>
  <c r="O38" i="9"/>
  <c r="C33" i="9"/>
  <c r="C52" i="15"/>
  <c r="C47" i="15"/>
  <c r="C10" i="15"/>
  <c r="C5" i="15"/>
  <c r="C20" i="11"/>
  <c r="C21" i="11"/>
  <c r="C22" i="11"/>
  <c r="C23" i="11"/>
  <c r="B2" i="11"/>
  <c r="F21" i="43"/>
  <c r="C23" i="43"/>
  <c r="D21" i="43"/>
  <c r="F24" i="15"/>
  <c r="C24" i="15"/>
  <c r="F26" i="12"/>
  <c r="C14" i="15"/>
  <c r="D5" i="59"/>
  <c r="M20" i="46"/>
  <c r="C15" i="15"/>
  <c r="C18" i="15"/>
  <c r="M67" i="40"/>
  <c r="N65" i="40"/>
  <c r="N67" i="40"/>
  <c r="H9" i="40"/>
  <c r="F9" i="40"/>
  <c r="T10" i="46"/>
  <c r="V10" i="46"/>
  <c r="T14" i="46"/>
  <c r="V14" i="46"/>
  <c r="T7" i="46"/>
  <c r="V7" i="46"/>
  <c r="G34" i="46"/>
  <c r="I34" i="46"/>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3" i="46"/>
  <c r="I33" i="46"/>
  <c r="G39" i="46"/>
  <c r="I39" i="46"/>
  <c r="C14" i="12"/>
  <c r="C18" i="43"/>
  <c r="C19" i="43"/>
  <c r="C25" i="43"/>
  <c r="C24" i="43"/>
  <c r="S19" i="6"/>
  <c r="S27" i="6"/>
  <c r="I27" i="6"/>
  <c r="C7" i="66"/>
  <c r="C6" i="66"/>
  <c r="C8" i="66"/>
  <c r="C22" i="4"/>
  <c r="D10" i="6"/>
  <c r="H21" i="6"/>
  <c r="D6" i="6"/>
  <c r="D14" i="6"/>
  <c r="H23" i="6"/>
  <c r="F45" i="9"/>
  <c r="E68" i="39"/>
  <c r="D12" i="6"/>
  <c r="H25" i="6"/>
  <c r="D5" i="6"/>
  <c r="H22" i="6"/>
  <c r="H26" i="6"/>
  <c r="F46" i="9"/>
  <c r="E63" i="40"/>
  <c r="H24" i="6"/>
  <c r="E45" i="9"/>
  <c r="K38" i="9"/>
  <c r="C14" i="66"/>
  <c r="B2" i="66"/>
  <c r="E44" i="9"/>
  <c r="D13" i="6"/>
  <c r="D8" i="6"/>
  <c r="F44" i="9"/>
  <c r="R24" i="6"/>
  <c r="D11" i="6"/>
  <c r="D9" i="6"/>
  <c r="D15" i="6"/>
  <c r="E46" i="9"/>
  <c r="G22" i="9"/>
  <c r="D13" i="11"/>
  <c r="C13" i="11"/>
  <c r="D22" i="12"/>
  <c r="C22" i="12"/>
  <c r="C20" i="12"/>
  <c r="D19" i="12"/>
  <c r="C19" i="12"/>
  <c r="C16" i="12"/>
  <c r="C65" i="15"/>
  <c r="C59" i="15"/>
  <c r="N38" i="9"/>
  <c r="K28" i="9"/>
  <c r="D42" i="9"/>
  <c r="Q5" i="54"/>
  <c r="B47" i="63"/>
  <c r="R5" i="54"/>
  <c r="B48" i="63"/>
  <c r="D14" i="66"/>
  <c r="D63" i="9"/>
  <c r="N68" i="9"/>
  <c r="B5" i="11"/>
  <c r="B3" i="11"/>
  <c r="B4" i="11"/>
  <c r="C27" i="12"/>
  <c r="D26" i="12"/>
  <c r="C32" i="12"/>
  <c r="D30" i="12"/>
  <c r="K26" i="9"/>
  <c r="K25" i="9"/>
  <c r="J26" i="15"/>
  <c r="J29" i="15"/>
  <c r="J24" i="15"/>
  <c r="C38" i="15"/>
  <c r="E42" i="9"/>
  <c r="P5" i="54"/>
  <c r="B46" i="63"/>
  <c r="M38" i="9"/>
  <c r="K27" i="9"/>
  <c r="Q58" i="44"/>
  <c r="Q67" i="44"/>
  <c r="Q49" i="44"/>
  <c r="Q55" i="44"/>
  <c r="F7" i="67"/>
  <c r="C19" i="15"/>
  <c r="C20" i="15"/>
  <c r="S9" i="40"/>
  <c r="AA9" i="40"/>
  <c r="R44" i="40"/>
  <c r="AB9" i="40"/>
  <c r="T44" i="40"/>
  <c r="G44" i="40"/>
  <c r="U9" i="40"/>
  <c r="H7" i="34"/>
  <c r="U7" i="34"/>
  <c r="J9" i="39"/>
  <c r="W9" i="39"/>
  <c r="J9" i="40"/>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C18" i="12"/>
  <c r="C23" i="12"/>
  <c r="C35" i="12"/>
  <c r="C33" i="12"/>
  <c r="C22" i="43"/>
  <c r="C21" i="43"/>
  <c r="C28" i="43"/>
  <c r="C30" i="43"/>
  <c r="C32" i="43"/>
  <c r="B2" i="43"/>
  <c r="B4" i="43"/>
  <c r="D16" i="6"/>
  <c r="R23" i="6"/>
  <c r="R25" i="6"/>
  <c r="D7" i="66"/>
  <c r="D6" i="66"/>
  <c r="D8" i="66"/>
  <c r="H27" i="6"/>
  <c r="R26" i="6"/>
  <c r="A6" i="64"/>
  <c r="A20" i="64"/>
  <c r="A6" i="51"/>
  <c r="B7" i="63"/>
  <c r="A20" i="51"/>
  <c r="B15" i="63"/>
  <c r="N5" i="54"/>
  <c r="B43" i="63"/>
  <c r="R22" i="6"/>
  <c r="R21" i="6"/>
  <c r="E4" i="67"/>
  <c r="D77" i="9"/>
  <c r="N75" i="9"/>
  <c r="D73" i="9"/>
  <c r="N73" i="9"/>
  <c r="C111" i="9"/>
  <c r="C104" i="9"/>
  <c r="C96" i="9"/>
  <c r="C91" i="9"/>
  <c r="C82" i="9"/>
  <c r="C81" i="9"/>
  <c r="C85" i="9"/>
  <c r="C86" i="9"/>
  <c r="D72" i="9"/>
  <c r="C103" i="9"/>
  <c r="D70" i="9"/>
  <c r="C90" i="9"/>
  <c r="D71" i="9"/>
  <c r="D66" i="9"/>
  <c r="N72" i="9"/>
  <c r="B5" i="66"/>
  <c r="E14" i="66"/>
  <c r="F14" i="66"/>
  <c r="B7" i="67"/>
  <c r="E7" i="67"/>
  <c r="Q72" i="44"/>
  <c r="AC9" i="39"/>
  <c r="V49" i="39"/>
  <c r="I49" i="39"/>
  <c r="I53" i="39"/>
  <c r="J53" i="39"/>
  <c r="C23" i="15"/>
  <c r="C26" i="15"/>
  <c r="E44" i="40"/>
  <c r="R45" i="40"/>
  <c r="W9" i="40"/>
  <c r="AC9" i="40"/>
  <c r="V44" i="40"/>
  <c r="I44" i="40"/>
  <c r="G49" i="40"/>
  <c r="H49" i="40"/>
  <c r="G48" i="40"/>
  <c r="H48" i="40"/>
  <c r="G52" i="33"/>
  <c r="H52" i="33"/>
  <c r="G53" i="33"/>
  <c r="H53" i="33"/>
  <c r="R50" i="34"/>
  <c r="E49" i="34"/>
  <c r="R49" i="33"/>
  <c r="E48" i="33"/>
  <c r="S9" i="39"/>
  <c r="AA9" i="39"/>
  <c r="R49" i="39"/>
  <c r="R49" i="21"/>
  <c r="E48" i="21"/>
  <c r="W7" i="34"/>
  <c r="AC7" i="34"/>
  <c r="V49" i="34"/>
  <c r="I49" i="34"/>
  <c r="U9" i="39"/>
  <c r="AB9" i="39"/>
  <c r="T49" i="39"/>
  <c r="G49" i="39"/>
  <c r="G53" i="34"/>
  <c r="H53" i="34"/>
  <c r="B3" i="43"/>
  <c r="B5" i="43"/>
  <c r="R27" i="6"/>
  <c r="C28" i="12"/>
  <c r="C26" i="12"/>
  <c r="C31" i="12"/>
  <c r="C30" i="12"/>
  <c r="C36" i="12"/>
  <c r="B2" i="12"/>
  <c r="B3" i="12"/>
  <c r="E3" i="67"/>
  <c r="C97" i="9"/>
  <c r="C98" i="9"/>
  <c r="E98" i="9"/>
  <c r="E99" i="9"/>
  <c r="Q51" i="44"/>
  <c r="B2" i="67"/>
  <c r="C113" i="9"/>
  <c r="C114" i="9"/>
  <c r="E114" i="9"/>
  <c r="E115" i="9"/>
  <c r="D5" i="66"/>
  <c r="C5" i="66"/>
  <c r="M21" i="15"/>
  <c r="M23" i="44"/>
  <c r="F35" i="15"/>
  <c r="J16" i="44"/>
  <c r="J24" i="44"/>
  <c r="J21" i="44"/>
  <c r="C29" i="15"/>
  <c r="Q50" i="15"/>
  <c r="J22" i="44"/>
  <c r="J19" i="44"/>
  <c r="J20" i="15"/>
  <c r="C34" i="15"/>
  <c r="F62" i="15"/>
  <c r="C61" i="15"/>
  <c r="R16" i="1"/>
  <c r="B4" i="12"/>
  <c r="C33" i="15"/>
  <c r="C31" i="15"/>
  <c r="I48" i="40"/>
  <c r="J48" i="40"/>
  <c r="I49" i="40"/>
  <c r="J49" i="40"/>
  <c r="C45" i="40"/>
  <c r="C44" i="40"/>
  <c r="E49" i="40"/>
  <c r="F49" i="40"/>
  <c r="E48" i="40"/>
  <c r="F48" i="40"/>
  <c r="I53" i="34"/>
  <c r="J53" i="34"/>
  <c r="I54" i="34"/>
  <c r="J54" i="34"/>
  <c r="E53" i="21"/>
  <c r="F53" i="21"/>
  <c r="E52" i="21"/>
  <c r="F52" i="21"/>
  <c r="I53" i="21"/>
  <c r="J53" i="21"/>
  <c r="R50" i="39"/>
  <c r="E49" i="39"/>
  <c r="C13" i="15"/>
  <c r="C37" i="15"/>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5" i="6"/>
  <c r="B5" i="12"/>
  <c r="C99" i="9"/>
  <c r="J15" i="44"/>
  <c r="J25" i="44"/>
  <c r="C115" i="9"/>
  <c r="D76" i="9"/>
  <c r="D74" i="9"/>
  <c r="N74" i="9"/>
  <c r="O77" i="9"/>
  <c r="O78" i="9"/>
  <c r="B3" i="67"/>
  <c r="B4" i="67"/>
  <c r="J59" i="15"/>
  <c r="J60" i="15"/>
  <c r="Q49" i="15"/>
  <c r="C56" i="15"/>
  <c r="C60" i="15"/>
  <c r="J14" i="15"/>
  <c r="J22" i="15"/>
  <c r="J19" i="15"/>
  <c r="J17" i="15"/>
  <c r="C36" i="15"/>
  <c r="C30" i="15"/>
  <c r="C39" i="15"/>
  <c r="Q70" i="15"/>
  <c r="C58" i="15"/>
  <c r="J18" i="44"/>
  <c r="J27" i="44"/>
  <c r="J13" i="15"/>
  <c r="J23" i="15"/>
  <c r="B56" i="40"/>
  <c r="F56" i="40"/>
  <c r="B61" i="40"/>
  <c r="F61" i="40"/>
  <c r="B60" i="40"/>
  <c r="F60" i="40"/>
  <c r="B55" i="40"/>
  <c r="F55" i="40"/>
  <c r="B53" i="40"/>
  <c r="F53" i="40"/>
  <c r="B57" i="40"/>
  <c r="F57" i="40"/>
  <c r="B62" i="40"/>
  <c r="F62" i="40"/>
  <c r="B54" i="40"/>
  <c r="F54" i="40"/>
  <c r="B59" i="40"/>
  <c r="F59" i="40"/>
  <c r="B58" i="40"/>
  <c r="F58" i="40"/>
  <c r="F63" i="40"/>
  <c r="B2" i="40"/>
  <c r="L51" i="15"/>
  <c r="L57" i="15"/>
  <c r="L60" i="15"/>
  <c r="L46" i="15"/>
  <c r="Q71" i="15"/>
  <c r="C55" i="15"/>
  <c r="C64" i="15"/>
  <c r="J35" i="15"/>
  <c r="C50" i="39"/>
  <c r="C49" i="39"/>
  <c r="E53" i="39"/>
  <c r="F53" i="39"/>
  <c r="E54" i="39"/>
  <c r="F54" i="39"/>
  <c r="I54" i="39"/>
  <c r="J54" i="39"/>
  <c r="Q77" i="9"/>
  <c r="O79" i="9"/>
  <c r="O81" i="9"/>
  <c r="C63" i="15"/>
  <c r="Q71" i="44"/>
  <c r="Q70" i="44"/>
  <c r="J16" i="15"/>
  <c r="J25" i="15"/>
  <c r="B3" i="40"/>
  <c r="B4" i="40"/>
  <c r="B5" i="40"/>
  <c r="C40" i="15"/>
  <c r="Q57" i="15"/>
  <c r="Q69" i="15"/>
  <c r="J39" i="15"/>
  <c r="J40" i="15"/>
  <c r="C57" i="15"/>
  <c r="C66" i="15"/>
  <c r="C67" i="15"/>
  <c r="C70" i="15"/>
  <c r="B59" i="39"/>
  <c r="F59" i="39"/>
  <c r="B63" i="39"/>
  <c r="F63" i="39"/>
  <c r="B66" i="39"/>
  <c r="F66" i="39"/>
  <c r="B67" i="39"/>
  <c r="F67" i="39"/>
  <c r="B62" i="39"/>
  <c r="F62" i="39"/>
  <c r="B65" i="39"/>
  <c r="F65" i="39"/>
  <c r="B64" i="39"/>
  <c r="F64" i="39"/>
  <c r="B61" i="39"/>
  <c r="F61" i="39"/>
  <c r="B60" i="39"/>
  <c r="F60" i="39"/>
  <c r="B58" i="39"/>
  <c r="F58" i="39"/>
  <c r="F68" i="39"/>
  <c r="B2" i="39"/>
  <c r="B2" i="44"/>
  <c r="B3" i="44"/>
  <c r="O80" i="9"/>
  <c r="Q67" i="15"/>
  <c r="Q68" i="15"/>
  <c r="J42" i="15"/>
  <c r="J43" i="15"/>
  <c r="B2" i="15"/>
  <c r="B3" i="15"/>
  <c r="C43" i="15"/>
  <c r="Q66" i="15"/>
  <c r="Q48" i="15"/>
  <c r="Q54" i="15"/>
  <c r="C46" i="15"/>
  <c r="B4" i="39"/>
  <c r="B5" i="39"/>
  <c r="B3" i="39"/>
  <c r="B4" i="44"/>
  <c r="B5" i="44"/>
  <c r="Q69" i="44"/>
  <c r="Q58" i="15"/>
  <c r="Q63" i="15"/>
  <c r="Q76" i="15"/>
  <c r="Q68" i="44"/>
  <c r="Q77" i="44"/>
  <c r="Q59" i="44"/>
  <c r="Q64" i="44"/>
  <c r="D113" i="46"/>
  <c r="J22" i="46"/>
  <c r="D4" i="46"/>
  <c r="E30" i="46"/>
  <c r="C27"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<sst xmlns="http://schemas.openxmlformats.org/spreadsheetml/2006/main" count="7176" uniqueCount="3025">
  <si>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</si>
  <si>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</si>
  <si>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</si>
  <si>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</si>
  <si>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</si>
  <si>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</si>
  <si>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</si>
  <si>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</si>
  <si>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</si>
  <si>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</si>
  <si>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</si>
  <si>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</si>
  <si>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</si>
  <si>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</si>
  <si>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</si>
  <si>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</si>
  <si>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</si>
  <si>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</si>
  <si>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</si>
  <si>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</si>
  <si>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</si>
  <si>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</si>
  <si>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</si>
  <si>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</si>
  <si>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</si>
  <si>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</si>
  <si>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</si>
  <si>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</si>
  <si>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</si>
  <si>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</si>
  <si>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</si>
  <si>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</si>
  <si>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</si>
  <si>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</si>
  <si>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</si>
  <si>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</si>
  <si>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</si>
  <si>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</si>
  <si>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</si>
  <si>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</si>
  <si>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</si>
  <si>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</si>
  <si>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</si>
  <si>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</si>
  <si>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</si>
  <si>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</si>
  <si>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</si>
  <si>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</si>
  <si>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</si>
  <si>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</si>
  <si>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</si>
  <si>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</si>
  <si>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</si>
  <si>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</si>
  <si>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</si>
  <si>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</si>
  <si>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</si>
  <si>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</si>
  <si>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</si>
  <si>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</si>
  <si>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</si>
  <si>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</si>
  <si>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</si>
  <si>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</si>
  <si>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</si>
  <si>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</si>
  <si>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</si>
  <si>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</si>
  <si>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</si>
  <si>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</si>
  <si>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</si>
  <si>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</si>
  <si>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</si>
  <si>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</si>
  <si>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</si>
  <si>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</si>
  <si>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</si>
  <si>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</si>
  <si>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</si>
  <si>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</si>
  <si>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</si>
  <si>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</si>
  <si>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</si>
  <si>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</si>
  <si>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</si>
  <si>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</si>
  <si>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</si>
  <si>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</si>
  <si>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</si>
  <si>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</si>
  <si>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</si>
  <si>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</si>
  <si>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</si>
  <si>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</si>
  <si>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</si>
  <si>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</si>
  <si>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</si>
  <si>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</si>
  <si>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</si>
  <si>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</si>
  <si>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</si>
  <si>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</si>
  <si>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</si>
  <si>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</si>
  <si>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</si>
  <si>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</si>
  <si>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</si>
  <si>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</si>
  <si>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</si>
  <si>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</si>
  <si>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</si>
  <si>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</si>
  <si>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</si>
  <si>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</si>
  <si>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</si>
  <si>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</si>
  <si>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</si>
  <si>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</si>
  <si>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</si>
  <si>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</si>
  <si>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</si>
  <si>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</si>
  <si>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</si>
  <si>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</si>
  <si>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</si>
  <si>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</si>
  <si>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</si>
  <si>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</si>
  <si>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</si>
  <si>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</si>
  <si>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</si>
  <si>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</si>
  <si>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</si>
  <si>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</si>
  <si>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</si>
  <si>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</si>
  <si>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</si>
  <si>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</si>
  <si>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</si>
  <si>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</si>
  <si>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</si>
  <si>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</si>
  <si>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</si>
  <si>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</si>
  <si>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</si>
  <si>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</si>
  <si>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</si>
  <si>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</si>
  <si>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</si>
  <si>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</si>
  <si>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</si>
  <si>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</si>
  <si>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</si>
  <si>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</si>
  <si>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</si>
  <si>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</si>
  <si>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</si>
  <si>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</si>
  <si>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</si>
  <si>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</si>
  <si>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</si>
  <si>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</si>
  <si>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</si>
  <si>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</si>
  <si>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</si>
  <si>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</si>
  <si>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</si>
  <si>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</si>
  <si>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</si>
  <si>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</si>
  <si>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</si>
  <si>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</si>
  <si>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</si>
  <si>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</si>
  <si>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</si>
  <si>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</si>
  <si>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</si>
  <si>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</si>
  <si>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</si>
  <si>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</si>
  <si>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</si>
  <si>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</si>
  <si>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</si>
  <si>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</si>
  <si>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</si>
  <si>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</si>
  <si>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</si>
  <si>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</si>
  <si>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</si>
  <si>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</si>
  <si>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</si>
  <si>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</si>
  <si>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</si>
  <si>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</si>
  <si>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</si>
  <si>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</si>
  <si>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</si>
  <si>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</si>
  <si>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</si>
  <si>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</si>
  <si>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</si>
  <si>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</si>
  <si>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</si>
  <si>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</si>
  <si>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</si>
  <si>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</si>
  <si>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</si>
  <si>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</si>
  <si>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</si>
  <si>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</si>
  <si>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</si>
  <si>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</si>
  <si>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</si>
  <si>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</si>
  <si>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</si>
  <si>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</si>
  <si>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</si>
  <si>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</si>
  <si>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</si>
  <si>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</si>
  <si>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</si>
  <si>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</si>
  <si>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</si>
  <si>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</si>
  <si>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</si>
  <si>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</si>
  <si>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</si>
  <si>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</si>
  <si>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</si>
  <si>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</si>
  <si>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</si>
  <si>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</si>
  <si>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</si>
  <si>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</si>
  <si>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</si>
  <si>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</si>
  <si>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</si>
  <si>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</si>
  <si>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</si>
  <si>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</si>
  <si>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</si>
  <si>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</si>
  <si>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</si>
  <si>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</si>
  <si>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</si>
  <si>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</si>
  <si>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</si>
  <si>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</si>
  <si>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</si>
  <si>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</si>
  <si>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</si>
  <si>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</si>
  <si>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</si>
  <si>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</si>
  <si>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</si>
  <si>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</si>
  <si>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</si>
  <si>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</si>
  <si>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</si>
  <si>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</si>
  <si>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</si>
  <si>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</si>
  <si>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</si>
  <si>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</si>
  <si>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</si>
  <si>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</si>
  <si>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</si>
  <si>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</si>
  <si>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</si>
  <si>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</si>
  <si>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</si>
  <si>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</si>
  <si>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</si>
  <si>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</si>
  <si>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</si>
  <si>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</si>
  <si>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</si>
  <si>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</si>
  <si>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</si>
  <si>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</si>
  <si>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</si>
  <si>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</si>
  <si>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</si>
  <si>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</si>
  <si>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</si>
  <si>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</si>
  <si>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</si>
  <si>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</si>
  <si>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</si>
  <si>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</si>
  <si>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</si>
  <si>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</si>
  <si>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</si>
  <si>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</si>
  <si>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</si>
  <si>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</si>
  <si>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</si>
  <si>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</si>
  <si>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</si>
  <si>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</si>
  <si>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</si>
  <si>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</si>
  <si>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</si>
  <si>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</si>
  <si>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</si>
  <si>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</si>
  <si>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</si>
  <si>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</si>
  <si>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</si>
  <si>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</si>
  <si>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</si>
  <si>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</si>
  <si>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</si>
  <si>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</si>
  <si>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</si>
  <si>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</si>
  <si>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</si>
  <si>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</si>
  <si>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</si>
  <si>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</si>
  <si>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</si>
  <si>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</si>
  <si>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</si>
  <si>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</si>
  <si>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</si>
  <si>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</si>
  <si>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</si>
  <si>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</si>
  <si>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</si>
  <si>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</si>
  <si>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</si>
  <si>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</si>
  <si>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</si>
  <si>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</si>
  <si>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</si>
  <si>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</si>
  <si>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</si>
  <si>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</si>
  <si>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</si>
  <si>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</si>
  <si>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</si>
  <si>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</si>
  <si>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</si>
  <si>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</si>
  <si>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</si>
  <si>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</si>
  <si>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</si>
  <si>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</si>
  <si>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</si>
  <si>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</si>
  <si>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</si>
  <si>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</si>
  <si>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</si>
  <si>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</si>
  <si>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</si>
  <si>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</si>
  <si>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</si>
  <si>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</si>
  <si>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</si>
  <si>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</si>
  <si>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</si>
  <si>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</si>
  <si>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</si>
  <si>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</si>
  <si>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</si>
  <si>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</si>
  <si>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</si>
  <si>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</si>
  <si>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</si>
  <si>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</si>
  <si>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</si>
  <si>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</si>
  <si>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</si>
  <si>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</si>
  <si>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</si>
  <si>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</si>
  <si>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</si>
  <si>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</si>
  <si>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</si>
  <si>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</si>
  <si>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</si>
  <si>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</si>
  <si>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</si>
  <si>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</si>
  <si>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</si>
  <si>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</si>
  <si>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</si>
  <si>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</si>
  <si>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</si>
  <si>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</si>
  <si>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</si>
  <si>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</si>
  <si>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</si>
  <si>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</si>
  <si>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</si>
  <si>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</si>
  <si>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</si>
  <si>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</si>
  <si>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</si>
  <si>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</si>
  <si>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</si>
  <si>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</si>
  <si>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</si>
  <si>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</si>
  <si>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</si>
  <si>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</si>
  <si>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</si>
  <si>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</si>
  <si>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</si>
  <si>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</si>
  <si>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</si>
  <si>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</si>
  <si>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</si>
  <si>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</si>
  <si>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</si>
  <si>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</si>
  <si>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</si>
  <si>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</si>
  <si>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</si>
  <si>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</si>
  <si>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</si>
  <si>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</si>
  <si>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</si>
  <si>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</si>
  <si>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</si>
  <si>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</si>
  <si>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</si>
  <si>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</si>
  <si>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</si>
  <si>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</si>
  <si>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</si>
  <si>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</si>
  <si>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</si>
  <si>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</si>
  <si>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</si>
  <si>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</si>
  <si>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</si>
  <si>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</si>
  <si>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</si>
  <si>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</si>
  <si>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</si>
  <si>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</si>
  <si>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</si>
  <si>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</si>
  <si>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</si>
  <si>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</si>
  <si>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</si>
  <si>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</si>
  <si>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</si>
  <si>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</si>
  <si>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</si>
  <si>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</si>
  <si>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</si>
  <si>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</si>
  <si>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</si>
  <si>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</si>
  <si>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</si>
  <si>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</si>
  <si>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</si>
  <si>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</si>
  <si>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</si>
  <si>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</si>
  <si>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</si>
  <si>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</si>
  <si>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</si>
  <si>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</si>
  <si>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</si>
  <si>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</si>
  <si>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</si>
  <si>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</si>
  <si>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</si>
  <si>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</si>
  <si>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</si>
  <si>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</si>
  <si>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</si>
  <si>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</si>
  <si>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</si>
  <si>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</si>
  <si>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</si>
  <si>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</si>
  <si>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</si>
  <si>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</si>
  <si>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</si>
  <si>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</si>
  <si>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</si>
  <si>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</si>
  <si>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</si>
  <si>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</si>
  <si>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</si>
  <si>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</si>
  <si>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</si>
  <si>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</si>
  <si>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</si>
  <si>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</si>
  <si>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</si>
  <si>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</si>
  <si>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</si>
  <si>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</si>
  <si>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</si>
  <si>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</si>
  <si>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</si>
  <si>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</si>
  <si>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</si>
  <si>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</si>
  <si>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</si>
  <si>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</si>
  <si>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</si>
  <si>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</si>
  <si>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</si>
  <si>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</si>
  <si>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</si>
  <si>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</si>
  <si>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</si>
  <si>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</si>
  <si>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</si>
  <si>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</si>
  <si>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</si>
  <si>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</si>
  <si>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</si>
  <si>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</si>
  <si>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</si>
  <si>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</si>
  <si>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</si>
  <si>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</si>
  <si>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</si>
  <si>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</si>
  <si>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</si>
  <si>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</si>
  <si>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</si>
  <si>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</si>
  <si>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</si>
  <si>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</si>
  <si>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</si>
  <si>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</si>
  <si>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</si>
  <si>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</si>
  <si>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</si>
  <si>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</si>
  <si>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</si>
  <si>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</si>
  <si>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</si>
  <si>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</si>
  <si>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</si>
  <si>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</si>
  <si>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</si>
  <si>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</si>
  <si>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</si>
  <si>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</si>
  <si>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</si>
  <si>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</si>
  <si>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</si>
  <si>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</si>
  <si>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</si>
  <si>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</si>
  <si>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</si>
  <si>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</si>
  <si>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</si>
  <si>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</si>
  <si>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</si>
  <si>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</si>
  <si>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</si>
  <si>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</si>
  <si>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</si>
  <si>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</si>
  <si>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</si>
  <si>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</si>
  <si>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</si>
  <si>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</si>
  <si>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</si>
  <si>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</si>
  <si>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</si>
  <si>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</si>
  <si>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</si>
  <si>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</si>
  <si>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</si>
  <si>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</si>
  <si>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</si>
  <si>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</si>
  <si>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</si>
  <si>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</si>
  <si>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</si>
  <si>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</si>
  <si>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</si>
  <si>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</si>
  <si>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</si>
  <si>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</si>
  <si>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</si>
  <si>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</si>
  <si>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</si>
  <si>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</si>
  <si>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</si>
  <si>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</si>
  <si>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</si>
  <si>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</si>
  <si>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</si>
  <si>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</si>
  <si>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</si>
  <si>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</si>
  <si>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</si>
  <si>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</si>
  <si>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</si>
  <si>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</si>
  <si>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</si>
  <si>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</si>
  <si>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</si>
  <si>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</si>
  <si>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</si>
  <si>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</si>
  <si>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</si>
  <si>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</si>
  <si>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</si>
  <si>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</si>
  <si>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</si>
  <si>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</si>
  <si>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</si>
  <si>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</si>
  <si>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</si>
  <si>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</si>
  <si>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</si>
  <si>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</si>
  <si>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</si>
  <si>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</si>
  <si>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</si>
  <si>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</si>
  <si>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</si>
  <si>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</si>
  <si>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</si>
  <si>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</si>
  <si>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</si>
  <si>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</si>
  <si>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</si>
  <si>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</si>
  <si>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</si>
  <si>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</si>
  <si>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</si>
  <si>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</si>
  <si>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</si>
  <si>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</si>
  <si>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</si>
  <si>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</si>
  <si>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</si>
  <si>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</si>
  <si>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</si>
  <si>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</si>
  <si>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</si>
  <si>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</si>
  <si>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</si>
  <si>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</si>
  <si>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</si>
  <si>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</si>
  <si>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</si>
  <si>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</si>
  <si>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</si>
  <si>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</si>
  <si>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</si>
  <si>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</si>
  <si>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</si>
  <si>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</si>
  <si>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</si>
  <si>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</si>
  <si>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</si>
  <si>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</si>
  <si>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</si>
  <si>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</si>
  <si>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</si>
  <si>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</si>
  <si>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</si>
  <si>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</si>
  <si>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</si>
  <si>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</si>
  <si>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</si>
  <si>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</si>
  <si>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</si>
  <si>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</si>
  <si>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</si>
  <si>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</si>
  <si>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</si>
  <si>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</si>
  <si>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</si>
  <si>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</si>
  <si>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</si>
  <si>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</si>
  <si>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</si>
  <si>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</si>
  <si>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</si>
  <si>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</si>
  <si>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</si>
  <si>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</si>
  <si>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</si>
  <si>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</si>
  <si>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</si>
  <si>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</si>
  <si>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</si>
  <si>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</si>
  <si>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</si>
  <si>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</si>
  <si>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</si>
  <si>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</si>
  <si>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</si>
  <si>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</si>
  <si>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</si>
  <si>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</si>
  <si>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</si>
  <si>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</si>
  <si>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</si>
  <si>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</si>
  <si>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</si>
  <si>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</si>
  <si>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</si>
  <si>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</si>
  <si>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</si>
  <si>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</si>
  <si>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</si>
  <si>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</si>
  <si>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</si>
  <si>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</si>
  <si>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</si>
  <si>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</si>
  <si>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</si>
  <si>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</si>
  <si>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</si>
  <si>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</si>
  <si>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</si>
  <si>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</si>
  <si>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</si>
  <si>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</si>
  <si>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</si>
  <si>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</si>
  <si>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</si>
  <si>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</si>
  <si>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</si>
  <si>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</si>
  <si>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</si>
  <si>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</si>
  <si>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</si>
  <si>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</si>
  <si>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</si>
  <si>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</si>
  <si>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</si>
  <si>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</si>
  <si>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</si>
  <si>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</si>
  <si>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</si>
  <si>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</si>
  <si>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</si>
  <si>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</si>
  <si>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</si>
  <si>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</si>
  <si>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</si>
  <si>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</si>
  <si>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</si>
  <si>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</si>
  <si>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</si>
  <si>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</si>
  <si>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</si>
  <si>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</si>
  <si>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</si>
  <si>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</si>
  <si>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</si>
  <si>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</si>
  <si>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</si>
  <si>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</si>
  <si>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</si>
  <si>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</si>
  <si>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</si>
  <si>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</si>
  <si>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</si>
  <si>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</si>
  <si>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</si>
  <si>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</si>
  <si>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</si>
  <si>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</si>
  <si>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</si>
  <si>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</si>
  <si>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</si>
  <si>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</si>
  <si>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</si>
  <si>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</si>
  <si>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</si>
  <si>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</si>
  <si>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</si>
  <si>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</si>
  <si>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</si>
  <si>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</si>
  <si>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</si>
  <si>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</si>
  <si>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</si>
  <si>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</si>
  <si>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</si>
  <si>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</si>
  <si>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</si>
  <si>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</si>
  <si>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</si>
  <si>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</si>
  <si>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</si>
  <si>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</si>
  <si>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</si>
  <si>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</si>
  <si>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</si>
  <si>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</si>
  <si>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</si>
  <si>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</si>
  <si>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</si>
  <si>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</si>
  <si>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</si>
  <si>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</si>
  <si>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</si>
  <si>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</si>
  <si>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</si>
  <si>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</si>
  <si>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</si>
  <si>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</si>
  <si>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</si>
  <si>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</si>
  <si>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</si>
  <si>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</si>
  <si>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</si>
  <si>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</si>
  <si>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</si>
  <si>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</si>
  <si>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</si>
  <si>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</si>
  <si>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</si>
  <si>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</si>
  <si>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</si>
  <si>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</si>
  <si>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</si>
  <si>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</si>
  <si>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</si>
  <si>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</si>
  <si>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</si>
  <si>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</si>
  <si>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</si>
  <si>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</si>
  <si>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</si>
  <si>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</si>
  <si>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</si>
  <si>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</si>
  <si>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</si>
  <si>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</si>
  <si>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</si>
  <si>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</si>
  <si>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</si>
  <si>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</si>
  <si>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</si>
  <si>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</si>
  <si>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</si>
  <si>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</si>
  <si>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</si>
  <si>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</si>
  <si>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</si>
  <si>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</si>
  <si>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</si>
  <si>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</si>
  <si>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</si>
  <si>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</si>
  <si>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</si>
  <si>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</si>
  <si>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</si>
  <si>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</si>
  <si>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</si>
  <si>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</si>
  <si>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</si>
  <si>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</si>
  <si>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</si>
  <si>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</si>
  <si>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</si>
  <si>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</si>
  <si>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</si>
  <si>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</si>
  <si>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</si>
  <si>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</si>
  <si>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</si>
  <si>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</si>
  <si>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</si>
  <si>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</si>
  <si>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</si>
  <si>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</si>
  <si>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</si>
  <si>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</si>
  <si>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</si>
  <si>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</si>
  <si>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</si>
  <si>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</si>
  <si>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</si>
  <si>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</si>
  <si>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</si>
  <si>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</si>
  <si>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</si>
  <si>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</si>
  <si>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</si>
  <si>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</si>
  <si>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</si>
  <si>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</si>
  <si>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</si>
  <si>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</si>
  <si>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</si>
  <si>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</si>
  <si>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</si>
  <si>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</si>
  <si>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</si>
  <si>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</si>
  <si>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</si>
  <si>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</si>
  <si>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</si>
  <si>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</si>
  <si>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</si>
  <si>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</si>
  <si>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</si>
  <si>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</si>
  <si>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</si>
  <si>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</si>
  <si>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</si>
  <si>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</si>
  <si>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</si>
  <si>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</si>
  <si>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</si>
  <si>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</si>
  <si>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</si>
  <si>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</si>
  <si>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</si>
  <si>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</si>
  <si>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</si>
  <si>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</si>
  <si>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</si>
  <si>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</si>
  <si>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</si>
  <si>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</si>
  <si>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</si>
  <si>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</si>
  <si>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</si>
  <si>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</si>
  <si>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</si>
  <si>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</si>
  <si>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</si>
  <si>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</si>
  <si>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</si>
  <si>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</si>
  <si>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</si>
  <si>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</si>
  <si>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</si>
  <si>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</si>
  <si>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</si>
  <si>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</si>
  <si>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</si>
  <si>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</si>
  <si>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</si>
  <si>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</si>
  <si>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</si>
  <si>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</si>
  <si>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</si>
  <si>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</si>
  <si>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</si>
  <si>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</si>
  <si>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</si>
  <si>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</si>
  <si>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</si>
  <si>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</si>
  <si>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</si>
  <si>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</si>
  <si>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</si>
  <si>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</si>
  <si>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</si>
  <si>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</si>
  <si>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</si>
  <si>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</si>
  <si>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</si>
  <si>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</si>
  <si>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</si>
  <si>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</si>
  <si>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</si>
  <si>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</si>
  <si>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</si>
  <si>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</si>
  <si>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</si>
  <si>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</si>
  <si>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</si>
  <si>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</si>
  <si>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</si>
  <si>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</si>
  <si>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</si>
  <si>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</si>
  <si>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</si>
  <si>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</si>
  <si>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</si>
  <si>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</si>
  <si>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</si>
  <si>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</si>
  <si>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</si>
  <si>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</si>
  <si>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</si>
  <si>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</si>
  <si>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</si>
  <si>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</si>
  <si>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</si>
  <si>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</si>
  <si>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</si>
  <si>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</si>
  <si>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</si>
  <si>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</si>
  <si>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</si>
  <si>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</si>
  <si>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</si>
  <si>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</si>
  <si>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</si>
  <si>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</si>
  <si>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</si>
  <si>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</si>
  <si>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</si>
  <si>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</si>
  <si>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</si>
  <si>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</si>
  <si>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</si>
  <si>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</si>
  <si>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</si>
  <si>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</si>
  <si>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</si>
  <si>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</si>
  <si>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</si>
  <si>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</si>
  <si>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</si>
  <si>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</si>
  <si>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</si>
  <si>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</si>
  <si>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</si>
  <si>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</si>
  <si>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</si>
  <si>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</si>
  <si>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</si>
  <si>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</si>
  <si>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</si>
  <si>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</si>
  <si>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</si>
  <si>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</si>
  <si>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</si>
  <si>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</si>
  <si>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</si>
  <si>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</si>
  <si>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</si>
  <si>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</si>
  <si>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</si>
  <si>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</si>
  <si>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</si>
  <si>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</si>
  <si>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</si>
  <si>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</si>
  <si>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</si>
  <si>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</si>
  <si>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</si>
  <si>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</si>
  <si>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</si>
  <si>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</si>
  <si>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</si>
  <si>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</si>
  <si>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</si>
  <si>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</si>
  <si>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</si>
  <si>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</si>
  <si>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</si>
  <si>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</si>
  <si>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</si>
  <si>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</si>
  <si>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</si>
  <si>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</si>
  <si>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</si>
  <si>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</si>
  <si>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</si>
  <si>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</si>
  <si>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</si>
  <si>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</si>
  <si>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</si>
  <si>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</si>
  <si>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</si>
  <si>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</si>
  <si>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</si>
  <si>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</si>
  <si>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</si>
  <si>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</si>
  <si>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</si>
  <si>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</si>
  <si>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</si>
  <si>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</si>
  <si>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</si>
  <si>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</si>
  <si>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</si>
  <si>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</si>
  <si>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</si>
  <si>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</si>
  <si>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</si>
  <si>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</si>
  <si>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</si>
  <si>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</si>
  <si>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</si>
  <si>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</si>
  <si>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</si>
  <si>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</si>
  <si>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</si>
  <si>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</si>
  <si>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</si>
  <si>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</si>
  <si>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</si>
  <si>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</si>
  <si>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</si>
  <si>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</si>
  <si>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</si>
  <si>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</si>
  <si>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</si>
  <si>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</si>
  <si>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</si>
  <si>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</si>
  <si>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</si>
  <si>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</si>
  <si>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</si>
  <si>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</si>
  <si>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</si>
  <si>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</si>
  <si>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</si>
  <si>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</si>
  <si>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</si>
  <si>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</si>
  <si>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</si>
  <si>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</si>
  <si>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</si>
  <si>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</si>
  <si>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</si>
  <si>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</si>
  <si>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</si>
  <si>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</si>
  <si>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</si>
  <si>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</si>
  <si>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</si>
  <si>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</si>
  <si>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</si>
  <si>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</si>
  <si>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</si>
  <si>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</si>
  <si>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</si>
  <si>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</si>
  <si>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</si>
  <si>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</si>
  <si>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</si>
  <si>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</si>
  <si>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</si>
  <si>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</si>
  <si>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</si>
  <si>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</si>
  <si>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</si>
  <si>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</si>
  <si>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</si>
  <si>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</si>
  <si>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</si>
  <si>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</si>
  <si>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</si>
  <si>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</si>
  <si>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</si>
  <si>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</si>
  <si>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</si>
  <si>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</si>
  <si>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</si>
  <si>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</si>
  <si>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</si>
  <si>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</si>
  <si>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</si>
  <si>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</si>
  <si>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</si>
  <si>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</si>
  <si>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</si>
  <si>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</si>
  <si>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</si>
  <si>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</si>
  <si>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</si>
  <si>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</si>
  <si>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</si>
  <si>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</si>
  <si>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</si>
  <si>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</si>
  <si>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</si>
  <si>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</si>
  <si>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</si>
  <si>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</si>
  <si>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</si>
  <si>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</si>
  <si>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</si>
  <si>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</si>
  <si>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</si>
  <si>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</si>
  <si>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</si>
  <si>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</si>
  <si>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</si>
  <si>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</si>
  <si>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</si>
  <si>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</si>
  <si>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</si>
  <si>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</si>
  <si>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</si>
  <si>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</si>
  <si>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</si>
  <si>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</si>
  <si>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</si>
  <si>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</si>
  <si>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</si>
  <si>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</si>
  <si>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</si>
  <si>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</si>
  <si>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</si>
  <si>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</si>
  <si>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</si>
  <si>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</si>
  <si>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</si>
  <si>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</si>
  <si>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</si>
  <si>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</si>
  <si>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</si>
  <si>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</si>
  <si>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</si>
  <si>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</si>
  <si>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</si>
  <si>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</si>
  <si>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</si>
  <si>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</si>
  <si>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</si>
  <si>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</si>
  <si>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</si>
  <si>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</si>
  <si>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</si>
  <si>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</si>
  <si>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</si>
  <si>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</si>
  <si>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</si>
  <si>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</si>
  <si>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</si>
  <si>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</si>
  <si>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</si>
  <si>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</si>
  <si>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</si>
  <si>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</si>
  <si>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</si>
  <si>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</si>
  <si>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</si>
  <si>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</si>
  <si>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</si>
  <si>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</si>
  <si>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</si>
  <si>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</si>
  <si>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</si>
  <si>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</si>
  <si>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</si>
  <si>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</si>
  <si>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</si>
  <si>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</si>
  <si>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</si>
  <si>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</si>
  <si>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</si>
  <si>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</si>
  <si>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</si>
  <si>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</si>
  <si>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</si>
  <si>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</si>
  <si>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</si>
  <si>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</si>
  <si>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</si>
  <si>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</si>
  <si>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</si>
  <si>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</si>
  <si>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</si>
  <si>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</si>
  <si>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</si>
  <si>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</si>
  <si>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</si>
  <si>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</si>
  <si>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</si>
  <si>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</si>
  <si>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</si>
  <si>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</si>
  <si>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</si>
  <si>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</si>
  <si>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</si>
  <si>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</si>
  <si>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</si>
  <si>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</si>
  <si>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</si>
  <si>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</si>
  <si>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</si>
  <si>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</si>
  <si>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</si>
  <si>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</si>
  <si>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</si>
  <si>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</si>
  <si>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</si>
  <si>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</si>
  <si>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</si>
  <si>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</si>
  <si>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</si>
  <si>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</si>
  <si>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</si>
  <si>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</si>
  <si>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</si>
  <si>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</si>
  <si>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</si>
  <si>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</si>
  <si>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</si>
  <si>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</si>
  <si>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</si>
  <si>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</si>
  <si>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</si>
  <si>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</si>
  <si>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</si>
  <si>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</si>
  <si>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</si>
  <si>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</si>
  <si>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</si>
  <si>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</si>
  <si>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</si>
  <si>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</si>
  <si>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</si>
  <si>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</si>
  <si>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</si>
  <si>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</si>
  <si>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</si>
  <si>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</si>
  <si>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</si>
  <si>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</si>
  <si>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</si>
  <si>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</si>
  <si>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</si>
  <si>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</si>
  <si>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</si>
  <si>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</si>
  <si>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</si>
  <si>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</si>
  <si>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</si>
  <si>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</si>
  <si>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</si>
  <si>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</si>
  <si>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</si>
  <si>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</si>
  <si>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</si>
  <si>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</si>
  <si>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</si>
  <si>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</si>
  <si>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</si>
  <si>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</si>
  <si>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</si>
  <si>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</si>
  <si>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</si>
  <si>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</si>
  <si>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</si>
  <si>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</si>
  <si>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</si>
  <si>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</si>
  <si>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</si>
  <si>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</si>
  <si>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</si>
  <si>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</si>
  <si>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</si>
  <si>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</si>
  <si>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</si>
  <si>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</si>
  <si>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</si>
  <si>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</si>
  <si>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</si>
  <si>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</si>
  <si>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</si>
  <si>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</si>
  <si>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</si>
  <si>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</si>
  <si>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</si>
  <si>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</si>
  <si>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</si>
  <si>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</si>
  <si>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</si>
  <si>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</si>
  <si>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</si>
  <si>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</si>
  <si>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</si>
  <si>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</si>
  <si>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</si>
  <si>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</si>
  <si>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</si>
  <si>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</si>
  <si>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</si>
  <si>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</si>
  <si>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</si>
  <si>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</si>
  <si>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</si>
  <si>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</si>
  <si>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</si>
  <si>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</si>
  <si>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</si>
  <si>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</si>
  <si>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</si>
  <si>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</si>
  <si>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</si>
  <si>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</si>
  <si>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</si>
  <si>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</si>
  <si>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</si>
  <si>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</si>
  <si>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</si>
  <si>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</si>
  <si>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</si>
  <si>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</si>
  <si>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</si>
  <si>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</si>
  <si>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</si>
  <si>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</si>
  <si>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</si>
  <si>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</si>
  <si>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</si>
  <si>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</si>
  <si>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</si>
  <si>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</si>
  <si>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</si>
  <si>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</si>
  <si>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</si>
  <si>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</si>
  <si>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</si>
  <si>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</si>
  <si>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</si>
  <si>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</si>
  <si>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</si>
  <si>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</si>
  <si>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</si>
  <si>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</si>
  <si>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</si>
  <si>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</si>
  <si>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</si>
  <si>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</si>
  <si>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</si>
  <si>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</si>
  <si>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</si>
  <si>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</si>
  <si>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</si>
  <si>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</si>
  <si>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</si>
  <si>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</si>
  <si>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</si>
  <si>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</si>
  <si>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</si>
  <si>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</si>
  <si>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</si>
  <si>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</si>
  <si>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</si>
  <si>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</si>
  <si>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</si>
  <si>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</si>
  <si>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</si>
  <si>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</si>
  <si>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</si>
  <si>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</si>
  <si>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</si>
  <si>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</si>
  <si>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</si>
  <si>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</si>
  <si>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</si>
  <si>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</si>
  <si>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</si>
  <si>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</si>
  <si>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</si>
  <si>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</si>
  <si>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</si>
  <si>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</si>
  <si>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</si>
  <si>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</si>
  <si>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</si>
  <si>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</si>
  <si>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</si>
  <si>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</si>
  <si>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</si>
  <si>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</si>
  <si>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</si>
  <si>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</si>
  <si>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</si>
  <si>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</si>
  <si>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</si>
  <si>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</si>
  <si>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</si>
  <si>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</si>
  <si>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</si>
  <si>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</si>
  <si>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</si>
  <si>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</si>
  <si>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</si>
  <si>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</si>
  <si>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</si>
  <si>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</si>
  <si>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</si>
  <si>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</si>
  <si>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</si>
  <si>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</si>
  <si>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</si>
  <si>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</si>
  <si>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</si>
  <si>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</si>
  <si>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</si>
  <si>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</si>
  <si>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</si>
  <si>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</si>
  <si>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</si>
  <si>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</si>
  <si>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</si>
  <si>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</si>
  <si>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</si>
  <si>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</si>
  <si>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</si>
  <si>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</si>
  <si>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</si>
  <si>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</si>
  <si>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</si>
  <si>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</si>
  <si>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</si>
  <si>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</si>
  <si>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</si>
  <si>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</si>
  <si>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</si>
  <si>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</si>
  <si>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</si>
  <si>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</si>
  <si>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</si>
  <si>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</si>
  <si>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</si>
  <si>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</si>
  <si>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</si>
  <si>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</si>
  <si>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</si>
  <si>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</si>
  <si>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</si>
  <si>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</si>
  <si>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</si>
  <si>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</si>
  <si>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</si>
  <si>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</si>
  <si>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</si>
  <si>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</si>
  <si>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</si>
  <si>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</si>
  <si>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</si>
  <si>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</si>
  <si>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</si>
  <si>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</si>
  <si>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</si>
  <si>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</si>
  <si>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</si>
  <si>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</si>
  <si>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</si>
  <si>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</si>
  <si>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</si>
  <si>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</si>
  <si>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</si>
  <si>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</si>
  <si>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</si>
  <si>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</si>
  <si>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</si>
  <si>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</si>
  <si>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</si>
  <si>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</si>
  <si>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</si>
  <si>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</si>
  <si>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</si>
  <si>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</si>
  <si>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</si>
  <si>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</si>
  <si>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</si>
  <si>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</si>
  <si>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</si>
  <si>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</si>
  <si>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</si>
  <si>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</si>
  <si>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</si>
  <si>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</si>
  <si>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</si>
  <si>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</si>
  <si>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</si>
  <si>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</si>
  <si>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</si>
  <si>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</si>
  <si>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</si>
  <si>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</si>
  <si>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</si>
  <si>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</si>
  <si>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</si>
  <si>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</si>
  <si>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</si>
  <si>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</si>
  <si>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</si>
  <si>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</si>
  <si>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</si>
  <si>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</si>
  <si>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</si>
  <si>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</si>
  <si>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</si>
  <si>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</si>
  <si>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</si>
  <si>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</si>
  <si>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</si>
  <si>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</si>
  <si>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</si>
  <si>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</si>
  <si>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</si>
  <si>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</si>
  <si>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</si>
  <si>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</si>
  <si>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</si>
  <si>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</si>
  <si>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</si>
  <si>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</si>
  <si>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</si>
  <si>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</si>
  <si>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</si>
  <si>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</si>
  <si>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</si>
  <si>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</si>
  <si>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</si>
  <si>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</si>
  <si>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</si>
  <si>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</si>
  <si>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</si>
  <si>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</si>
  <si>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</si>
  <si>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</si>
  <si>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</si>
  <si>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</si>
  <si>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</si>
  <si>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</si>
  <si>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</si>
  <si>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</si>
  <si>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</si>
  <si>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</si>
  <si>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</si>
  <si>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</si>
  <si>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</si>
  <si>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</si>
  <si>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</si>
  <si>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</si>
  <si>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</si>
  <si>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</si>
  <si>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</si>
  <si>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</si>
  <si>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</si>
  <si>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</si>
  <si>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</si>
  <si>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</si>
  <si>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</si>
  <si>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</si>
  <si>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</si>
  <si>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</si>
  <si>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</si>
  <si>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</si>
  <si>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</si>
  <si>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</si>
  <si>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</si>
  <si>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</si>
  <si>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</si>
  <si>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</si>
  <si>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</si>
  <si>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</si>
  <si>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</si>
  <si>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</si>
  <si>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</si>
  <si>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</si>
  <si>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</si>
  <si>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</si>
  <si>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</si>
  <si>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</si>
  <si>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</si>
  <si>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</si>
  <si>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</si>
  <si>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</si>
  <si>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</si>
  <si>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</si>
  <si>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</si>
  <si>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</si>
  <si>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</si>
  <si>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</si>
  <si>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</si>
  <si>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</si>
  <si>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</si>
  <si>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</si>
  <si>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</si>
  <si>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</si>
  <si>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</si>
  <si>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</si>
  <si>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</si>
  <si>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</si>
  <si>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</si>
  <si>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</si>
  <si>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</si>
  <si>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</si>
  <si>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</si>
  <si>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</si>
  <si>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</si>
  <si>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</si>
  <si>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</si>
  <si>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</si>
  <si>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</si>
  <si>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</si>
  <si>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</si>
  <si>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</si>
  <si>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</si>
  <si>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</si>
  <si>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</si>
  <si>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</si>
  <si>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</si>
  <si>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</si>
  <si>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</si>
  <si>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</si>
  <si>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</si>
  <si>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</si>
  <si>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</si>
  <si>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</si>
  <si>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</si>
  <si>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</si>
  <si>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</si>
  <si>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</si>
  <si>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</si>
  <si>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</si>
  <si>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</si>
  <si>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</si>
  <si>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</si>
  <si>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</si>
  <si>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</si>
  <si>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</si>
  <si>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</si>
  <si>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</si>
  <si>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</si>
  <si>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</si>
  <si>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</si>
  <si>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</si>
  <si>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</si>
  <si>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</si>
  <si>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</si>
  <si>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</si>
  <si>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</si>
  <si>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</si>
  <si>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</si>
  <si>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</si>
  <si>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</si>
  <si>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</si>
  <si>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</si>
  <si>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</si>
  <si>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</si>
  <si>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</si>
  <si>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</si>
  <si>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</si>
  <si>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</si>
  <si>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</si>
  <si>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</si>
  <si>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</si>
  <si>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</si>
  <si>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</si>
  <si>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</si>
  <si>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</si>
  <si>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</si>
  <si>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</si>
  <si>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</si>
  <si>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</si>
  <si>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</si>
  <si>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</si>
  <si>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</si>
  <si>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</si>
  <si>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</si>
  <si>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</si>
  <si>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</si>
  <si>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</si>
  <si>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</si>
  <si>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</si>
  <si>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</si>
  <si>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</si>
  <si>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</si>
  <si>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</si>
  <si>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</si>
  <si>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</si>
  <si>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</si>
  <si>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</si>
  <si>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</si>
  <si>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</si>
  <si>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</si>
  <si>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</si>
  <si>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</si>
  <si>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</si>
  <si>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</si>
  <si>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</si>
  <si>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</si>
  <si>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</si>
  <si>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</si>
  <si>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</si>
  <si>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</si>
  <si>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</si>
  <si>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</si>
  <si>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</si>
  <si>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</si>
  <si>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</si>
  <si>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</si>
  <si>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</si>
  <si>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</si>
  <si>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</si>
  <si>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</si>
  <si>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</si>
  <si>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</si>
  <si>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</si>
  <si>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</si>
  <si>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</si>
  <si>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</si>
  <si>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</si>
  <si>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</si>
  <si>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</si>
  <si>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</si>
  <si>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</si>
  <si>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</si>
  <si>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</si>
  <si>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</si>
  <si>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</si>
  <si>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</si>
  <si>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</si>
  <si>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</si>
  <si>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</si>
  <si>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</si>
  <si>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</si>
  <si>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</si>
  <si>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</si>
  <si>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</si>
  <si>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</si>
  <si>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</si>
  <si>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</si>
  <si>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</si>
  <si>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</si>
  <si>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</si>
  <si>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</si>
  <si>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</si>
  <si>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</si>
  <si>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</si>
  <si>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</si>
  <si>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</si>
  <si>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</si>
  <si>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</si>
  <si>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</si>
  <si>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</si>
  <si>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</si>
  <si>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</si>
  <si>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</si>
  <si>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</si>
  <si>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</si>
  <si>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</si>
  <si>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</si>
  <si>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</si>
  <si>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</si>
  <si>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</si>
  <si>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</si>
  <si>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</si>
  <si>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</si>
  <si>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</si>
  <si>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</si>
  <si>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</si>
  <si>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</si>
  <si>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</si>
  <si>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</si>
  <si>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</si>
  <si>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</si>
  <si>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</si>
  <si>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</si>
  <si>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</si>
  <si>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</si>
  <si>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</si>
  <si>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</si>
  <si>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</si>
  <si>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</si>
  <si>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</si>
  <si>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</si>
  <si>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</si>
  <si>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</si>
  <si>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</si>
  <si>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</si>
  <si>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</si>
  <si>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</si>
  <si>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</si>
  <si>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</si>
  <si>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</si>
  <si>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</si>
  <si>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</si>
  <si>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</si>
  <si>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</si>
  <si>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</si>
  <si>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</si>
  <si>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</si>
  <si>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</si>
  <si>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</si>
  <si>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</si>
  <si>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</si>
  <si>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</si>
  <si>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</si>
  <si>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</si>
  <si>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</si>
  <si>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</si>
  <si>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</si>
  <si>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</si>
  <si>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</si>
  <si>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</si>
  <si>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</si>
  <si>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</si>
  <si>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</si>
  <si>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</si>
  <si>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</si>
  <si>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</si>
  <si>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</si>
  <si>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</si>
  <si>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</si>
  <si>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</si>
  <si>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</si>
  <si>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</si>
  <si>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</si>
  <si>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</si>
  <si>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</si>
  <si>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</si>
  <si>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</si>
  <si>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</si>
  <si>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</si>
  <si>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</si>
  <si>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</si>
  <si>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</si>
  <si>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</si>
  <si>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</si>
  <si>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</si>
  <si>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</si>
  <si>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</si>
  <si>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</si>
  <si>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</si>
  <si>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</si>
  <si>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</si>
  <si>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</si>
  <si>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</si>
  <si>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</si>
  <si>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</si>
  <si>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</si>
  <si>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</si>
  <si>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</si>
  <si>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</si>
  <si>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</si>
  <si>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</si>
  <si>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</si>
  <si>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</si>
  <si>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</si>
  <si>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</si>
  <si>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</si>
  <si>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</si>
  <si>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</si>
  <si>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</si>
  <si>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</si>
  <si>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</si>
  <si>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</si>
  <si>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</si>
  <si>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</si>
  <si>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</si>
  <si>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</si>
  <si>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</si>
  <si>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</si>
  <si>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</si>
  <si>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</si>
  <si>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</si>
  <si>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</si>
  <si>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</si>
  <si>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</si>
  <si>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</si>
  <si>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</si>
  <si>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</si>
  <si>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</si>
  <si>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</si>
  <si>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</si>
  <si>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</si>
  <si>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</si>
  <si>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</si>
  <si>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</si>
  <si>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</si>
  <si>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</si>
  <si>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</si>
  <si>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</si>
  <si>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</si>
  <si>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</si>
  <si>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</si>
  <si>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</si>
  <si>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</si>
  <si>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</si>
  <si>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</si>
  <si>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</si>
  <si>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</si>
  <si>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</si>
  <si>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</si>
  <si>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</si>
  <si>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</si>
  <si>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</si>
  <si>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</si>
  <si>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</si>
  <si>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</si>
  <si>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</si>
  <si>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</si>
  <si>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</si>
  <si>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</si>
  <si>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</si>
  <si>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</si>
  <si>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</si>
  <si>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</si>
  <si>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</si>
  <si>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</si>
  <si>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</si>
  <si>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</si>
  <si>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</si>
  <si>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</si>
  <si>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</si>
  <si>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</si>
  <si>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</si>
  <si>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</si>
  <si>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</si>
  <si>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</si>
  <si>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</si>
  <si>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</si>
  <si>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</si>
  <si>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</si>
  <si>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</si>
  <si>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</si>
  <si>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</si>
  <si>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</si>
  <si>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</si>
  <si>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</si>
  <si>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</si>
  <si>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</si>
  <si>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</si>
  <si>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</si>
  <si>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</si>
  <si>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</si>
  <si>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</si>
  <si>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</si>
  <si>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</si>
  <si>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</si>
  <si>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</si>
  <si>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</si>
  <si>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</si>
  <si>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</si>
  <si>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</si>
  <si>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</si>
  <si>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</si>
  <si>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</si>
  <si>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</si>
  <si>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</si>
  <si>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</si>
  <si>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</si>
  <si>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</si>
  <si>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</si>
  <si>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</si>
  <si>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</si>
  <si>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</si>
  <si>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</si>
  <si>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</si>
  <si>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</si>
  <si>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</si>
  <si>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</si>
  <si>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</si>
  <si>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</si>
  <si>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</si>
  <si>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</si>
  <si>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</si>
  <si>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</si>
  <si>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</si>
  <si>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</si>
  <si>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</si>
  <si>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</si>
  <si>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</si>
  <si>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</si>
  <si>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</si>
  <si>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</si>
  <si>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</si>
  <si>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</si>
  <si>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</si>
  <si>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</si>
  <si>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</si>
  <si>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</si>
  <si>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</si>
  <si>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</si>
  <si>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</si>
  <si>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</si>
  <si>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</si>
  <si>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</si>
  <si>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</si>
  <si>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</si>
  <si>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</si>
  <si>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</si>
  <si>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</si>
  <si>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</si>
  <si>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</si>
  <si>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</si>
  <si>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</si>
  <si>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</si>
  <si>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</si>
  <si>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</si>
  <si>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</si>
  <si>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</si>
  <si>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</si>
  <si>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</si>
  <si>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</si>
  <si>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</si>
  <si>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</si>
  <si>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</si>
  <si>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</si>
  <si>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</si>
  <si>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</si>
  <si>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</si>
  <si>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</si>
  <si>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</si>
  <si>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</si>
  <si>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</si>
  <si>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</si>
  <si>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</si>
  <si>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</si>
  <si>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</si>
  <si>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</si>
  <si>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</si>
  <si>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</si>
  <si>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</si>
  <si>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</si>
  <si>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</si>
  <si>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</si>
  <si>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</si>
  <si>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</si>
  <si>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</si>
  <si>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</si>
  <si>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</si>
  <si>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</si>
  <si>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</si>
  <si>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</si>
  <si>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</si>
  <si>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</si>
  <si>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</si>
  <si>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</si>
  <si>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</si>
  <si>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</si>
  <si>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</si>
  <si>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</si>
  <si>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</si>
  <si>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</si>
  <si>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</si>
  <si>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</si>
  <si>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</si>
  <si>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</si>
  <si>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</si>
  <si>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</si>
  <si>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</si>
  <si>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</si>
  <si>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</si>
  <si>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</si>
  <si>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</si>
  <si>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</si>
  <si>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</si>
  <si>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</si>
  <si>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</si>
  <si>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</si>
  <si>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</si>
  <si>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</si>
  <si>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</si>
  <si>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</si>
  <si>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</si>
  <si>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</si>
  <si>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</si>
  <si>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</si>
  <si>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</si>
  <si>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</si>
  <si>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</si>
  <si>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</si>
  <si>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</si>
  <si>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</si>
  <si>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</si>
  <si>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</si>
  <si>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</si>
  <si>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</si>
  <si>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</si>
  <si>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</si>
  <si>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</si>
  <si>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</si>
  <si>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</si>
  <si>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</si>
  <si>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</si>
  <si>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</si>
  <si>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</si>
  <si>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</si>
  <si>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</si>
  <si>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</si>
  <si>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</si>
  <si>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</si>
  <si>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</si>
  <si>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</si>
  <si>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</si>
  <si>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</si>
  <si>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</si>
  <si>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</si>
  <si>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</si>
  <si>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</si>
  <si>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</si>
  <si>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</si>
  <si>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</si>
  <si>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</si>
  <si>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</si>
  <si>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</si>
  <si>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</si>
  <si>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</si>
  <si>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</si>
  <si>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</si>
  <si>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</si>
  <si>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</si>
  <si>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</si>
  <si>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</si>
  <si>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</si>
  <si>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</si>
  <si>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</si>
  <si>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</si>
  <si>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</si>
  <si>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</si>
  <si>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</si>
  <si>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</si>
  <si>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</si>
  <si>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</si>
  <si>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</si>
  <si>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</si>
  <si>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</si>
  <si>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</si>
  <si>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</si>
  <si>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</si>
  <si>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</si>
  <si>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</si>
  <si>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</si>
  <si>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</si>
  <si>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</si>
  <si>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</si>
  <si>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</si>
  <si>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</si>
  <si>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</si>
  <si>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</si>
  <si>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</si>
  <si>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</si>
  <si>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</si>
  <si>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</si>
  <si>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</si>
  <si>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</si>
  <si>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</si>
  <si>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</si>
  <si>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</si>
  <si>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</si>
  <si>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</si>
  <si>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</si>
  <si>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</si>
  <si>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</si>
  <si>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</si>
  <si>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</si>
  <si>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</si>
  <si>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</si>
  <si>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</si>
  <si>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</si>
  <si>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</si>
  <si>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</si>
  <si>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</si>
  <si>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</si>
  <si>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</si>
  <si>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</si>
  <si>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</si>
  <si>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</si>
  <si>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</si>
  <si>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</si>
  <si>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</si>
  <si>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</si>
  <si>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</si>
  <si>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</si>
  <si>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</si>
  <si>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</si>
  <si>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</si>
  <si>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</si>
  <si>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</si>
  <si>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</si>
  <si>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</si>
  <si>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</si>
  <si>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</si>
  <si>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</si>
  <si>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</si>
  <si>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</si>
  <si>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</si>
  <si>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</si>
  <si>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</si>
  <si>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</si>
  <si>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</si>
  <si>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</si>
  <si>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</si>
  <si>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</si>
  <si>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</si>
  <si>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</si>
  <si>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</si>
  <si>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</si>
  <si>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</si>
  <si>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</si>
  <si>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</si>
  <si>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</si>
  <si>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</si>
  <si>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</si>
  <si>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</si>
  <si>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</si>
  <si>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</si>
  <si>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</si>
  <si>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</si>
  <si>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</si>
  <si>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</si>
  <si>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</si>
  <si>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</si>
  <si>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</si>
  <si>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</si>
  <si>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</si>
  <si>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</si>
  <si>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</si>
  <si>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</si>
  <si>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</si>
  <si>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</si>
  <si>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</si>
  <si>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</si>
  <si>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</si>
  <si>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</si>
  <si>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</si>
  <si>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</si>
  <si>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</si>
  <si>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</si>
  <si>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</si>
  <si>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</si>
  <si>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</si>
  <si>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</si>
  <si>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</si>
  <si>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</si>
  <si>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</si>
  <si>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</si>
  <si>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</si>
  <si>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</si>
  <si>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</si>
  <si>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</si>
  <si>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</si>
  <si>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</si>
  <si>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</si>
  <si>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</si>
  <si>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</si>
  <si>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</si>
  <si>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</si>
  <si>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</si>
  <si>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</si>
  <si>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</si>
  <si>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</si>
  <si>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</si>
  <si>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</si>
  <si>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</si>
  <si>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</si>
  <si>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</si>
  <si>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</si>
  <si>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</si>
  <si>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</si>
  <si>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</si>
  <si>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</si>
  <si>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</si>
  <si>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</si>
  <si>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</si>
  <si>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</si>
  <si>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</si>
  <si>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</si>
  <si>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</si>
  <si>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</si>
  <si>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</si>
  <si>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</si>
  <si>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</si>
  <si>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</si>
  <si>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</si>
  <si>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</si>
  <si>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</si>
  <si>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</si>
  <si>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</si>
  <si>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</si>
  <si>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</si>
  <si>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</si>
  <si>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</si>
  <si>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</si>
  <si>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</si>
  <si>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</si>
  <si>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</si>
  <si>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</si>
  <si>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</si>
  <si>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</si>
  <si>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</si>
  <si>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</si>
  <si>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</si>
  <si>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</si>
  <si>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</si>
  <si>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</si>
  <si>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</si>
  <si>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</si>
  <si>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</si>
  <si>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</si>
  <si>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</si>
  <si>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</si>
  <si>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</si>
  <si>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</si>
  <si>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</si>
  <si>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</si>
  <si>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</si>
  <si>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</si>
  <si>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</si>
  <si>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</si>
  <si>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</si>
  <si>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</si>
  <si>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</si>
  <si>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</si>
  <si>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</si>
  <si>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</si>
  <si>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</si>
  <si>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</si>
  <si>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</si>
  <si>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</si>
  <si>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</si>
  <si>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</si>
  <si>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</si>
  <si>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</si>
  <si>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</si>
  <si>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</si>
  <si>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</si>
  <si>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</si>
  <si>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</si>
  <si>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</si>
  <si>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</si>
  <si>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</si>
  <si>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</si>
  <si>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</si>
  <si>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</si>
  <si>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</si>
  <si>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</si>
  <si>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</si>
  <si>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</si>
  <si>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</si>
  <si>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</si>
  <si>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</si>
  <si>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</si>
  <si>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</si>
  <si>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</si>
  <si>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</si>
  <si>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</si>
  <si>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</si>
  <si>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</si>
  <si>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</si>
  <si>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</si>
  <si>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</si>
  <si>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</si>
  <si>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</si>
  <si>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</si>
  <si>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</si>
  <si>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</si>
  <si>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</si>
  <si>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</si>
  <si>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</si>
  <si>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</si>
  <si>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</si>
  <si>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</si>
  <si>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</si>
  <si>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</si>
  <si>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</si>
  <si>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</si>
  <si>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</si>
  <si>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</si>
  <si>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</si>
  <si>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</si>
  <si>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</si>
  <si>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</si>
  <si>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</si>
  <si>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</si>
  <si>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</si>
  <si>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</si>
  <si>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</si>
  <si>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</si>
  <si>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</si>
  <si>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</si>
  <si>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</si>
  <si>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</si>
  <si>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</si>
  <si>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</si>
  <si>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</si>
  <si>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</si>
  <si>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</si>
  <si>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</si>
  <si>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</si>
  <si>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</si>
  <si>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</si>
  <si>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</si>
  <si>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</si>
  <si>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</si>
  <si>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</si>
  <si>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</si>
  <si>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</si>
  <si>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</si>
  <si>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</si>
  <si>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</si>
  <si>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</si>
  <si>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</si>
  <si>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</si>
  <si>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</si>
  <si>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</si>
  <si>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</si>
  <si>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</si>
  <si>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</si>
  <si>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</si>
  <si>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</si>
  <si>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</si>
  <si>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</si>
  <si>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</si>
  <si>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</si>
  <si>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</si>
  <si>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</si>
  <si>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</si>
  <si>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</si>
  <si>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</si>
  <si>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</si>
  <si>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</si>
  <si>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</si>
  <si>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</si>
  <si>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</si>
  <si>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</si>
  <si>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</si>
  <si>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</si>
  <si>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</si>
  <si>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</si>
  <si>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</si>
  <si>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</si>
  <si>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</si>
  <si>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</si>
  <si>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</si>
  <si>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</si>
  <si>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</si>
  <si>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</si>
  <si>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</si>
  <si>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</si>
  <si>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</si>
  <si>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</si>
  <si>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</si>
  <si>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</si>
  <si>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</si>
  <si>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</si>
  <si>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</si>
  <si>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</si>
  <si>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</si>
  <si>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</si>
  <si>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</si>
  <si>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</si>
  <si>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</si>
  <si>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</si>
  <si>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</si>
  <si>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</si>
  <si>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</si>
  <si>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</si>
  <si>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</si>
  <si>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</si>
  <si>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</si>
  <si>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</si>
  <si>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</si>
  <si>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</si>
  <si>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</si>
  <si>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</si>
  <si>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</si>
  <si>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</si>
  <si>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</si>
  <si>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</si>
  <si>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</si>
  <si>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</si>
  <si>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</si>
  <si>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</si>
  <si>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</si>
  <si>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</si>
  <si>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</si>
  <si>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</si>
  <si>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</si>
  <si>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</si>
  <si>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</si>
  <si>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</si>
  <si>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</si>
  <si>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</si>
  <si>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</si>
  <si>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</si>
  <si>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</si>
  <si>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</si>
  <si>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</si>
  <si>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</si>
  <si>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</si>
  <si>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</si>
  <si>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</si>
  <si>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</si>
  <si>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</si>
  <si>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</si>
  <si>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</si>
  <si>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</si>
  <si>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</si>
  <si>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</si>
  <si>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</si>
  <si>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</si>
  <si>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</si>
  <si>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</si>
  <si>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</si>
  <si>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</si>
  <si>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</si>
  <si>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</si>
  <si>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</si>
  <si>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</si>
  <si>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</si>
  <si>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</si>
  <si>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</si>
  <si>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</si>
  <si>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</si>
  <si>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</si>
  <si>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</si>
  <si>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</si>
  <si>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</si>
  <si>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</si>
  <si>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</si>
  <si>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</si>
  <si>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</si>
  <si>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</si>
  <si>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</si>
  <si>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</si>
  <si>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</si>
  <si>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</si>
  <si>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</si>
  <si>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</si>
  <si>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</si>
  <si>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</si>
  <si>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</si>
  <si>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</si>
  <si>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</si>
  <si>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</si>
  <si>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</si>
  <si>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</si>
  <si>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</si>
  <si>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</si>
  <si>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</si>
  <si>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</si>
  <si>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</si>
  <si>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</si>
  <si>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</si>
  <si>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</si>
  <si>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</si>
  <si>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</si>
  <si>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</si>
  <si>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</si>
  <si>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</si>
  <si>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</si>
  <si>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</si>
  <si>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</si>
  <si>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</si>
  <si>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</si>
  <si>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</si>
  <si>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</si>
  <si>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</si>
  <si>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</si>
  <si>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</si>
  <si>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</si>
  <si>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</si>
  <si>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</si>
  <si>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</si>
  <si>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</si>
  <si>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</si>
  <si>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</si>
  <si>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</si>
  <si>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</si>
  <si>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</si>
  <si>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</si>
  <si>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</si>
  <si>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</si>
  <si>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</si>
  <si>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</si>
  <si>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</si>
  <si>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</si>
  <si>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</si>
  <si>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</si>
  <si>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</si>
  <si>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</si>
  <si>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</si>
  <si>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</si>
  <si>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</si>
  <si>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</si>
  <si>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</si>
  <si>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</si>
  <si>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</si>
  <si>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</si>
  <si>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</si>
  <si>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</si>
  <si>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</si>
  <si>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</si>
  <si>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</si>
  <si>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</si>
  <si>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</si>
  <si>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</si>
  <si>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</si>
  <si>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</si>
  <si>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</si>
  <si>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</si>
  <si>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</si>
  <si>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</si>
  <si>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</si>
  <si>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</si>
  <si>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</si>
  <si>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</si>
  <si>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</si>
  <si>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</si>
  <si>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</si>
  <si>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</si>
  <si>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</si>
  <si>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</si>
  <si>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</si>
  <si>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</si>
  <si>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</si>
  <si>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</si>
  <si>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</si>
  <si>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</si>
  <si>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</si>
  <si>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</si>
  <si>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</si>
  <si>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</si>
  <si>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</si>
  <si>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</si>
  <si>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</si>
  <si>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</si>
  <si>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</si>
  <si>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</si>
  <si>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</si>
  <si>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</si>
  <si>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</si>
  <si>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</si>
  <si>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</si>
  <si>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</si>
  <si>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</si>
  <si>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</si>
  <si>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</si>
  <si>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</si>
  <si>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</si>
  <si>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</si>
  <si>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</si>
  <si>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</si>
  <si>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</si>
  <si>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</si>
  <si>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</si>
  <si>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</si>
  <si>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</si>
  <si>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</si>
  <si>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</si>
  <si>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</si>
  <si>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</si>
  <si>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</si>
  <si>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</si>
  <si>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</si>
  <si>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</si>
  <si>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</si>
  <si>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</si>
  <si>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</si>
  <si>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</si>
  <si>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</si>
  <si>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</si>
  <si>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</si>
  <si>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</si>
  <si>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</si>
  <si>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</si>
  <si>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</si>
  <si>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</si>
  <si>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</si>
  <si>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</si>
  <si>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</si>
  <si>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</si>
  <si>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</si>
  <si>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</si>
  <si>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</si>
  <si>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</si>
  <si>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</si>
  <si>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</si>
  <si>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</si>
  <si>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</si>
  <si>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</si>
  <si>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</si>
  <si>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</si>
  <si>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</si>
  <si>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</si>
  <si>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</si>
  <si>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</si>
  <si>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</si>
  <si>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</si>
  <si>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</si>
  <si>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</si>
  <si>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</si>
  <si>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</si>
  <si>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</si>
  <si>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</si>
  <si>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</si>
  <si>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</si>
  <si>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</si>
  <si>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</si>
  <si>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</si>
  <si>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</si>
  <si>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</si>
  <si>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</si>
  <si>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</si>
  <si>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</si>
  <si>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</si>
  <si>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</si>
  <si>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</si>
  <si>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</si>
  <si>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</si>
  <si>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</si>
  <si>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</si>
  <si>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</si>
  <si>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</si>
  <si>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</si>
  <si>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</si>
  <si>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</si>
  <si>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</si>
  <si>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</si>
  <si>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</si>
  <si>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</si>
  <si>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</si>
  <si>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</si>
  <si>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</si>
  <si>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</si>
  <si>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</si>
  <si>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</si>
  <si>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</si>
  <si>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</si>
  <si>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</si>
  <si>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</si>
  <si>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</si>
  <si>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</si>
  <si>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</si>
  <si>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</si>
  <si>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</si>
  <si>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</si>
  <si>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</si>
  <si>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</si>
  <si>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</si>
  <si>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</si>
  <si>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</si>
  <si>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</si>
  <si>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</si>
  <si>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</si>
  <si>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</si>
  <si>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</si>
  <si>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</si>
  <si>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</si>
  <si>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</si>
  <si>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</si>
  <si>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</si>
  <si>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</si>
  <si>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</si>
  <si>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</si>
  <si>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</si>
  <si>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</si>
  <si>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</si>
  <si>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</si>
  <si>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</si>
  <si>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</si>
  <si>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</si>
  <si>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</si>
  <si>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</si>
  <si>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</si>
  <si>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</si>
  <si>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</si>
  <si>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</si>
  <si>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</si>
  <si>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</si>
  <si>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</si>
  <si>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</si>
  <si>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</si>
  <si>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</si>
  <si>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</si>
  <si>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</si>
  <si>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</si>
  <si>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</si>
  <si>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</si>
  <si>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</si>
  <si>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</si>
  <si>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</si>
  <si>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</si>
  <si>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</si>
  <si>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</si>
  <si>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</si>
  <si>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</si>
  <si>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</si>
  <si>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</si>
  <si>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</si>
  <si>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</si>
  <si>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</si>
  <si>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</si>
  <si>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</si>
  <si>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</si>
  <si>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</si>
  <si>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</si>
  <si>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</si>
  <si>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</si>
  <si>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</si>
  <si>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</si>
  <si>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</si>
  <si>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</si>
  <si>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</si>
  <si>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</si>
  <si>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</si>
  <si>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</si>
  <si>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</si>
  <si>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</si>
  <si>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</si>
  <si>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</si>
  <si>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</si>
  <si>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</si>
  <si>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</si>
  <si>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</si>
  <si>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</si>
  <si>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</si>
  <si>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</si>
  <si>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</si>
  <si>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</si>
  <si>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</si>
  <si>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</si>
  <si>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</si>
  <si>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</si>
  <si>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</si>
  <si>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</si>
  <si>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</si>
  <si>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</si>
  <si>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</si>
  <si>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</si>
  <si>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</si>
  <si>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</si>
  <si>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</si>
  <si>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</si>
  <si>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</si>
  <si>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</si>
  <si>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</si>
  <si>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</si>
  <si>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</si>
  <si>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</si>
  <si>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</si>
  <si>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</si>
  <si>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</si>
  <si>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</si>
  <si>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</si>
  <si>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</si>
  <si>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</si>
  <si>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</si>
  <si>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</si>
  <si>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</si>
  <si>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</si>
  <si>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</si>
  <si>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</si>
  <si>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</si>
  <si>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</si>
  <si>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</si>
  <si>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</si>
  <si>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</si>
  <si>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</si>
  <si>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</si>
  <si>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</si>
  <si>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</si>
  <si>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</si>
  <si>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</si>
  <si>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</si>
  <si>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</si>
  <si>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</si>
  <si>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</si>
  <si>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</si>
  <si>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</si>
  <si>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</si>
  <si>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</si>
  <si>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</si>
  <si>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</si>
  <si>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</si>
  <si>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</si>
  <si>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</si>
  <si>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</si>
  <si>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</si>
  <si>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</si>
  <si>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</si>
  <si>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</si>
  <si>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</si>
  <si>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</si>
  <si>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</si>
  <si>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</si>
  <si>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</si>
  <si>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</si>
  <si>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</si>
  <si>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</si>
  <si>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</si>
  <si>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</si>
  <si>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</si>
  <si>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</si>
  <si>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</si>
  <si>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</si>
  <si>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</si>
  <si>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</si>
  <si>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</si>
  <si>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</si>
  <si>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</si>
  <si>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</si>
  <si>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</si>
  <si>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</si>
  <si>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</si>
  <si>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</si>
  <si>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出让</t>
  </si>
  <si>
    <t>市场价格</t>
  </si>
  <si>
    <t>企业</t>
  </si>
  <si>
    <t>一致</t>
  </si>
  <si>
    <t>商业</t>
  </si>
  <si>
    <t>成新度</t>
  </si>
  <si>
    <t>地上</t>
  </si>
  <si>
    <t>独立商业</t>
  </si>
  <si>
    <t>办公楼</t>
  </si>
  <si>
    <t>商业</t>
    <phoneticPr fontId="7" type="noConversion"/>
  </si>
  <si>
    <t>办公</t>
    <phoneticPr fontId="7" type="noConversion"/>
  </si>
  <si>
    <t>按公示增长率计算</t>
  </si>
  <si>
    <t>容积率修正</t>
  </si>
  <si>
    <t>不临58条商业街</t>
  </si>
  <si>
    <t>一般</t>
  </si>
  <si>
    <t>批发零售用地</t>
  </si>
  <si>
    <t>与级别开发程度一致</t>
  </si>
  <si>
    <t>估价对象容积率</t>
  </si>
  <si>
    <t>商务金融用地（办公类）</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</si>
  <si>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</si>
  <si>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</si>
  <si>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基准地价-商业</t>
  </si>
  <si>
    <t>基准地价-办公</t>
  </si>
  <si>
    <t>Ⅷ-兴1</t>
  </si>
  <si>
    <t>一般</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</si>
</sst>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84" fillId="0" borderId="2" xfId="3" applyFont="1" applyBorder="1" applyAlignment="1" applyProtection="1">
      <alignmen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3214.29平方米。根据《建设工程规划许可证》[]、《出让合同》[]，估价对象规划建筑面积为9000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2021年3月14日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根据《国有土地使用证》[]，估价对象（分摊）出让国有建设用地使用权面积为3214.29平方米。根据《建设工程规划许可证》[]、《出让合同》[]，估价对象规划建筑面积为9000平方米。</v>
      </c>
    </row>
    <row r="16" spans="1:55" s="2593" customFormat="1">
      <c r="A16" s="2594" t="s">
        <v>2650</v>
      </c>
      <c r="B16" s="2595" t="str">
        <f>'预评函-1'!A22</f>
        <v>本次估价对象为出让国有建设用地使用权，《国有土地使用证》[]证载土地终止日期为商业2090年1月1日、办公2090年1月1日。截至估价期日，出让国有建设用地使用权剩余土地使用年限为。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估价期日：2021年3月14日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3214.29</v>
      </c>
    </row>
    <row r="44" spans="1:2">
      <c r="A44" s="2594" t="s">
        <v>2721</v>
      </c>
      <c r="B44" s="2595" t="str">
        <f>'预评函-2'!O3</f>
        <v>规划建筑面积/㎡</v>
      </c>
    </row>
    <row r="45" spans="1:2">
      <c r="A45" s="2594" t="s">
        <v>2703</v>
      </c>
      <c r="B45" s="2595">
        <f>'预评函-2'!O5</f>
        <v>9000</v>
      </c>
    </row>
    <row r="46" spans="1:2">
      <c r="A46" s="2594" t="s">
        <v>2704</v>
      </c>
      <c r="B46" s="2595">
        <f ca="1">'预评函-2'!P5</f>
        <v>12927</v>
      </c>
    </row>
    <row r="47" spans="1:2">
      <c r="A47" s="2594" t="s">
        <v>2705</v>
      </c>
      <c r="B47" s="2595">
        <f ca="1">'预评函-2'!Q5</f>
        <v>4617</v>
      </c>
    </row>
    <row r="48" spans="1:2">
      <c r="A48" s="2594" t="s">
        <v>2706</v>
      </c>
      <c r="B48" s="2595">
        <f ca="1">'预评函-2'!R5</f>
        <v>4155</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80" zoomScaleNormal="100" zoomScaleSheetLayoutView="80" workbookViewId="0">
      <selection activeCell="H44" sqref="H44"/>
    </sheetView>
  </sheetViews>
  <sheetFormatPr defaultColWidth="10" defaultRowHeight="14.25"/>
  <cols>
    <col min="1" max="1" width="15.375" style="1613" customWidth="1"/>
    <col min="2"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18" t="str">
        <f>IF(B10="北京市","北京市",C10)&amp;F10&amp;B16&amp;"国有建设用地使用权"&amp;B9&amp;"预评估"</f>
        <v>北京市出让国有建设用地使用权市场价格预评估</v>
      </c>
      <c r="C1" s="3319"/>
      <c r="D1" s="3319"/>
      <c r="E1" s="3319"/>
      <c r="F1" s="3319"/>
      <c r="G1" s="3319"/>
      <c r="H1" s="3319"/>
      <c r="I1" s="3320"/>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44269</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3000</v>
      </c>
      <c r="C8" s="1598"/>
      <c r="D8" s="3324"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3001</v>
      </c>
      <c r="C9" s="1601"/>
      <c r="D9" s="3325"/>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3002</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21"/>
      <c r="C12" s="3322"/>
      <c r="D12" s="3323"/>
      <c r="E12" s="1620" t="s">
        <v>2050</v>
      </c>
      <c r="F12" s="3339" t="s">
        <v>2868</v>
      </c>
      <c r="G12" s="3340"/>
      <c r="H12" s="3340"/>
      <c r="I12" s="3341"/>
      <c r="J12" s="3073"/>
      <c r="K12" s="3056"/>
      <c r="L12" s="3052"/>
      <c r="M12" s="3052"/>
      <c r="N12" s="3053"/>
      <c r="O12" s="3054"/>
      <c r="P12" s="3053"/>
      <c r="Q12" s="3053"/>
      <c r="R12" s="3053"/>
      <c r="S12" s="3053"/>
      <c r="T12" s="3053"/>
      <c r="U12" s="3053"/>
    </row>
    <row r="13" spans="1:21">
      <c r="A13" s="1611" t="s">
        <v>2048</v>
      </c>
      <c r="B13" s="3321"/>
      <c r="C13" s="3322"/>
      <c r="D13" s="3323"/>
      <c r="E13" s="1620" t="s">
        <v>2050</v>
      </c>
      <c r="F13" s="3339" t="s">
        <v>2869</v>
      </c>
      <c r="G13" s="3340"/>
      <c r="H13" s="3340"/>
      <c r="I13" s="3341"/>
      <c r="J13" s="3073"/>
      <c r="K13" s="3056"/>
      <c r="L13" s="3052"/>
      <c r="M13" s="3052"/>
      <c r="N13" s="3053"/>
      <c r="O13" s="3054"/>
      <c r="P13" s="3053"/>
      <c r="Q13" s="3053"/>
      <c r="R13" s="3053"/>
      <c r="S13" s="3053"/>
      <c r="T13" s="3053"/>
      <c r="U13" s="3053"/>
    </row>
    <row r="14" spans="1:21">
      <c r="A14" s="1588" t="s">
        <v>2051</v>
      </c>
      <c r="B14" s="1620"/>
      <c r="C14" s="1757" t="s">
        <v>3003</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3000</v>
      </c>
      <c r="C16" s="1620" t="s">
        <v>1937</v>
      </c>
      <c r="D16" s="2487" t="s">
        <v>1938</v>
      </c>
      <c r="E16" s="1642" t="s">
        <v>3004</v>
      </c>
      <c r="F16" s="1642" t="s">
        <v>1668</v>
      </c>
      <c r="G16" s="1642"/>
      <c r="H16" s="1642"/>
      <c r="I16" s="1610" t="s">
        <v>1943</v>
      </c>
      <c r="J16" s="3073"/>
      <c r="K16" s="2310" t="str">
        <f>IF(D17="","",D16&amp;TEXT(D17,"yyyy年m月d日;;"))</f>
        <v/>
      </c>
      <c r="L16" s="1620" t="str">
        <f>IF(OR(K16="",M16=""),"","、")</f>
        <v/>
      </c>
      <c r="M16" s="2310" t="str">
        <f>IF(E17="","",E16&amp;TEXT(E17,"yyyy年m月d日;;"))</f>
        <v>商业2090年1月1日</v>
      </c>
      <c r="N16" s="1620" t="str">
        <f>IF(OR(M16="",O16=""),"","、")</f>
        <v>、</v>
      </c>
      <c r="O16" s="2310" t="str">
        <f>IF(F17="","",F16&amp;TEXT(F17,"yyyy年m月d日;;"))</f>
        <v>办公2090年1月1日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v>69399</v>
      </c>
      <c r="F17" s="3277">
        <f>E17</f>
        <v>69399</v>
      </c>
      <c r="G17" s="3277"/>
      <c r="H17" s="3277"/>
      <c r="I17" s="3277"/>
      <c r="J17" s="3073"/>
      <c r="K17" s="3051" t="str">
        <f>CONCATENATE(K16,L16,M16,N16,O16,P16,Q16,R16,S16,T16,,U16)</f>
        <v>商业2090年1月1日、办公2090年1月1日</v>
      </c>
      <c r="L17" s="3052"/>
      <c r="M17" s="3052"/>
      <c r="N17" s="3053"/>
      <c r="O17" s="3054"/>
      <c r="P17" s="3053"/>
      <c r="Q17" s="3053"/>
      <c r="R17" s="3053"/>
      <c r="S17" s="3053"/>
      <c r="T17" s="3053"/>
      <c r="U17" s="3053"/>
    </row>
    <row r="18" spans="1:21">
      <c r="A18" s="1679"/>
      <c r="B18" s="1607"/>
      <c r="C18" s="3002" t="s">
        <v>1945</v>
      </c>
      <c r="D18" s="1608"/>
      <c r="E18" s="1608">
        <v>40</v>
      </c>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f>IF(B16="出让",IF(E17="","",ROUNDDOWN(MIN((E17-$D$3)/365,E18),2)),E18)</f>
        <v>40</v>
      </c>
      <c r="F19" s="1609">
        <f>IF(B16="出让",IF(F17="","",ROUNDDOWN(MIN((F17-$D$3)/365,F18),2)),F18)</f>
        <v>50</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36"/>
      <c r="E20" s="3337"/>
      <c r="F20" s="3337"/>
      <c r="G20" s="3337"/>
      <c r="H20" s="3337"/>
      <c r="I20" s="3338"/>
      <c r="J20" s="3073"/>
      <c r="K20" s="3056"/>
      <c r="L20" s="3052"/>
      <c r="M20" s="3052"/>
      <c r="N20" s="3053"/>
      <c r="O20" s="3054"/>
      <c r="P20" s="3053"/>
      <c r="Q20" s="3053"/>
      <c r="R20" s="3053"/>
      <c r="S20" s="3053"/>
      <c r="T20" s="3053"/>
      <c r="U20" s="3053"/>
    </row>
    <row r="21" spans="1:21">
      <c r="A21" s="1679" t="s">
        <v>1947</v>
      </c>
      <c r="B21" s="1680" t="s">
        <v>1948</v>
      </c>
      <c r="C21" s="1675">
        <f>'数据-汇总表'!E3</f>
        <v>9000</v>
      </c>
      <c r="D21" s="1676" t="s">
        <v>1949</v>
      </c>
      <c r="E21" s="3326" t="s">
        <v>1987</v>
      </c>
      <c r="F21" s="3327"/>
      <c r="G21" s="3327"/>
      <c r="H21" s="3327"/>
      <c r="I21" s="3328"/>
      <c r="J21" s="3073"/>
      <c r="K21" s="3056"/>
      <c r="L21" s="3052"/>
      <c r="M21" s="3052"/>
      <c r="N21" s="3053"/>
      <c r="O21" s="3054"/>
      <c r="P21" s="3053"/>
      <c r="Q21" s="3053"/>
      <c r="R21" s="3053"/>
      <c r="S21" s="3053"/>
      <c r="T21" s="3053"/>
      <c r="U21" s="3053"/>
    </row>
    <row r="22" spans="1:21">
      <c r="A22" s="2801" t="s">
        <v>943</v>
      </c>
      <c r="B22" s="1588" t="s">
        <v>1950</v>
      </c>
      <c r="C22" s="1610">
        <f>'数据-汇总表'!D3</f>
        <v>3214.29</v>
      </c>
      <c r="D22" s="1611" t="s">
        <v>1949</v>
      </c>
      <c r="E22" s="3326" t="s">
        <v>2870</v>
      </c>
      <c r="F22" s="3327"/>
      <c r="G22" s="3327"/>
      <c r="H22" s="3327"/>
      <c r="I22" s="332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29" t="s">
        <v>1955</v>
      </c>
      <c r="C24" s="3330"/>
      <c r="D24" s="3331" t="s">
        <v>1956</v>
      </c>
      <c r="E24" s="3332"/>
      <c r="F24" s="1628" t="s">
        <v>1957</v>
      </c>
      <c r="G24" s="3073"/>
      <c r="H24" s="3073"/>
      <c r="I24" s="3077"/>
      <c r="J24" s="3073"/>
      <c r="K24" s="331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1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1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44" t="s">
        <v>1990</v>
      </c>
      <c r="B31" s="1680" t="s">
        <v>1991</v>
      </c>
      <c r="C31" s="3342"/>
      <c r="D31" s="3343"/>
      <c r="E31" s="3073"/>
      <c r="F31" s="3073"/>
      <c r="G31" s="3073"/>
      <c r="H31" s="3073"/>
      <c r="I31" s="3077"/>
      <c r="J31" s="3073"/>
      <c r="K31" s="3059"/>
      <c r="L31" s="3053"/>
      <c r="M31" s="3053"/>
      <c r="N31" s="3053"/>
      <c r="O31" s="3053"/>
      <c r="P31" s="3053"/>
      <c r="Q31" s="3053"/>
      <c r="R31" s="3053"/>
      <c r="S31" s="3053"/>
      <c r="T31" s="3053"/>
      <c r="U31" s="3053"/>
    </row>
    <row r="32" spans="1:21">
      <c r="A32" s="334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4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45"/>
      <c r="B34" s="1588" t="s">
        <v>1994</v>
      </c>
      <c r="C34" s="3346"/>
      <c r="D34" s="3347"/>
      <c r="E34" s="3073"/>
      <c r="F34" s="3073"/>
      <c r="G34" s="3073"/>
      <c r="H34" s="3073"/>
      <c r="I34" s="3077"/>
      <c r="J34" s="3073"/>
      <c r="K34" s="3059"/>
      <c r="L34" s="3053"/>
      <c r="M34" s="3053"/>
      <c r="N34" s="3053"/>
      <c r="O34" s="3053"/>
      <c r="P34" s="3053"/>
      <c r="Q34" s="3053"/>
      <c r="R34" s="3053"/>
      <c r="S34" s="3053"/>
      <c r="T34" s="3053"/>
      <c r="U34" s="3053"/>
    </row>
    <row r="35" spans="1:28">
      <c r="A35" s="3348" t="s">
        <v>839</v>
      </c>
      <c r="B35" s="1642"/>
      <c r="C35" s="1689" t="str">
        <f>IF(B35="场地平整","——","具体情况：")</f>
        <v>具体情况：</v>
      </c>
      <c r="D35" s="3350"/>
      <c r="E35" s="3351"/>
      <c r="F35" s="3351"/>
      <c r="G35" s="3351"/>
      <c r="H35" s="3351"/>
      <c r="I35" s="3352"/>
      <c r="J35" s="3073"/>
      <c r="K35" s="3060"/>
      <c r="L35" s="3052"/>
      <c r="M35" s="3052"/>
      <c r="N35" s="3053"/>
      <c r="O35" s="3054"/>
      <c r="P35" s="3053"/>
      <c r="Q35" s="3053"/>
      <c r="R35" s="3053"/>
      <c r="S35" s="3053"/>
      <c r="T35" s="3053"/>
      <c r="U35" s="3053"/>
    </row>
    <row r="36" spans="1:28">
      <c r="A36" s="3344"/>
      <c r="B36" s="3353" t="s">
        <v>2043</v>
      </c>
      <c r="C36" s="3354"/>
      <c r="D36" s="1705"/>
      <c r="E36" s="3355"/>
      <c r="F36" s="3355"/>
      <c r="G36" s="1611" t="str">
        <f>IF(B35="场地未平整","估价结果处理","")</f>
        <v/>
      </c>
      <c r="H36" s="3356"/>
      <c r="I36" s="3356"/>
      <c r="J36" s="3073"/>
      <c r="K36" s="3060"/>
      <c r="L36" s="3052"/>
      <c r="M36" s="3052"/>
      <c r="N36" s="3053"/>
      <c r="O36" s="3054"/>
      <c r="P36" s="3053"/>
      <c r="Q36" s="3053"/>
      <c r="R36" s="3053"/>
      <c r="S36" s="3053"/>
      <c r="T36" s="3053"/>
      <c r="U36" s="3053"/>
    </row>
    <row r="37" spans="1:28" ht="28.5">
      <c r="A37" s="3344"/>
      <c r="B37" s="333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44"/>
      <c r="B38" s="3334"/>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345"/>
      <c r="B39" s="3335"/>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16" t="s">
        <v>1974</v>
      </c>
      <c r="T40" s="1651" t="str">
        <f>NUMBERSTRING(7-K40,1)&amp;"通"</f>
        <v>七通</v>
      </c>
      <c r="U40" s="3053"/>
    </row>
    <row r="41" spans="1:28">
      <c r="A41" s="1590"/>
      <c r="B41" s="3349" t="s">
        <v>1712</v>
      </c>
      <c r="C41" s="3349"/>
      <c r="D41" s="3349"/>
      <c r="E41" s="334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16"/>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t="s">
        <v>1404</v>
      </c>
      <c r="C43" s="1657" t="s">
        <v>1404</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t="s">
        <v>3023</v>
      </c>
      <c r="C44" s="1657" t="s">
        <v>3023</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B3/2.8</f>
        <v>3214.2857142857147</v>
      </c>
      <c r="B3" s="22">
        <f>IF(C3="否",G5-AT5,G5)</f>
        <v>9000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9000</v>
      </c>
      <c r="H5" s="27">
        <f t="shared" ref="H5:AT5" si="0">SUM(H13:H641)</f>
        <v>9000</v>
      </c>
      <c r="I5" s="27">
        <f t="shared" si="0"/>
        <v>4500</v>
      </c>
      <c r="J5" s="27">
        <f t="shared" si="0"/>
        <v>0</v>
      </c>
      <c r="K5" s="27">
        <f t="shared" si="0"/>
        <v>4500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9000</v>
      </c>
      <c r="BA5" s="29">
        <f t="shared" si="1"/>
        <v>9000</v>
      </c>
      <c r="BB5" s="29">
        <f t="shared" si="1"/>
        <v>4500</v>
      </c>
      <c r="BC5" s="29">
        <f t="shared" si="1"/>
        <v>4500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3214.28</v>
      </c>
      <c r="F6" s="27" t="s">
        <v>1</v>
      </c>
      <c r="G6" s="27" t="s">
        <v>2</v>
      </c>
      <c r="H6" s="33">
        <f>SUMIF(I$12:AB$12,"总值",I6:AB6)</f>
        <v>3214.28</v>
      </c>
      <c r="I6" s="27">
        <f t="shared" ref="I6:AB6" si="2">ROUND($A$3*I5/$B$3,2)</f>
        <v>1607.14</v>
      </c>
      <c r="J6" s="27">
        <f t="shared" si="2"/>
        <v>0</v>
      </c>
      <c r="K6" s="27">
        <f t="shared" si="2"/>
        <v>1607.14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3214.29</v>
      </c>
      <c r="AZ6" s="27" t="s">
        <v>3</v>
      </c>
      <c r="BA6" s="27">
        <f>ROUND($AY$6*BA5/$AZ$5,2)</f>
        <v>3214.29</v>
      </c>
      <c r="BB6" s="27">
        <f>ROUND($AY$6*BB5/$AZ$5,2)</f>
        <v>1607.15</v>
      </c>
      <c r="BC6" s="27">
        <f t="shared" ref="BC6:BH6" si="4">ROUND($AY$6*BC5/$AZ$5,2)</f>
        <v>1607.15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3006</v>
      </c>
      <c r="J9" s="51"/>
      <c r="K9" s="2731" t="s">
        <v>3006</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3004</v>
      </c>
      <c r="J10" s="51"/>
      <c r="K10" s="2733" t="s">
        <v>1668</v>
      </c>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3007</v>
      </c>
      <c r="J11" s="71"/>
      <c r="K11" s="2732" t="s">
        <v>3008</v>
      </c>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独立商业</v>
      </c>
      <c r="BC12" s="79" t="str">
        <f>K11</f>
        <v>办公楼</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3214.29</v>
      </c>
      <c r="F13" s="81"/>
      <c r="G13" s="82">
        <f t="shared" ref="G13:G20" si="7">H13+AC13+AT13</f>
        <v>9000</v>
      </c>
      <c r="H13" s="33">
        <f t="shared" ref="H13:H20" si="8">SUMIF(I$12:AB$12,"总值",I13:AB13)</f>
        <v>9000</v>
      </c>
      <c r="I13" s="2730">
        <v>4500</v>
      </c>
      <c r="J13" s="2730"/>
      <c r="K13" s="2730">
        <f>9000-I13</f>
        <v>4500</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3214.29</v>
      </c>
      <c r="AZ13" s="27">
        <f t="shared" ref="AZ13:AZ20" si="12">BA13+BL13</f>
        <v>9000</v>
      </c>
      <c r="BA13" s="27">
        <f t="shared" ref="BA13:BA20" si="13">SUM(BB13:BK13)</f>
        <v>9000</v>
      </c>
      <c r="BB13" s="27">
        <f t="shared" ref="BB13:BB20" si="14">IF($D13="是",I13-J13,0)</f>
        <v>4500</v>
      </c>
      <c r="BC13" s="27">
        <f t="shared" ref="BC13:BC20" si="15">IF($D13="是",K13-L13,0)</f>
        <v>4500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t="s">
        <v>1669</v>
      </c>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7" t="s">
        <v>0</v>
      </c>
      <c r="B1" s="3357" t="s">
        <v>4</v>
      </c>
      <c r="C1" s="3357" t="s">
        <v>5</v>
      </c>
      <c r="D1" s="3358" t="s">
        <v>40</v>
      </c>
      <c r="E1" s="3358" t="s">
        <v>41</v>
      </c>
      <c r="F1" s="3358"/>
      <c r="G1" s="3358"/>
      <c r="H1" s="3358"/>
      <c r="I1" s="3358"/>
      <c r="J1" s="3358"/>
      <c r="K1" s="3358"/>
      <c r="L1" s="3358"/>
      <c r="M1" s="3358"/>
    </row>
    <row r="2" spans="1:13" ht="27" customHeight="1">
      <c r="A2" s="3357"/>
      <c r="B2" s="3357"/>
      <c r="C2" s="3357"/>
      <c r="D2" s="3358"/>
      <c r="E2" s="3358" t="s">
        <v>24</v>
      </c>
      <c r="F2" s="3358" t="s">
        <v>25</v>
      </c>
      <c r="G2" s="3358"/>
      <c r="H2" s="3358"/>
      <c r="I2" s="3358"/>
      <c r="J2" s="3358" t="s">
        <v>26</v>
      </c>
      <c r="K2" s="3358"/>
      <c r="L2" s="3358"/>
      <c r="M2" s="3358"/>
    </row>
    <row r="3" spans="1:13" ht="28.5">
      <c r="A3" s="3357"/>
      <c r="B3" s="3357"/>
      <c r="C3" s="3357"/>
      <c r="D3" s="3358"/>
      <c r="E3" s="33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12" sqref="I1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8" t="s">
        <v>203</v>
      </c>
      <c r="B2" s="3368"/>
      <c r="C2" s="3368"/>
      <c r="D2" s="1888" t="s">
        <v>204</v>
      </c>
      <c r="E2" s="106" t="s">
        <v>205</v>
      </c>
      <c r="F2" s="3082"/>
      <c r="G2" s="1181"/>
      <c r="H2" s="1182"/>
      <c r="I2" s="1183" t="s">
        <v>849</v>
      </c>
      <c r="J2" s="3082"/>
      <c r="K2" s="3082"/>
      <c r="L2" s="3082"/>
      <c r="M2" s="3082"/>
      <c r="N2" s="3082"/>
      <c r="O2" s="3082"/>
      <c r="P2" s="3082"/>
    </row>
    <row r="3" spans="1:16" ht="15.75" thickBot="1">
      <c r="A3" s="3369" t="s">
        <v>206</v>
      </c>
      <c r="B3" s="3369"/>
      <c r="C3" s="3369"/>
      <c r="D3" s="107">
        <f>'数据-基础表'!AY6</f>
        <v>3214.29</v>
      </c>
      <c r="E3" s="107">
        <f>'数据-基础表'!AZ5</f>
        <v>9000</v>
      </c>
      <c r="F3" s="3082"/>
      <c r="G3" s="278" t="s">
        <v>850</v>
      </c>
      <c r="H3" s="273" t="s">
        <v>851</v>
      </c>
      <c r="I3" s="1889">
        <f>ROUND('数据-基础表'!B3/'数据-基础表'!A3,2)</f>
        <v>2.8</v>
      </c>
      <c r="J3" s="3082"/>
      <c r="K3" s="3082"/>
      <c r="L3" s="3082"/>
      <c r="M3" s="3082"/>
      <c r="N3" s="3082"/>
      <c r="O3" s="3082"/>
      <c r="P3" s="3082"/>
    </row>
    <row r="4" spans="1:16" ht="15">
      <c r="A4" s="3370"/>
      <c r="B4" s="3371"/>
      <c r="C4" s="3372"/>
      <c r="D4" s="108" t="s">
        <v>204</v>
      </c>
      <c r="E4" s="109" t="s">
        <v>205</v>
      </c>
      <c r="F4" s="3082"/>
      <c r="G4" s="1184"/>
      <c r="H4" s="273" t="s">
        <v>852</v>
      </c>
      <c r="I4" s="1889">
        <f>ROUND(SUMIF('数据-基础表'!I9:AS9,"地上",'数据-基础表'!I5:AS5)/'数据-基础表'!A3,2)</f>
        <v>2.8</v>
      </c>
      <c r="J4" s="3082"/>
      <c r="K4" s="3082"/>
      <c r="L4" s="3082"/>
      <c r="M4" s="3082"/>
      <c r="N4" s="3082"/>
      <c r="O4" s="3082"/>
      <c r="P4" s="3082"/>
    </row>
    <row r="5" spans="1:16">
      <c r="A5" s="110" t="s">
        <v>207</v>
      </c>
      <c r="B5" s="3373" t="s">
        <v>230</v>
      </c>
      <c r="C5" s="3373"/>
      <c r="D5" s="111">
        <f>ROUND($D$3*E5/$E$3,2)</f>
        <v>0</v>
      </c>
      <c r="E5" s="112">
        <f>SUMIF('数据-基础表'!$11:$11,"住宅",'数据-基础表'!$5:$5)</f>
        <v>0</v>
      </c>
      <c r="F5" s="3082"/>
      <c r="G5" s="278" t="s">
        <v>853</v>
      </c>
      <c r="H5" s="273" t="s">
        <v>851</v>
      </c>
      <c r="I5" s="1889">
        <f>ROUND(E31/D31,2)</f>
        <v>2.8</v>
      </c>
      <c r="J5" s="3082"/>
      <c r="K5" s="3082"/>
      <c r="L5" s="3082"/>
      <c r="M5" s="3082"/>
      <c r="N5" s="3082"/>
      <c r="O5" s="3082"/>
      <c r="P5" s="3082"/>
    </row>
    <row r="6" spans="1:16" ht="15" thickBot="1">
      <c r="A6" s="113"/>
      <c r="B6" s="3373" t="s">
        <v>208</v>
      </c>
      <c r="C6" s="3373"/>
      <c r="D6" s="111">
        <f>ROUND($D$3*E6/$E$3,2)</f>
        <v>3214.29</v>
      </c>
      <c r="E6" s="112">
        <f>E3-E5</f>
        <v>9000</v>
      </c>
      <c r="F6" s="3082"/>
      <c r="G6" s="1184"/>
      <c r="H6" s="273" t="s">
        <v>852</v>
      </c>
      <c r="I6" s="1889">
        <f>ROUND(F31/D31,2)</f>
        <v>2.8</v>
      </c>
      <c r="J6" s="3082"/>
      <c r="K6" s="3082"/>
      <c r="L6" s="3082"/>
      <c r="M6" s="3082"/>
      <c r="N6" s="3082"/>
      <c r="O6" s="3082"/>
      <c r="P6" s="3082"/>
    </row>
    <row r="7" spans="1:16" ht="15">
      <c r="A7" s="3365"/>
      <c r="B7" s="3366"/>
      <c r="C7" s="3367"/>
      <c r="D7" s="108" t="s">
        <v>204</v>
      </c>
      <c r="E7" s="114" t="s">
        <v>231</v>
      </c>
      <c r="F7" s="3082"/>
      <c r="G7" s="1139" t="s">
        <v>1636</v>
      </c>
      <c r="H7" s="1140"/>
      <c r="I7" s="1759">
        <v>2</v>
      </c>
      <c r="J7" s="3082"/>
      <c r="K7" s="3082"/>
      <c r="L7" s="3082"/>
      <c r="M7" s="3082"/>
      <c r="N7" s="3082"/>
      <c r="O7" s="3082"/>
      <c r="P7" s="3082"/>
    </row>
    <row r="8" spans="1:16">
      <c r="A8" s="110" t="s">
        <v>209</v>
      </c>
      <c r="B8" s="115" t="s">
        <v>210</v>
      </c>
      <c r="C8" s="111" t="s">
        <v>211</v>
      </c>
      <c r="D8" s="111">
        <f t="shared" ref="D8:D15" si="0">ROUND($D$3*E8/$E$3,2)</f>
        <v>3214.29</v>
      </c>
      <c r="E8" s="116">
        <f>SUMIF('数据-基础表'!BB10:BK10,"地上",'数据-基础表'!BB5:BK5)</f>
        <v>9000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3214.29</v>
      </c>
      <c r="E16" s="120">
        <f>SUM(E8:E15)</f>
        <v>9000</v>
      </c>
      <c r="F16" s="3082"/>
      <c r="G16" s="3083"/>
      <c r="H16" s="956" t="s">
        <v>219</v>
      </c>
      <c r="I16" s="957"/>
      <c r="J16" s="1897"/>
      <c r="K16" s="3359" t="s">
        <v>2548</v>
      </c>
      <c r="L16" s="3360"/>
      <c r="M16" s="3360"/>
      <c r="N16" s="3360"/>
      <c r="O16" s="3360"/>
      <c r="P16" s="3361"/>
    </row>
    <row r="17" spans="1:19" ht="15">
      <c r="A17" s="121" t="s">
        <v>216</v>
      </c>
      <c r="B17" s="122" t="s">
        <v>217</v>
      </c>
      <c r="C17" s="2177" t="s">
        <v>2301</v>
      </c>
      <c r="D17" s="108" t="s">
        <v>204</v>
      </c>
      <c r="E17" s="124" t="s">
        <v>205</v>
      </c>
      <c r="F17" s="125"/>
      <c r="G17" s="1319"/>
      <c r="H17" s="958" t="s">
        <v>218</v>
      </c>
      <c r="I17" s="959" t="s">
        <v>2300</v>
      </c>
      <c r="J17" s="1897"/>
      <c r="K17" s="3362" t="s">
        <v>2549</v>
      </c>
      <c r="L17" s="3363"/>
      <c r="M17" s="3364"/>
      <c r="N17" s="3362" t="s">
        <v>2550</v>
      </c>
      <c r="O17" s="3363"/>
      <c r="P17" s="3364"/>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3009</v>
      </c>
      <c r="D19" s="111">
        <f t="shared" ref="D19:D26" si="1">ROUND($D$3*E19/$E$3,2)</f>
        <v>1607.15</v>
      </c>
      <c r="E19" s="134">
        <f t="shared" ref="E19:E26" si="2">SUM(F19:G19)</f>
        <v>4500</v>
      </c>
      <c r="F19" s="3084">
        <f>'数据-基础表'!I13</f>
        <v>4500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1607.15</v>
      </c>
      <c r="S19" s="2180">
        <f t="shared" si="5"/>
        <v>4500</v>
      </c>
    </row>
    <row r="20" spans="1:19">
      <c r="A20" s="137"/>
      <c r="B20" s="115" t="s">
        <v>226</v>
      </c>
      <c r="C20" s="2737" t="s">
        <v>3010</v>
      </c>
      <c r="D20" s="111">
        <f t="shared" si="1"/>
        <v>1607.15</v>
      </c>
      <c r="E20" s="134">
        <f t="shared" si="2"/>
        <v>4500</v>
      </c>
      <c r="F20" s="3084">
        <f>'数据-基础表'!K13</f>
        <v>4500</v>
      </c>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1607.15</v>
      </c>
      <c r="S20" s="2180">
        <f t="shared" si="5"/>
        <v>4500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29.25" thickBot="1">
      <c r="A27" s="137"/>
      <c r="B27" s="111"/>
      <c r="C27" s="127" t="s">
        <v>215</v>
      </c>
      <c r="D27" s="134">
        <f>SUM(D19:D26)</f>
        <v>3214.3</v>
      </c>
      <c r="E27" s="141">
        <f>IF(SUM(E19:E26)='数据-基础表'!BA5,SUM(E19:E26),IF(F27="地上面积有误","面积有误","地下面积有误"))</f>
        <v>9000</v>
      </c>
      <c r="F27" s="134">
        <f>IF(SUM(F19:F26)=E8,SUM(F19:F26),"地上面积有误")</f>
        <v>9000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t="str">
        <f>IF(SUM(R19:R26)=$D$3,SUM(R19:R26),SUM(R19:R26)&amp;"误差"&amp;ROUND(SUM(R19:R26)-$D$3,2))</f>
        <v>3214.3误差0.01</v>
      </c>
      <c r="S27" s="273">
        <f>IF(SUM(S19:S26)=$E$3,SUM(S19:S26),SUM(S19:S26)&amp;"误差"&amp;ROUND(SUM(S19:S26)-E3,2))</f>
        <v>9000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3214.3</v>
      </c>
      <c r="E31" s="1323">
        <f>E27+E30</f>
        <v>9000</v>
      </c>
      <c r="F31" s="1324">
        <f>F27+F30</f>
        <v>9000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A6" sqref="A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3005</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v>
      </c>
      <c r="B6" s="2216" t="str">
        <f>IF(A6=0,"","经营性")</f>
        <v>经营性</v>
      </c>
      <c r="C6" s="171" t="s">
        <v>3004</v>
      </c>
      <c r="D6" s="2187">
        <f>SUMIF(项目基本情况!D$15:I$15,C6,项目基本情况!D$18:I$18)</f>
        <v>40</v>
      </c>
      <c r="E6" s="2188">
        <f>IF(B6="","",SUMIF(项目基本情况!D$15:I$15,C6,项目基本情况!D$17:I$17))</f>
        <v>69399</v>
      </c>
      <c r="F6" s="172">
        <f>SUMIF(项目基本情况!D$15:I$15,C6,项目基本情况!D$19:I$19)</f>
        <v>40</v>
      </c>
      <c r="G6" s="173">
        <f>IF(ISERROR(ROUND(POWER(1+H6,D6-F6)*(POWER(1+H6,F6)-1)/(POWER(1+H6,D6)-1),3)),0,ROUND(POWER(1+H6,D6-F6)*(POWER(1+H6,F6)-1)/(POWER(1+H6,D6)-1),3))</f>
        <v>1</v>
      </c>
      <c r="H6" s="2738">
        <v>0.05</v>
      </c>
      <c r="I6" s="2738">
        <v>0.06</v>
      </c>
      <c r="J6" s="174">
        <v>0.08</v>
      </c>
      <c r="K6" s="177">
        <f>SUMIF('数据-汇总表'!C$19:C$33,'数据-取费表'!A6,'数据-汇总表'!E$19:E$33)</f>
        <v>4500</v>
      </c>
      <c r="L6" s="2739">
        <v>2500</v>
      </c>
      <c r="M6" s="175">
        <f t="shared" ref="M6:M14" si="0">ROUND(K6*L6/10000,0)</f>
        <v>1125</v>
      </c>
      <c r="N6" s="2740">
        <v>1</v>
      </c>
      <c r="O6" s="175" t="str">
        <f>IF($N$5="成新度","——",ROUND(M6*N6,0))</f>
        <v>——</v>
      </c>
      <c r="P6" s="176" t="str">
        <f>IF($N$5="成新度","——",M6-O6)</f>
        <v>——</v>
      </c>
      <c r="Q6" s="2741">
        <v>0.2</v>
      </c>
      <c r="R6" s="177">
        <f>SUMIF('数据-汇总表'!C$19:C$33,A6,'数据-汇总表'!R$19:R$33)</f>
        <v>1607.15</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0.85799999999999998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办公</v>
      </c>
      <c r="B7" s="2216" t="str">
        <f t="shared" ref="B7:B13" si="1">IF(A7=0,"","经营性")</f>
        <v>经营性</v>
      </c>
      <c r="C7" s="171" t="s">
        <v>1668</v>
      </c>
      <c r="D7" s="2187">
        <f>SUMIF(项目基本情况!D$15:I$15,C7,项目基本情况!D$18:I$18)</f>
        <v>50</v>
      </c>
      <c r="E7" s="2188">
        <f>IF(B7="","",SUMIF(项目基本情况!D$15:I$15,C7,项目基本情况!D$17:I$17))</f>
        <v>69399</v>
      </c>
      <c r="F7" s="172">
        <f>SUMIF(项目基本情况!D$15:I$15,C7,项目基本情况!D$19:I$19)</f>
        <v>50</v>
      </c>
      <c r="G7" s="173">
        <f t="shared" ref="G7:G11" si="2">IF(ISERROR(ROUND(POWER(1+H7,D7-F7)*(POWER(1+H7,F7)-1)/(POWER(1+H7,D7)-1),3)),0,ROUND(POWER(1+H7,D7-F7)*(POWER(1+H7,F7)-1)/(POWER(1+H7,D7)-1),3))</f>
        <v>1</v>
      </c>
      <c r="H7" s="2738">
        <f>H6</f>
        <v>0.05</v>
      </c>
      <c r="I7" s="2738">
        <f>I6</f>
        <v>0.06</v>
      </c>
      <c r="J7" s="174">
        <f>J6</f>
        <v>0.08</v>
      </c>
      <c r="K7" s="177">
        <f>SUMIF('数据-汇总表'!C$19:C$33,'数据-取费表'!A7,'数据-汇总表'!E$19:E$33)</f>
        <v>4500</v>
      </c>
      <c r="L7" s="2739">
        <f>L6</f>
        <v>2500</v>
      </c>
      <c r="M7" s="175">
        <f t="shared" si="0"/>
        <v>1125</v>
      </c>
      <c r="N7" s="2740">
        <f>N6</f>
        <v>1</v>
      </c>
      <c r="O7" s="175" t="str">
        <f t="shared" ref="O7:O14" si="3">IF($N$5="成新度","——",ROUND(M7*N7,0))</f>
        <v>——</v>
      </c>
      <c r="P7" s="176" t="str">
        <f t="shared" ref="P7:P14" si="4">IF($N$5="成新度","——",M7-O7)</f>
        <v>——</v>
      </c>
      <c r="Q7" s="2741">
        <v>0.2</v>
      </c>
      <c r="R7" s="177">
        <f>SUMIF('数据-汇总表'!C$19:C$33,A7,'数据-汇总表'!R$19:R$33)</f>
        <v>1607.15</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0.91300000000000003</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9000</v>
      </c>
      <c r="L16" s="204">
        <f>ROUND(M16*10000/SUM(K6:K14),0)</f>
        <v>2500</v>
      </c>
      <c r="M16" s="204">
        <f>SUM(M6:M14)</f>
        <v>2250</v>
      </c>
      <c r="N16" s="205">
        <f>ROUND(SUMPRODUCT(M6:M14,N6:N14)/M16,3)</f>
        <v>1</v>
      </c>
      <c r="O16" s="204">
        <f>SUM(O6:O14)</f>
        <v>0</v>
      </c>
      <c r="P16" s="204">
        <f>SUM(P6:P14)</f>
        <v>0</v>
      </c>
      <c r="Q16" s="206">
        <f>ROUND(SUMPRODUCT(Q6:Q13,K6:K13)/SUMPRODUCT((Q6:Q13&gt;0)*(K6:K13)),2)</f>
        <v>0.2</v>
      </c>
      <c r="R16" s="2190">
        <f>SUM(R6:R13)</f>
        <v>3214.3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0.88600000000000001</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4" t="s">
        <v>1654</v>
      </c>
      <c r="B1" s="3375"/>
      <c r="C1" s="3375"/>
      <c r="D1" s="3375"/>
      <c r="E1" s="3375"/>
      <c r="F1" s="3375"/>
      <c r="G1" s="337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9000</v>
      </c>
      <c r="C1" s="3194"/>
      <c r="D1" s="3194"/>
      <c r="E1" s="3194"/>
      <c r="F1" s="3194"/>
      <c r="G1" s="3195"/>
      <c r="H1" s="3195"/>
      <c r="I1" s="3195"/>
      <c r="J1" s="3195"/>
    </row>
    <row r="2" spans="1:10" ht="16.5">
      <c r="A2" s="3185" t="s">
        <v>2824</v>
      </c>
      <c r="B2" s="3185">
        <f>SUM(C14:C23)</f>
        <v>3214.29</v>
      </c>
      <c r="C2" s="3194"/>
      <c r="D2" s="3194"/>
      <c r="E2" s="3194"/>
      <c r="F2" s="3194"/>
      <c r="G2" s="3195"/>
      <c r="H2" s="3195"/>
      <c r="I2" s="3195"/>
      <c r="J2" s="3195"/>
    </row>
    <row r="3" spans="1:10" ht="16.5">
      <c r="A3" s="3185" t="s">
        <v>2825</v>
      </c>
      <c r="B3" s="3187">
        <f>项目基本情况!D3</f>
        <v>44269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4155</v>
      </c>
      <c r="C5" s="3185">
        <f ca="1">ROUND(B5*10000/$B$1,0)</f>
        <v>4617</v>
      </c>
      <c r="D5" s="3185">
        <f ca="1">ROUND(B5*10000/$B$2,0)</f>
        <v>12927</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9000</v>
      </c>
      <c r="C14" s="3191">
        <f>结果表!K38</f>
        <v>3214.29</v>
      </c>
      <c r="D14" s="3191">
        <f ca="1">结果表!C42</f>
        <v>4155</v>
      </c>
      <c r="E14" s="3191">
        <f ca="1">ROUND(D14*10000/B14,0)</f>
        <v>4617</v>
      </c>
      <c r="F14" s="3191">
        <f ca="1">ROUND(D14*10000/C14,0)</f>
        <v>12927</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26" sqref="F2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20" t="str">
        <f>项目基本情况!K2</f>
        <v>北京市出让国有建设用地使用权</v>
      </c>
      <c r="B2" s="3421"/>
      <c r="C2" s="3422"/>
      <c r="D2" s="3422"/>
      <c r="E2" s="3422"/>
      <c r="F2" s="3422"/>
      <c r="G2" s="3421"/>
      <c r="H2" s="3421"/>
      <c r="I2" s="3423"/>
      <c r="J2" s="1912"/>
      <c r="K2" s="1911"/>
      <c r="L2" s="1911"/>
      <c r="M2" s="1911"/>
      <c r="N2" s="1911"/>
      <c r="O2" s="1911"/>
      <c r="P2" s="1911"/>
      <c r="Q2" s="1911"/>
      <c r="R2" s="1911"/>
      <c r="S2" s="1911"/>
      <c r="T2" s="1911"/>
      <c r="U2" s="1911"/>
      <c r="V2" s="1911"/>
    </row>
    <row r="3" spans="1:22" ht="14.25">
      <c r="A3" s="3431" t="s">
        <v>298</v>
      </c>
      <c r="B3" s="3432"/>
      <c r="C3" s="3432"/>
      <c r="D3" s="3432"/>
      <c r="E3" s="3432"/>
      <c r="F3" s="3432"/>
      <c r="G3" s="3432"/>
      <c r="H3" s="3432"/>
      <c r="I3" s="3432"/>
      <c r="J3" s="1912"/>
      <c r="K3" s="1911"/>
      <c r="L3" s="1911"/>
      <c r="M3" s="1911"/>
      <c r="N3" s="1911"/>
      <c r="O3" s="1911"/>
      <c r="P3" s="1911"/>
      <c r="Q3" s="1911"/>
      <c r="R3" s="1911"/>
      <c r="S3" s="1911"/>
      <c r="T3" s="1911"/>
      <c r="U3" s="1911"/>
      <c r="V3" s="1911"/>
    </row>
    <row r="4" spans="1:22" ht="14.25">
      <c r="A4" s="256" t="s">
        <v>299</v>
      </c>
      <c r="B4" s="257" t="s">
        <v>300</v>
      </c>
      <c r="C4" s="258" t="s">
        <v>3021</v>
      </c>
      <c r="D4" s="258" t="s">
        <v>3022</v>
      </c>
      <c r="E4" s="3395" t="s">
        <v>301</v>
      </c>
      <c r="F4" s="3437"/>
      <c r="G4" s="3437"/>
      <c r="H4" s="3437"/>
      <c r="I4" s="3396"/>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24" t="s">
        <v>302</v>
      </c>
      <c r="B5" s="3425">
        <v>25</v>
      </c>
      <c r="C5" s="3433"/>
      <c r="D5" s="3436"/>
      <c r="E5" s="259" t="s">
        <v>303</v>
      </c>
      <c r="F5" s="260"/>
      <c r="G5" s="260"/>
      <c r="H5" s="260"/>
      <c r="I5" s="261"/>
      <c r="J5" s="1912"/>
      <c r="K5" s="1911"/>
      <c r="L5" s="1911"/>
      <c r="M5" s="1911"/>
      <c r="N5" s="1911"/>
      <c r="O5" s="1911"/>
      <c r="P5" s="1911"/>
      <c r="Q5" s="1911"/>
      <c r="R5" s="1911"/>
      <c r="S5" s="1911"/>
      <c r="T5" s="1911"/>
      <c r="U5" s="1911"/>
      <c r="V5" s="1911"/>
    </row>
    <row r="6" spans="1:22" ht="14.25">
      <c r="A6" s="3424"/>
      <c r="B6" s="3425"/>
      <c r="C6" s="3434"/>
      <c r="D6" s="3436"/>
      <c r="E6" s="259" t="s">
        <v>304</v>
      </c>
      <c r="F6" s="260"/>
      <c r="G6" s="260"/>
      <c r="H6" s="260"/>
      <c r="I6" s="261"/>
      <c r="J6" s="1912"/>
      <c r="K6" s="1911"/>
      <c r="L6" s="1911"/>
      <c r="M6" s="1911"/>
      <c r="N6" s="1911"/>
      <c r="O6" s="1911"/>
      <c r="P6" s="1911"/>
      <c r="Q6" s="1911"/>
      <c r="R6" s="1911"/>
      <c r="S6" s="1911"/>
      <c r="T6" s="1911"/>
      <c r="U6" s="1911"/>
      <c r="V6" s="1911"/>
    </row>
    <row r="7" spans="1:22" ht="14.25">
      <c r="A7" s="3424"/>
      <c r="B7" s="3425"/>
      <c r="C7" s="3435"/>
      <c r="D7" s="3436"/>
      <c r="E7" s="259" t="s">
        <v>305</v>
      </c>
      <c r="F7" s="260"/>
      <c r="G7" s="260"/>
      <c r="H7" s="260"/>
      <c r="I7" s="261"/>
      <c r="J7" s="1912"/>
      <c r="K7" s="1911"/>
      <c r="L7" s="1911"/>
      <c r="M7" s="1911"/>
      <c r="N7" s="1911"/>
      <c r="O7" s="1911"/>
      <c r="P7" s="1911"/>
      <c r="Q7" s="1911"/>
      <c r="R7" s="1911"/>
      <c r="S7" s="1911"/>
      <c r="T7" s="1911"/>
      <c r="U7" s="1911"/>
      <c r="V7" s="1911"/>
    </row>
    <row r="8" spans="1:22" ht="14.25">
      <c r="A8" s="3424" t="s">
        <v>306</v>
      </c>
      <c r="B8" s="3425">
        <v>15</v>
      </c>
      <c r="C8" s="3433"/>
      <c r="D8" s="3436"/>
      <c r="E8" s="259" t="s">
        <v>307</v>
      </c>
      <c r="F8" s="260"/>
      <c r="G8" s="260"/>
      <c r="H8" s="260"/>
      <c r="I8" s="261"/>
      <c r="J8" s="1912"/>
      <c r="K8" s="1911"/>
      <c r="L8" s="1911"/>
      <c r="M8" s="1911"/>
      <c r="N8" s="1911"/>
      <c r="O8" s="1911"/>
      <c r="P8" s="1911"/>
      <c r="Q8" s="1911"/>
      <c r="R8" s="1911"/>
      <c r="S8" s="1911"/>
      <c r="T8" s="1911"/>
      <c r="U8" s="1911"/>
      <c r="V8" s="1911"/>
    </row>
    <row r="9" spans="1:22" ht="14.25">
      <c r="A9" s="3424"/>
      <c r="B9" s="3425"/>
      <c r="C9" s="3435"/>
      <c r="D9" s="3436"/>
      <c r="E9" s="259" t="s">
        <v>308</v>
      </c>
      <c r="F9" s="260"/>
      <c r="G9" s="260"/>
      <c r="H9" s="260"/>
      <c r="I9" s="261"/>
      <c r="J9" s="1912"/>
      <c r="K9" s="1911"/>
      <c r="L9" s="1911"/>
      <c r="M9" s="1911"/>
      <c r="N9" s="1911"/>
      <c r="O9" s="1911"/>
      <c r="P9" s="1911"/>
      <c r="Q9" s="1911"/>
      <c r="R9" s="1911"/>
      <c r="S9" s="1911"/>
      <c r="T9" s="1911"/>
      <c r="U9" s="1911"/>
      <c r="V9" s="1911"/>
    </row>
    <row r="10" spans="1:22" ht="14.25">
      <c r="A10" s="3424" t="s">
        <v>309</v>
      </c>
      <c r="B10" s="3425">
        <v>15</v>
      </c>
      <c r="C10" s="3433"/>
      <c r="D10" s="3436"/>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4"/>
      <c r="B11" s="3425"/>
      <c r="C11" s="3435"/>
      <c r="D11" s="343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4" t="s">
        <v>312</v>
      </c>
      <c r="B12" s="3425">
        <v>15</v>
      </c>
      <c r="C12" s="3433"/>
      <c r="D12" s="3436"/>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4"/>
      <c r="B13" s="3425"/>
      <c r="C13" s="3435"/>
      <c r="D13" s="343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4" t="s">
        <v>315</v>
      </c>
      <c r="B14" s="3425">
        <v>30</v>
      </c>
      <c r="C14" s="3433">
        <v>1</v>
      </c>
      <c r="D14" s="3436">
        <v>1</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4"/>
      <c r="B15" s="3425"/>
      <c r="C15" s="3434"/>
      <c r="D15" s="343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4"/>
      <c r="B16" s="3425"/>
      <c r="C16" s="3435"/>
      <c r="D16" s="343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38" t="s">
        <v>2961</v>
      </c>
      <c r="F18" s="3439"/>
      <c r="G18" s="3439"/>
      <c r="H18" s="3439"/>
      <c r="I18" s="343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3441</v>
      </c>
      <c r="D19" s="269">
        <f ca="1">SUMIF(INDIRECT("'"&amp;D4&amp;"'"&amp;"!A:A"),结果表!B19,INDIRECT("'"&amp;D4&amp;"'"&amp;"!B:B"))</f>
        <v>4869</v>
      </c>
      <c r="E19" s="266" t="s">
        <v>323</v>
      </c>
      <c r="F19" s="267" t="s">
        <v>322</v>
      </c>
      <c r="G19" s="270">
        <f ca="1">ROUND(C19*$C$18+D19*$D$18,0)</f>
        <v>4155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5319</v>
      </c>
      <c r="D20" s="275">
        <f ca="1">SUMIF(INDIRECT("'"&amp;D4&amp;"'"&amp;"!A:A"),结果表!B20,INDIRECT("'"&amp;D4&amp;"'"&amp;"!B:B"))</f>
        <v>5582</v>
      </c>
      <c r="E20" s="272"/>
      <c r="F20" s="273" t="s">
        <v>325</v>
      </c>
      <c r="G20" s="276">
        <f ca="1">ROUND(C20*$C$18+D20*$D$18,0)</f>
        <v>5451</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0.4149956408020925</v>
      </c>
      <c r="E22" s="282"/>
      <c r="F22" s="283"/>
      <c r="G22" s="284">
        <f ca="1">ROUND(G19/('数据-汇总表'!D3/666.67),0)</f>
        <v>862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4"/>
      <c r="B25" s="1275" t="s">
        <v>331</v>
      </c>
      <c r="C25" s="288">
        <f>IF(B30=0,0,C30)</f>
        <v>0</v>
      </c>
      <c r="D25" s="289"/>
      <c r="E25" s="309"/>
      <c r="F25" s="309"/>
      <c r="G25" s="309"/>
      <c r="H25" s="309"/>
      <c r="I25" s="309"/>
      <c r="J25" s="1911"/>
      <c r="K25" s="1209" t="str">
        <f ca="1">项目基本情况!B16&amp;"国有建设用地使用权价格："&amp;O38&amp;"万元"</f>
        <v>出让国有建设用地使用权价格：4155万元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大写金额：人民币肆仟壹佰伍拾伍万元整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单位面积地价：12927元/平方米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楼面地价：4617元/平方米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40" t="s">
        <v>2963</v>
      </c>
      <c r="B31" s="3440"/>
      <c r="C31" s="3440"/>
      <c r="D31" s="3440"/>
      <c r="E31" s="3440"/>
      <c r="F31" s="3440"/>
      <c r="G31" s="3440"/>
      <c r="H31" s="3440"/>
      <c r="I31" s="344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4155</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4617</v>
      </c>
      <c r="D33" s="1334" t="s">
        <v>1682</v>
      </c>
      <c r="E33" s="3397"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12927</v>
      </c>
      <c r="D34" s="1336" t="s">
        <v>1682</v>
      </c>
      <c r="E34" s="3398"/>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862</v>
      </c>
      <c r="D35" s="1339" t="s">
        <v>1684</v>
      </c>
      <c r="E35" s="3399"/>
      <c r="F35" s="299" t="s">
        <v>342</v>
      </c>
      <c r="G35" s="970"/>
      <c r="H35" s="969" t="s">
        <v>343</v>
      </c>
      <c r="I35" s="309"/>
      <c r="J35" s="1911"/>
      <c r="K35" s="3403" t="s">
        <v>350</v>
      </c>
      <c r="L35" s="3403" t="s">
        <v>351</v>
      </c>
      <c r="M35" s="1218" t="s">
        <v>352</v>
      </c>
      <c r="N35" s="3403" t="s">
        <v>353</v>
      </c>
      <c r="O35" s="3403" t="s">
        <v>354</v>
      </c>
      <c r="P35" s="1911"/>
      <c r="V35" s="1911"/>
    </row>
    <row r="36" spans="1:26" ht="16.5" customHeight="1">
      <c r="A36" s="301" t="s">
        <v>344</v>
      </c>
      <c r="B36" s="302" t="s">
        <v>333</v>
      </c>
      <c r="C36" s="303" t="s">
        <v>345</v>
      </c>
      <c r="D36" s="303" t="s">
        <v>346</v>
      </c>
      <c r="E36" s="304" t="s">
        <v>347</v>
      </c>
      <c r="F36" s="309"/>
      <c r="G36" s="309"/>
      <c r="H36" s="309"/>
      <c r="I36" s="309"/>
      <c r="J36" s="1913"/>
      <c r="K36" s="3404"/>
      <c r="L36" s="3404"/>
      <c r="M36" s="1220" t="s">
        <v>355</v>
      </c>
      <c r="N36" s="3404"/>
      <c r="O36" s="3404"/>
      <c r="P36" s="1911"/>
      <c r="V36" s="1911"/>
    </row>
    <row r="37" spans="1:26" ht="16.5" customHeight="1" thickBot="1">
      <c r="A37" s="1214" t="s">
        <v>348</v>
      </c>
      <c r="B37" s="305"/>
      <c r="C37" s="292"/>
      <c r="D37" s="292"/>
      <c r="E37" s="293"/>
      <c r="F37" s="309"/>
      <c r="G37" s="309"/>
      <c r="H37" s="309"/>
      <c r="I37" s="309"/>
      <c r="J37" s="1913"/>
      <c r="K37" s="3405"/>
      <c r="L37" s="3405"/>
      <c r="M37" s="1221"/>
      <c r="N37" s="3405"/>
      <c r="O37" s="3405"/>
      <c r="P37" s="1911"/>
      <c r="V37" s="1911"/>
    </row>
    <row r="38" spans="1:26" ht="16.5" customHeight="1" thickBot="1">
      <c r="A38" s="1214" t="s">
        <v>349</v>
      </c>
      <c r="B38" s="305"/>
      <c r="C38" s="292"/>
      <c r="D38" s="292"/>
      <c r="E38" s="293"/>
      <c r="F38" s="309"/>
      <c r="G38" s="309"/>
      <c r="H38" s="309"/>
      <c r="I38" s="309"/>
      <c r="J38" s="1913"/>
      <c r="K38" s="1222">
        <f>'数据-汇总表'!D3</f>
        <v>3214.29</v>
      </c>
      <c r="L38" s="1223">
        <f>'数据-汇总表'!E3</f>
        <v>9000</v>
      </c>
      <c r="M38" s="1223">
        <f ca="1">C34</f>
        <v>12927</v>
      </c>
      <c r="N38" s="1223">
        <f ca="1">C33</f>
        <v>4617</v>
      </c>
      <c r="O38" s="1224">
        <f ca="1">C32</f>
        <v>4155</v>
      </c>
      <c r="P38" s="1911"/>
      <c r="V38" s="1911"/>
    </row>
    <row r="39" spans="1:26" ht="16.5" customHeight="1" thickBot="1">
      <c r="A39" s="1219"/>
      <c r="B39" s="306"/>
      <c r="C39" s="307"/>
      <c r="D39" s="307"/>
      <c r="E39" s="308"/>
      <c r="F39" s="309"/>
      <c r="G39" s="309"/>
      <c r="H39" s="309"/>
      <c r="I39" s="309"/>
      <c r="J39" s="1913"/>
      <c r="K39" s="3416" t="str">
        <f>MID(A44,3,LEN(A44)-2)</f>
        <v/>
      </c>
      <c r="L39" s="3417"/>
      <c r="M39" s="3417"/>
      <c r="N39" s="3418"/>
      <c r="O39" s="1341" t="str">
        <f>C44</f>
        <v>——</v>
      </c>
      <c r="P39" s="1911"/>
      <c r="V39" s="1911"/>
    </row>
    <row r="40" spans="1:26" ht="19.5" thickBot="1">
      <c r="A40" s="104" t="s">
        <v>864</v>
      </c>
      <c r="B40" s="309"/>
      <c r="C40" s="309"/>
      <c r="D40" s="309"/>
      <c r="E40" s="309"/>
      <c r="F40" s="309"/>
      <c r="G40" s="309"/>
      <c r="H40" s="309"/>
      <c r="I40" s="309"/>
      <c r="J40" s="1913"/>
      <c r="K40" s="3416" t="str">
        <f t="shared" ref="K40:K41" si="0">MID(A45,3,LEN(A45)-2)</f>
        <v/>
      </c>
      <c r="L40" s="3417"/>
      <c r="M40" s="3417"/>
      <c r="N40" s="3418"/>
      <c r="O40" s="1341" t="str">
        <f>C45</f>
        <v>——</v>
      </c>
      <c r="P40" s="1911"/>
      <c r="V40" s="1911"/>
    </row>
    <row r="41" spans="1:26" ht="16.5" thickBot="1">
      <c r="A41" s="310" t="s">
        <v>356</v>
      </c>
      <c r="B41" s="311"/>
      <c r="C41" s="312" t="s">
        <v>357</v>
      </c>
      <c r="D41" s="313" t="s">
        <v>358</v>
      </c>
      <c r="E41" s="313" t="s">
        <v>359</v>
      </c>
      <c r="F41" s="314" t="s">
        <v>360</v>
      </c>
      <c r="G41" s="309"/>
      <c r="H41" s="309"/>
      <c r="I41" s="309"/>
      <c r="J41" s="1913"/>
      <c r="K41" s="3416" t="str">
        <f t="shared" si="0"/>
        <v/>
      </c>
      <c r="L41" s="3417"/>
      <c r="M41" s="3417"/>
      <c r="N41" s="3418"/>
      <c r="O41" s="1341" t="str">
        <f>C46</f>
        <v>——</v>
      </c>
      <c r="P41" s="1911"/>
      <c r="V41" s="1911"/>
    </row>
    <row r="42" spans="1:26" ht="29.25">
      <c r="A42" s="3445" t="s">
        <v>2056</v>
      </c>
      <c r="B42" s="3446"/>
      <c r="C42" s="262">
        <f ca="1">C32</f>
        <v>4155</v>
      </c>
      <c r="D42" s="315">
        <f ca="1">C33</f>
        <v>4617</v>
      </c>
      <c r="E42" s="315">
        <f ca="1">C34</f>
        <v>12927</v>
      </c>
      <c r="F42" s="316">
        <f ca="1">C35</f>
        <v>862</v>
      </c>
      <c r="G42" s="309"/>
      <c r="H42" s="309"/>
      <c r="I42" s="317"/>
      <c r="J42" s="1913"/>
      <c r="K42" s="1225" t="s">
        <v>361</v>
      </c>
      <c r="L42" s="1930" t="s">
        <v>362</v>
      </c>
      <c r="M42" s="1226" t="s">
        <v>363</v>
      </c>
      <c r="N42" s="1931" t="s">
        <v>364</v>
      </c>
      <c r="O42" s="1932" t="s">
        <v>365</v>
      </c>
      <c r="P42" s="1911"/>
      <c r="V42" s="1911"/>
    </row>
    <row r="43" spans="1:26" ht="30">
      <c r="A43" s="3455" t="s">
        <v>2711</v>
      </c>
      <c r="B43" s="3456"/>
      <c r="C43" s="262">
        <f>IF(H33="正常操作",G33+G34+G35,G34+G35)</f>
        <v>0</v>
      </c>
      <c r="D43" s="315" t="s">
        <v>43</v>
      </c>
      <c r="E43" s="315" t="s">
        <v>44</v>
      </c>
      <c r="F43" s="316" t="s">
        <v>44</v>
      </c>
      <c r="G43" s="2583" t="s">
        <v>943</v>
      </c>
      <c r="H43" s="309"/>
      <c r="I43" s="317"/>
      <c r="J43" s="1913"/>
      <c r="K43" s="1227" t="str">
        <f>C4</f>
        <v>基准地价-商业</v>
      </c>
      <c r="L43" s="1228">
        <f ca="1">IF(L42="估价结果/万元",C19,C20)</f>
        <v>3441</v>
      </c>
      <c r="M43" s="1229">
        <f>C18</f>
        <v>0.5</v>
      </c>
      <c r="N43" s="1230">
        <f ca="1">IF(N42="测算结果/万元",G19,G20)</f>
        <v>4155</v>
      </c>
      <c r="O43" s="1231">
        <f ca="1">IF(O42="最终结果/万元",C32,C33)</f>
        <v>4155</v>
      </c>
      <c r="P43" s="1911"/>
      <c r="V43" s="1911"/>
    </row>
    <row r="44" spans="1:26" ht="30.75" thickBot="1">
      <c r="A44" s="3445" t="str">
        <f>IF(OR(项目基本情况!E8="抵押价格",项目基本情况!E8="已注销及未注销"),"3.抵押价格","——")</f>
        <v>——</v>
      </c>
      <c r="B44" s="3446"/>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基准地价-办公</v>
      </c>
      <c r="L44" s="1233">
        <f ca="1">IF(L42="估价结果/万元",D19,D20)</f>
        <v>4869</v>
      </c>
      <c r="M44" s="1234">
        <f>D18</f>
        <v>0.5</v>
      </c>
      <c r="N44" s="1235"/>
      <c r="O44" s="1236"/>
      <c r="P44" s="1911"/>
      <c r="V44" s="1911"/>
    </row>
    <row r="45" spans="1:26" ht="15">
      <c r="A45" s="3450" t="str">
        <f>IF(项目基本情况!E8="已注销及未注销","4.抵押担保权已注销时的抵押价格",IF(项目基本情况!E8="已注销","3.抵押担保权已注销时的抵押价格","——"))</f>
        <v>——</v>
      </c>
      <c r="B45" s="345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7" t="str">
        <f>IF(项目基本情况!E9="抵押净值",IF(A45="——","4.抵押净值","5.抵押净值"),"——")</f>
        <v>——</v>
      </c>
      <c r="B46" s="344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08" t="s">
        <v>374</v>
      </c>
      <c r="B63" s="3409"/>
      <c r="C63" s="3410"/>
      <c r="D63" s="339">
        <f ca="1">ROUND(C42*F63,0)</f>
        <v>4155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2" t="s">
        <v>378</v>
      </c>
      <c r="B64" s="3453"/>
      <c r="C64" s="3453"/>
      <c r="D64" s="3453"/>
      <c r="E64" s="3453"/>
      <c r="F64" s="3453"/>
      <c r="G64" s="345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49" t="s">
        <v>386</v>
      </c>
      <c r="B66" s="3415"/>
      <c r="C66" s="3415"/>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376" t="s">
        <v>385</v>
      </c>
      <c r="M66" s="3377"/>
      <c r="N66" s="2312"/>
      <c r="O66" s="2313"/>
      <c r="P66" s="2314"/>
      <c r="Q66" s="1911"/>
      <c r="R66" s="1911"/>
      <c r="S66" s="1911"/>
      <c r="T66" s="1911"/>
      <c r="U66" s="1911"/>
      <c r="V66" s="1911"/>
    </row>
    <row r="67" spans="1:22" ht="25.5" customHeight="1">
      <c r="A67" s="350" t="s">
        <v>389</v>
      </c>
      <c r="B67" s="3427" t="s">
        <v>390</v>
      </c>
      <c r="C67" s="3427"/>
      <c r="D67" s="351">
        <v>0</v>
      </c>
      <c r="E67" s="41" t="s">
        <v>391</v>
      </c>
      <c r="F67" s="62" t="s">
        <v>21</v>
      </c>
      <c r="G67" s="3411"/>
      <c r="H67" s="3006" t="s">
        <v>2964</v>
      </c>
      <c r="I67" s="3008"/>
      <c r="J67" s="1918"/>
      <c r="K67" s="1890">
        <v>2</v>
      </c>
      <c r="L67" s="3381" t="s">
        <v>388</v>
      </c>
      <c r="M67" s="3381"/>
      <c r="N67" s="1279">
        <f>'数据-取费表'!B2</f>
        <v>44269</v>
      </c>
      <c r="O67" s="1279"/>
      <c r="P67" s="1279"/>
      <c r="Q67" s="1911"/>
      <c r="R67" s="1911"/>
      <c r="S67" s="1911"/>
      <c r="T67" s="1911"/>
      <c r="U67" s="1911"/>
      <c r="V67" s="1911"/>
    </row>
    <row r="68" spans="1:22" ht="25.5" customHeight="1">
      <c r="A68" s="352"/>
      <c r="B68" s="3427" t="s">
        <v>393</v>
      </c>
      <c r="C68" s="3427"/>
      <c r="D68" s="353"/>
      <c r="E68" s="77"/>
      <c r="F68" s="354"/>
      <c r="G68" s="3412"/>
      <c r="H68" s="3007" t="s">
        <v>2965</v>
      </c>
      <c r="I68" s="3008"/>
      <c r="J68" s="1918"/>
      <c r="K68" s="1890">
        <v>3</v>
      </c>
      <c r="L68" s="3381" t="s">
        <v>392</v>
      </c>
      <c r="M68" s="3381"/>
      <c r="N68" s="1247">
        <f ca="1">C42</f>
        <v>4155</v>
      </c>
      <c r="O68" s="1247"/>
      <c r="P68" s="1247"/>
      <c r="Q68" s="1911"/>
      <c r="R68" s="1911"/>
      <c r="S68" s="1911"/>
      <c r="T68" s="1911"/>
      <c r="U68" s="1911"/>
      <c r="V68" s="1911"/>
    </row>
    <row r="69" spans="1:22" ht="23.45" customHeight="1">
      <c r="A69" s="355"/>
      <c r="B69" s="3427" t="s">
        <v>394</v>
      </c>
      <c r="C69" s="3427"/>
      <c r="D69" s="356"/>
      <c r="E69" s="73"/>
      <c r="F69" s="354"/>
      <c r="G69" s="3413"/>
      <c r="H69" s="3007" t="s">
        <v>2966</v>
      </c>
      <c r="I69" s="3008"/>
      <c r="J69" s="1918"/>
      <c r="K69" s="1248">
        <v>4</v>
      </c>
      <c r="L69" s="3382" t="s">
        <v>2862</v>
      </c>
      <c r="M69" s="3383"/>
      <c r="N69" s="1249" t="str">
        <f>C44</f>
        <v>——</v>
      </c>
      <c r="O69" s="1249"/>
      <c r="P69" s="1249"/>
      <c r="Q69" s="1911"/>
      <c r="R69" s="1911"/>
      <c r="S69" s="1911"/>
      <c r="T69" s="1911"/>
      <c r="U69" s="1911"/>
      <c r="V69" s="1911"/>
    </row>
    <row r="70" spans="1:22" ht="24" customHeight="1">
      <c r="A70" s="357" t="s">
        <v>395</v>
      </c>
      <c r="B70" s="3427" t="s">
        <v>396</v>
      </c>
      <c r="C70" s="3427"/>
      <c r="D70" s="356">
        <f ca="1">ROUND(D63*'数据-取费表'!B41/(1+'数据-取费表'!C42),0)</f>
        <v>0</v>
      </c>
      <c r="E70" s="17" t="s">
        <v>397</v>
      </c>
      <c r="F70" s="358">
        <f>'数据-取费表'!B41</f>
        <v>0</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26" t="s">
        <v>2995</v>
      </c>
      <c r="C71" s="3443"/>
      <c r="D71" s="356">
        <f ca="1">ROUND(D63*'数据-取费表'!B41/(1+'数据-取费表'!C42),0)</f>
        <v>0</v>
      </c>
      <c r="E71" s="17" t="s">
        <v>397</v>
      </c>
      <c r="F71" s="358">
        <f>'数据-取费表'!B41</f>
        <v>0</v>
      </c>
      <c r="G71" s="359"/>
      <c r="H71" s="309"/>
      <c r="I71" s="1246"/>
      <c r="J71" s="1918"/>
      <c r="K71" s="2764" t="s">
        <v>398</v>
      </c>
      <c r="L71" s="3384" t="s">
        <v>399</v>
      </c>
      <c r="M71" s="3384"/>
      <c r="N71" s="2764" t="s">
        <v>400</v>
      </c>
      <c r="O71" s="2764" t="s">
        <v>401</v>
      </c>
      <c r="P71" s="2764" t="s">
        <v>402</v>
      </c>
      <c r="Q71" s="1911"/>
      <c r="R71" s="1911"/>
      <c r="S71" s="1911"/>
      <c r="T71" s="1911"/>
      <c r="U71" s="1911"/>
      <c r="V71" s="1911"/>
    </row>
    <row r="72" spans="1:22" ht="12" customHeight="1">
      <c r="A72" s="357" t="s">
        <v>405</v>
      </c>
      <c r="B72" s="3426" t="s">
        <v>2996</v>
      </c>
      <c r="C72" s="3443"/>
      <c r="D72" s="356">
        <f ca="1">C86</f>
        <v>0</v>
      </c>
      <c r="E72" s="73" t="s">
        <v>406</v>
      </c>
      <c r="F72" s="358">
        <f>'数据-取费表'!B41</f>
        <v>0</v>
      </c>
      <c r="G72" s="359"/>
      <c r="H72" s="1252"/>
      <c r="I72" s="1246"/>
      <c r="J72" s="1918"/>
      <c r="K72" s="1890">
        <v>1</v>
      </c>
      <c r="L72" s="3380" t="s">
        <v>404</v>
      </c>
      <c r="M72" s="3380"/>
      <c r="N72" s="1250" t="b">
        <f>D66</f>
        <v>0</v>
      </c>
      <c r="O72" s="1773" t="str">
        <f>E66</f>
        <v>销售额×税（费）率</v>
      </c>
      <c r="P72" s="1251">
        <f>F66</f>
        <v>0</v>
      </c>
      <c r="Q72" s="1911"/>
      <c r="R72" s="1911"/>
      <c r="S72" s="1911"/>
      <c r="T72" s="1911"/>
      <c r="U72" s="1911"/>
      <c r="V72" s="1911"/>
    </row>
    <row r="73" spans="1:22" ht="24" customHeight="1">
      <c r="A73" s="3414" t="s">
        <v>408</v>
      </c>
      <c r="B73" s="3415"/>
      <c r="C73" s="3415"/>
      <c r="D73" s="360">
        <f ca="1">IF(H73="个人住宅",0,ROUND(D63*I73,0))</f>
        <v>2</v>
      </c>
      <c r="E73" s="17" t="s">
        <v>409</v>
      </c>
      <c r="F73" s="358" t="str">
        <f>IF(H73="正常",I73,"免征")</f>
        <v>免征</v>
      </c>
      <c r="G73" s="359"/>
      <c r="H73" s="189"/>
      <c r="I73" s="358">
        <f>'数据-取费表'!B49</f>
        <v>5.0000000000000001E-4</v>
      </c>
      <c r="J73" s="1918"/>
      <c r="K73" s="1890">
        <v>2</v>
      </c>
      <c r="L73" s="3380" t="s">
        <v>407</v>
      </c>
      <c r="M73" s="3380"/>
      <c r="N73" s="1250">
        <f t="shared" ref="N73:P74" ca="1" si="1">D73</f>
        <v>2</v>
      </c>
      <c r="O73" s="1773" t="str">
        <f t="shared" si="1"/>
        <v>销售额×税（费）率</v>
      </c>
      <c r="P73" s="1251" t="str">
        <f t="shared" si="1"/>
        <v>免征</v>
      </c>
      <c r="Q73" s="1911"/>
      <c r="R73" s="1911"/>
      <c r="S73" s="1911"/>
      <c r="T73" s="1911"/>
      <c r="U73" s="1911"/>
      <c r="V73" s="1911"/>
    </row>
    <row r="74" spans="1:22" ht="24.75">
      <c r="A74" s="3414" t="s">
        <v>411</v>
      </c>
      <c r="B74" s="3415"/>
      <c r="C74" s="3415"/>
      <c r="D74" s="360" t="e">
        <f ca="1">IF(H74="个人住宅",D75,D76)</f>
        <v>#DIV/0!</v>
      </c>
      <c r="E74" s="17" t="s">
        <v>412</v>
      </c>
      <c r="F74" s="358" t="str">
        <f>IF(H74="正常",F76,"免征")</f>
        <v>免征</v>
      </c>
      <c r="G74" s="971" t="s">
        <v>413</v>
      </c>
      <c r="H74" s="361"/>
      <c r="I74" s="42"/>
      <c r="J74" s="1918"/>
      <c r="K74" s="1890">
        <v>3</v>
      </c>
      <c r="L74" s="3380" t="s">
        <v>410</v>
      </c>
      <c r="M74" s="3380"/>
      <c r="N74" s="1250" t="e">
        <f t="shared" ca="1" si="1"/>
        <v>#DIV/0!</v>
      </c>
      <c r="O74" s="1773" t="str">
        <f t="shared" si="1"/>
        <v>增值额×税（费）率</v>
      </c>
      <c r="P74" s="1253" t="str">
        <f t="shared" si="1"/>
        <v>免征</v>
      </c>
      <c r="Q74" s="1911"/>
      <c r="R74" s="1911"/>
      <c r="S74" s="1911"/>
      <c r="T74" s="1911"/>
      <c r="U74" s="1911"/>
      <c r="V74" s="1911"/>
    </row>
    <row r="75" spans="1:22" ht="12.75">
      <c r="A75" s="357" t="s">
        <v>414</v>
      </c>
      <c r="B75" s="3395" t="s">
        <v>415</v>
      </c>
      <c r="C75" s="3396"/>
      <c r="D75" s="362">
        <v>0</v>
      </c>
      <c r="E75" s="41" t="s">
        <v>416</v>
      </c>
      <c r="F75" s="363"/>
      <c r="G75" s="359"/>
      <c r="H75" s="42"/>
      <c r="I75" s="42"/>
      <c r="J75" s="1918"/>
      <c r="K75" s="2758">
        <f>IF(H77="非个人房产","",4)</f>
        <v>4</v>
      </c>
      <c r="L75" s="3380" t="str">
        <f>IF(H77="非个人房产","——","个人所得税")</f>
        <v>个人所得税</v>
      </c>
      <c r="M75" s="3380"/>
      <c r="N75" s="1254">
        <f>D77</f>
        <v>0</v>
      </c>
      <c r="O75" s="1786" t="str">
        <f>E77</f>
        <v>差额计税</v>
      </c>
      <c r="P75" s="1255">
        <f>F77</f>
        <v>0.01</v>
      </c>
      <c r="Q75" s="1911"/>
      <c r="R75" s="1911"/>
      <c r="S75" s="1911"/>
      <c r="T75" s="1911"/>
      <c r="U75" s="1911"/>
      <c r="V75" s="1911"/>
    </row>
    <row r="76" spans="1:22" ht="24.75">
      <c r="A76" s="357" t="s">
        <v>395</v>
      </c>
      <c r="B76" s="3395" t="s">
        <v>418</v>
      </c>
      <c r="C76" s="3437"/>
      <c r="D76" s="360" t="e">
        <f ca="1">IF(H76="转让取得",C99,C115)</f>
        <v>#DIV/0!</v>
      </c>
      <c r="E76" s="17" t="s">
        <v>419</v>
      </c>
      <c r="F76" s="53" t="s">
        <v>21</v>
      </c>
      <c r="G76" s="359"/>
      <c r="H76" s="361"/>
      <c r="I76" s="42"/>
      <c r="J76" s="1918"/>
      <c r="K76" s="2758" t="str">
        <f>IF(项目基本情况!K6="上海银行",IF(K75="",4,K75+1),"")</f>
        <v/>
      </c>
      <c r="L76" s="3391" t="str">
        <f>IF(项目基本情况!K6="上海银行","其他处置费用","")</f>
        <v/>
      </c>
      <c r="M76" s="3392"/>
      <c r="N76" s="1250" t="str">
        <f>IF(项目基本情况!K6="上海银行",N89,"")</f>
        <v/>
      </c>
      <c r="O76" s="3393" t="str">
        <f>IF(项目基本情况!K6="上海银行","包含处置中涉及的律师、诉讼、拍卖、评估等费用","")</f>
        <v/>
      </c>
      <c r="P76" s="3394"/>
      <c r="Q76" s="1911"/>
      <c r="R76" s="1911"/>
      <c r="S76" s="1911"/>
      <c r="T76" s="1911"/>
      <c r="U76" s="1911"/>
      <c r="V76" s="1911"/>
    </row>
    <row r="77" spans="1:22" ht="24.75" thickBot="1">
      <c r="A77" s="3406" t="s">
        <v>421</v>
      </c>
      <c r="B77" s="3407"/>
      <c r="C77" s="340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3402">
        <f>IF(AND(K75="",K76=""),4,IF(项目基本情况!K6="上海银行",K76+1,K75+1))</f>
        <v>5</v>
      </c>
      <c r="L77" s="3380" t="s">
        <v>2863</v>
      </c>
      <c r="M77" s="2763" t="s">
        <v>417</v>
      </c>
      <c r="N77" s="1256"/>
      <c r="O77" s="1257">
        <f ca="1">SUMIF(N72:N76,"&lt;9e307")</f>
        <v>2</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02"/>
      <c r="L78" s="3380"/>
      <c r="M78" s="2763" t="s">
        <v>420</v>
      </c>
      <c r="N78" s="1256"/>
      <c r="O78" s="1257" t="str">
        <f ca="1">NUMBERSTRING(INT(O77*10000),2)&amp;"元整"</f>
        <v>贰万元整</v>
      </c>
      <c r="P78" s="1258"/>
      <c r="Q78" s="1911"/>
      <c r="R78" s="1911"/>
      <c r="S78" s="1911"/>
      <c r="T78" s="1911"/>
      <c r="U78" s="1911"/>
      <c r="V78" s="1911"/>
    </row>
    <row r="79" spans="1:22" ht="13.5" thickBot="1">
      <c r="A79" s="3457" t="s">
        <v>422</v>
      </c>
      <c r="B79" s="3457"/>
      <c r="C79" s="3457"/>
      <c r="D79" s="3457"/>
      <c r="E79" s="3457"/>
      <c r="F79" s="42"/>
      <c r="G79" s="42"/>
      <c r="H79" s="991"/>
      <c r="I79" s="309"/>
      <c r="J79" s="1918"/>
      <c r="K79" s="3378">
        <f>K77+1</f>
        <v>6</v>
      </c>
      <c r="L79" s="3380" t="s">
        <v>2864</v>
      </c>
      <c r="M79" s="2763" t="s">
        <v>417</v>
      </c>
      <c r="N79" s="1256"/>
      <c r="O79" s="1257" t="e">
        <f ca="1">N69-O77</f>
        <v>#VALUE!</v>
      </c>
      <c r="P79" s="1258"/>
      <c r="Q79" s="1911"/>
      <c r="R79" s="1911"/>
      <c r="S79" s="1911"/>
      <c r="T79" s="1911"/>
      <c r="U79" s="1911"/>
      <c r="V79" s="1911"/>
    </row>
    <row r="80" spans="1:22" ht="12.75">
      <c r="A80" s="3388" t="s">
        <v>423</v>
      </c>
      <c r="B80" s="3389"/>
      <c r="C80" s="982"/>
      <c r="D80" s="982" t="s">
        <v>424</v>
      </c>
      <c r="E80" s="364" t="s">
        <v>425</v>
      </c>
      <c r="F80" s="42"/>
      <c r="G80" s="42"/>
      <c r="H80" s="991"/>
      <c r="I80" s="309"/>
      <c r="J80" s="1911"/>
      <c r="K80" s="3379"/>
      <c r="L80" s="338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4155</v>
      </c>
      <c r="D81" s="367"/>
      <c r="E81" s="368"/>
      <c r="F81" s="42"/>
      <c r="G81" s="42"/>
      <c r="H81" s="991"/>
      <c r="I81" s="309"/>
      <c r="J81" s="1911"/>
      <c r="K81" s="2758">
        <f>K79+1</f>
        <v>7</v>
      </c>
      <c r="L81" s="3400" t="s">
        <v>2865</v>
      </c>
      <c r="M81" s="3401"/>
      <c r="N81" s="1260"/>
      <c r="O81" s="1261" t="e">
        <f ca="1">ROUND(O79*10000/'数据-汇总表'!E3,0)</f>
        <v>#VALUE!</v>
      </c>
      <c r="P81" s="1262"/>
      <c r="Q81" s="1911"/>
      <c r="R81" s="1911"/>
      <c r="S81" s="1911"/>
      <c r="T81" s="1911"/>
      <c r="U81" s="1911"/>
      <c r="V81" s="1911"/>
    </row>
    <row r="82" spans="1:26" ht="13.5" thickTop="1">
      <c r="A82" s="369" t="s">
        <v>1815</v>
      </c>
      <c r="B82" s="370" t="s">
        <v>427</v>
      </c>
      <c r="C82" s="371">
        <f ca="1">D63</f>
        <v>4155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390"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390"/>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4155</v>
      </c>
      <c r="D85" s="372" t="s">
        <v>19</v>
      </c>
      <c r="E85" s="373"/>
      <c r="F85" s="42"/>
      <c r="G85" s="42"/>
      <c r="H85" s="991"/>
      <c r="I85" s="309"/>
      <c r="J85" s="1911"/>
      <c r="K85" s="3390"/>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0</v>
      </c>
      <c r="D86" s="383">
        <f>'数据-取费表'!B41</f>
        <v>0</v>
      </c>
      <c r="E86" s="384"/>
      <c r="F86" s="42"/>
      <c r="G86" s="42"/>
      <c r="H86" s="991"/>
      <c r="I86" s="309"/>
      <c r="J86" s="1911"/>
      <c r="K86" s="3390"/>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390"/>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9" t="s">
        <v>432</v>
      </c>
      <c r="B88" s="3430"/>
      <c r="C88" s="3430"/>
      <c r="D88" s="3430"/>
      <c r="E88" s="3430"/>
      <c r="F88" s="3430"/>
      <c r="G88" s="3430"/>
      <c r="H88" s="3430"/>
      <c r="I88" s="1269"/>
      <c r="J88" s="1919"/>
      <c r="K88" s="3390"/>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88" t="s">
        <v>423</v>
      </c>
      <c r="B89" s="3389"/>
      <c r="C89" s="982"/>
      <c r="D89" s="982" t="s">
        <v>424</v>
      </c>
      <c r="E89" s="385" t="s">
        <v>433</v>
      </c>
      <c r="F89" s="386"/>
      <c r="G89" s="386"/>
      <c r="H89" s="387"/>
      <c r="I89" s="1270"/>
      <c r="J89" s="1921"/>
      <c r="K89" s="339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4155</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26" t="s">
        <v>441</v>
      </c>
      <c r="F94" s="3427"/>
      <c r="G94" s="3427"/>
      <c r="H94" s="3428"/>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0</v>
      </c>
      <c r="D96" s="400">
        <f>'数据-取费表'!B43</f>
        <v>0</v>
      </c>
      <c r="E96" s="3385" t="s">
        <v>2413</v>
      </c>
      <c r="F96" s="3386"/>
      <c r="G96" s="3386"/>
      <c r="H96" s="3387"/>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4155</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9" t="s">
        <v>448</v>
      </c>
      <c r="B101" s="3430"/>
      <c r="C101" s="3430"/>
      <c r="D101" s="3430"/>
      <c r="E101" s="3430"/>
      <c r="F101" s="3430"/>
      <c r="G101" s="3430"/>
      <c r="H101" s="3430"/>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88" t="s">
        <v>423</v>
      </c>
      <c r="B102" s="338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4155</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41" t="s">
        <v>2959</v>
      </c>
      <c r="H108" s="3442"/>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9" t="s">
        <v>456</v>
      </c>
      <c r="F109" s="3386"/>
      <c r="G109" s="338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9" t="s">
        <v>458</v>
      </c>
      <c r="F110" s="3386"/>
      <c r="G110" s="3386"/>
      <c r="H110" s="3387"/>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0</v>
      </c>
      <c r="D111" s="400">
        <f>'数据-取费表'!B43</f>
        <v>0</v>
      </c>
      <c r="E111" s="3385" t="s">
        <v>2413</v>
      </c>
      <c r="F111" s="3386"/>
      <c r="G111" s="3386"/>
      <c r="H111" s="3387"/>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9" t="s">
        <v>2436</v>
      </c>
      <c r="F112" s="3386"/>
      <c r="G112" s="3386"/>
      <c r="H112" s="3387"/>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4155</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-342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-380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-1064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180</v>
      </c>
      <c r="D16" s="2561">
        <f ca="1">IF(B1="",'数据-汇总表'!E3,INDIRECT("'数据-取费表'!K"&amp;$K$1)+INDIRECT("'数据-取费表'!S"&amp;$K$1))</f>
        <v>9000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180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9000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180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180</v>
      </c>
      <c r="D22" s="2561">
        <f ca="1">IF(B1="",'数据-汇总表'!E6,IF(INDIRECT("'数据-取费表'!c"&amp;$K$1)="住宅",INDIRECT("'数据-取费表'!s"&amp;$K$1),INDIRECT("'数据-取费表'!k"&amp;$K$1)+INDIRECT("'数据-取费表'!s"&amp;$K$1)))</f>
        <v>9000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17</v>
      </c>
      <c r="D26" s="461">
        <f ca="1">C27</f>
        <v>0.1002</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0.1002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17</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384</v>
      </c>
      <c r="D30" s="471">
        <f ca="1">C32</f>
        <v>0.13070000000000001</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384</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0.13070000000000001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73</v>
      </c>
      <c r="D33" s="461">
        <f ca="1">C34</f>
        <v>0.20610000000000001</v>
      </c>
      <c r="E33" s="463" t="s">
        <v>489</v>
      </c>
      <c r="F33" s="473">
        <f ca="1">IF(B1="",'数据-取费表'!Q16,INDIRECT("'数据-取费表'!q"&amp;$K$1))</f>
        <v>0.2</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0.20610000000000001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73</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-342</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-2473.0282724202498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-2748</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-7694</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-513</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2250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68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180</v>
      </c>
      <c r="D16" s="445">
        <f ca="1">IF(B1="",'数据-汇总表'!E3,INDIRECT("'数据-取费表'!K"&amp;$K$1)+INDIRECT("'数据-取费表'!S"&amp;$K$1))</f>
        <v>9000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34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2532</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51</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123</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123</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1E-3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517</v>
      </c>
      <c r="D24" s="483">
        <f ca="1">C26</f>
        <v>4.0000000000000001E-3</v>
      </c>
      <c r="E24" s="463" t="s">
        <v>501</v>
      </c>
      <c r="F24" s="473">
        <f ca="1">IF(B1="",'数据-取费表'!Q16,INDIRECT("'数据-取费表'!q"&amp;$K$1))</f>
        <v>0.2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517</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4.0000000000000001E-3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0</v>
      </c>
      <c r="D27" s="456" t="s">
        <v>2809</v>
      </c>
      <c r="E27" s="456"/>
      <c r="F27" s="460">
        <f>'数据-取费表'!B41</f>
        <v>0</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3306</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3306</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-2473.0282724202498</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5" t="str">
        <f>项目基本情况!B1</f>
        <v>北京市出让国有建设用地使用权市场价格预评估</v>
      </c>
      <c r="C37" s="3285"/>
      <c r="D37" s="3285"/>
      <c r="E37" s="3285"/>
      <c r="F37" s="3285"/>
      <c r="G37" s="3285"/>
      <c r="H37" s="3285"/>
      <c r="I37" s="328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0" t="s">
        <v>516</v>
      </c>
      <c r="D6" s="3481"/>
      <c r="E6" s="3480" t="s">
        <v>517</v>
      </c>
      <c r="F6" s="3481"/>
      <c r="G6" s="3480" t="s">
        <v>518</v>
      </c>
      <c r="H6" s="3481"/>
      <c r="I6" s="3480" t="s">
        <v>519</v>
      </c>
      <c r="J6" s="3481"/>
      <c r="K6" s="508" t="s">
        <v>520</v>
      </c>
      <c r="L6" s="2015"/>
      <c r="M6" s="2014"/>
      <c r="N6" s="2014"/>
      <c r="O6" s="2016"/>
      <c r="P6" s="3482" t="s">
        <v>521</v>
      </c>
      <c r="Q6" s="3483"/>
      <c r="R6" s="3468" t="s">
        <v>517</v>
      </c>
      <c r="S6" s="3469"/>
      <c r="T6" s="3468" t="s">
        <v>518</v>
      </c>
      <c r="U6" s="3469"/>
      <c r="V6" s="3488" t="s">
        <v>519</v>
      </c>
      <c r="W6" s="3488"/>
      <c r="X6" s="1502"/>
      <c r="Y6" s="3468" t="s">
        <v>521</v>
      </c>
      <c r="Z6" s="3469"/>
      <c r="AA6" s="3463" t="s">
        <v>517</v>
      </c>
      <c r="AB6" s="3464" t="s">
        <v>518</v>
      </c>
      <c r="AC6" s="3463" t="s">
        <v>519</v>
      </c>
    </row>
    <row r="7" spans="1:30" ht="20.25">
      <c r="A7" s="509"/>
      <c r="B7" s="510"/>
      <c r="C7" s="3491" t="s">
        <v>2897</v>
      </c>
      <c r="D7" s="3492"/>
      <c r="E7" s="3491" t="s">
        <v>2898</v>
      </c>
      <c r="F7" s="3492"/>
      <c r="G7" s="3491" t="s">
        <v>2899</v>
      </c>
      <c r="H7" s="3492"/>
      <c r="I7" s="3491" t="s">
        <v>2900</v>
      </c>
      <c r="J7" s="3492"/>
      <c r="K7" s="508"/>
      <c r="L7" s="2015"/>
      <c r="M7" s="2014"/>
      <c r="N7" s="2014"/>
      <c r="O7" s="2016"/>
      <c r="P7" s="3484"/>
      <c r="Q7" s="3485"/>
      <c r="R7" s="3470"/>
      <c r="S7" s="3471"/>
      <c r="T7" s="3470"/>
      <c r="U7" s="3471"/>
      <c r="V7" s="3488"/>
      <c r="W7" s="3488"/>
      <c r="X7" s="1502"/>
      <c r="Y7" s="3470"/>
      <c r="Z7" s="3471"/>
      <c r="AA7" s="3464"/>
      <c r="AB7" s="3464"/>
      <c r="AC7" s="3464"/>
    </row>
    <row r="8" spans="1:30" ht="21" thickBot="1">
      <c r="A8" s="509"/>
      <c r="B8" s="510"/>
      <c r="C8" s="3493" t="s">
        <v>2901</v>
      </c>
      <c r="D8" s="3494"/>
      <c r="E8" s="3493" t="s">
        <v>2901</v>
      </c>
      <c r="F8" s="3494"/>
      <c r="G8" s="3489" t="s">
        <v>2901</v>
      </c>
      <c r="H8" s="3490"/>
      <c r="I8" s="3489" t="s">
        <v>2901</v>
      </c>
      <c r="J8" s="3490"/>
      <c r="K8" s="508" t="s">
        <v>522</v>
      </c>
      <c r="L8" s="2015"/>
      <c r="M8" s="2014"/>
      <c r="N8" s="2014"/>
      <c r="O8" s="2016"/>
      <c r="P8" s="3486"/>
      <c r="Q8" s="3487"/>
      <c r="R8" s="3470"/>
      <c r="S8" s="3471"/>
      <c r="T8" s="3472"/>
      <c r="U8" s="3473"/>
      <c r="V8" s="3488"/>
      <c r="W8" s="3488"/>
      <c r="X8" s="1502"/>
      <c r="Y8" s="3472"/>
      <c r="Z8" s="3473"/>
      <c r="AA8" s="3465"/>
      <c r="AB8" s="3465"/>
      <c r="AC8" s="3465"/>
    </row>
    <row r="9" spans="1:30" s="1203" customFormat="1" ht="21" thickBot="1">
      <c r="A9" s="2629"/>
      <c r="B9" s="2636" t="s">
        <v>523</v>
      </c>
      <c r="C9" s="2628">
        <f>'数据-取费表'!B2</f>
        <v>44269</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66" t="s">
        <v>524</v>
      </c>
      <c r="Q9" s="3475"/>
      <c r="R9" s="1503" t="s">
        <v>8</v>
      </c>
      <c r="S9" s="1504">
        <f t="shared" ref="S9:S17" si="0">F9</f>
        <v>0</v>
      </c>
      <c r="T9" s="1503" t="s">
        <v>8</v>
      </c>
      <c r="U9" s="1504">
        <f t="shared" ref="U9:U17" si="1">H9</f>
        <v>0</v>
      </c>
      <c r="V9" s="1503" t="s">
        <v>8</v>
      </c>
      <c r="W9" s="1504">
        <f t="shared" ref="W9:W17" si="2">J9</f>
        <v>0</v>
      </c>
      <c r="X9" s="1505"/>
      <c r="Y9" s="3466" t="s">
        <v>524</v>
      </c>
      <c r="Z9" s="3467"/>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66" t="s">
        <v>527</v>
      </c>
      <c r="Q10" s="3467"/>
      <c r="R10" s="1503" t="s">
        <v>8</v>
      </c>
      <c r="S10" s="1504">
        <f t="shared" si="0"/>
        <v>0</v>
      </c>
      <c r="T10" s="1503" t="s">
        <v>8</v>
      </c>
      <c r="U10" s="1504">
        <f t="shared" si="1"/>
        <v>0</v>
      </c>
      <c r="V10" s="1503" t="s">
        <v>8</v>
      </c>
      <c r="W10" s="1504">
        <f t="shared" si="2"/>
        <v>0</v>
      </c>
      <c r="X10" s="1505"/>
      <c r="Y10" s="3466" t="s">
        <v>527</v>
      </c>
      <c r="Z10" s="3467"/>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74" t="s">
        <v>529</v>
      </c>
      <c r="Q11" s="1134" t="str">
        <f t="shared" ref="Q11:Q17" si="6">B11</f>
        <v>用途</v>
      </c>
      <c r="R11" s="1503" t="s">
        <v>8</v>
      </c>
      <c r="S11" s="1504">
        <f t="shared" si="0"/>
        <v>100</v>
      </c>
      <c r="T11" s="1503" t="s">
        <v>8</v>
      </c>
      <c r="U11" s="1504">
        <f t="shared" si="1"/>
        <v>100</v>
      </c>
      <c r="V11" s="1503" t="s">
        <v>8</v>
      </c>
      <c r="W11" s="1504">
        <f t="shared" si="2"/>
        <v>100</v>
      </c>
      <c r="X11" s="1505"/>
      <c r="Y11" s="342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74"/>
      <c r="Q12" s="1134" t="str">
        <f t="shared" si="6"/>
        <v>土地使用年限（年）</v>
      </c>
      <c r="R12" s="1503" t="s">
        <v>8</v>
      </c>
      <c r="S12" s="1504">
        <f t="shared" si="0"/>
        <v>100</v>
      </c>
      <c r="T12" s="1503" t="s">
        <v>8</v>
      </c>
      <c r="U12" s="1504">
        <f t="shared" si="1"/>
        <v>100</v>
      </c>
      <c r="V12" s="1503" t="s">
        <v>8</v>
      </c>
      <c r="W12" s="1504">
        <f t="shared" si="2"/>
        <v>100</v>
      </c>
      <c r="X12" s="1505"/>
      <c r="Y12" s="3425"/>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74"/>
      <c r="Q13" s="1134" t="str">
        <f t="shared" si="6"/>
        <v>容积率</v>
      </c>
      <c r="R13" s="1503" t="s">
        <v>8</v>
      </c>
      <c r="S13" s="1504" t="e">
        <f t="shared" si="0"/>
        <v>#N/A</v>
      </c>
      <c r="T13" s="1503" t="s">
        <v>8</v>
      </c>
      <c r="U13" s="1504" t="e">
        <f t="shared" si="1"/>
        <v>#N/A</v>
      </c>
      <c r="V13" s="1503" t="s">
        <v>8</v>
      </c>
      <c r="W13" s="1504" t="e">
        <f t="shared" si="2"/>
        <v>#N/A</v>
      </c>
      <c r="X13" s="1505"/>
      <c r="Y13" s="342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74"/>
      <c r="Q14" s="1134" t="str">
        <f t="shared" si="6"/>
        <v>配建</v>
      </c>
      <c r="R14" s="1503" t="s">
        <v>8</v>
      </c>
      <c r="S14" s="1504">
        <f t="shared" si="0"/>
        <v>100</v>
      </c>
      <c r="T14" s="1503" t="s">
        <v>8</v>
      </c>
      <c r="U14" s="1504">
        <f t="shared" si="1"/>
        <v>100</v>
      </c>
      <c r="V14" s="1503" t="s">
        <v>8</v>
      </c>
      <c r="W14" s="1504">
        <f t="shared" si="2"/>
        <v>100</v>
      </c>
      <c r="X14" s="1505"/>
      <c r="Y14" s="342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74"/>
      <c r="Q15" s="1134">
        <f t="shared" si="6"/>
        <v>111</v>
      </c>
      <c r="R15" s="1503" t="s">
        <v>8</v>
      </c>
      <c r="S15" s="1504">
        <f t="shared" si="0"/>
        <v>100</v>
      </c>
      <c r="T15" s="1503" t="s">
        <v>8</v>
      </c>
      <c r="U15" s="1504">
        <f t="shared" si="1"/>
        <v>100</v>
      </c>
      <c r="V15" s="1503" t="s">
        <v>8</v>
      </c>
      <c r="W15" s="1504">
        <f t="shared" si="2"/>
        <v>100</v>
      </c>
      <c r="X15" s="1505"/>
      <c r="Y15" s="342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74"/>
      <c r="Q16" s="1134">
        <f t="shared" si="6"/>
        <v>111</v>
      </c>
      <c r="R16" s="1503" t="s">
        <v>8</v>
      </c>
      <c r="S16" s="1504">
        <f t="shared" si="0"/>
        <v>100</v>
      </c>
      <c r="T16" s="1503" t="s">
        <v>8</v>
      </c>
      <c r="U16" s="1504">
        <f t="shared" si="1"/>
        <v>100</v>
      </c>
      <c r="V16" s="1503" t="s">
        <v>8</v>
      </c>
      <c r="W16" s="1504">
        <f t="shared" si="2"/>
        <v>100</v>
      </c>
      <c r="X16" s="1505"/>
      <c r="Y16" s="342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76" t="s">
        <v>534</v>
      </c>
      <c r="Q17" s="1507" t="str">
        <f t="shared" si="6"/>
        <v>居住社区成熟度</v>
      </c>
      <c r="R17" s="1508" t="s">
        <v>8</v>
      </c>
      <c r="S17" s="1509">
        <f t="shared" si="0"/>
        <v>100</v>
      </c>
      <c r="T17" s="1508" t="s">
        <v>8</v>
      </c>
      <c r="U17" s="1509">
        <f t="shared" si="1"/>
        <v>100</v>
      </c>
      <c r="V17" s="1508" t="s">
        <v>8</v>
      </c>
      <c r="W17" s="1509">
        <f t="shared" si="2"/>
        <v>100</v>
      </c>
      <c r="X17" s="1502"/>
      <c r="Y17" s="3476"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77"/>
      <c r="Q18" s="1507"/>
      <c r="R18" s="1508"/>
      <c r="S18" s="1509"/>
      <c r="T18" s="1508"/>
      <c r="U18" s="1509"/>
      <c r="V18" s="1508"/>
      <c r="W18" s="1509"/>
      <c r="X18" s="1502"/>
      <c r="Y18" s="3477"/>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77"/>
      <c r="Q19" s="1507" t="str">
        <f>B19</f>
        <v>商业繁华度</v>
      </c>
      <c r="R19" s="1508" t="s">
        <v>8</v>
      </c>
      <c r="S19" s="1509">
        <f>F19</f>
        <v>100</v>
      </c>
      <c r="T19" s="1508" t="s">
        <v>8</v>
      </c>
      <c r="U19" s="1509">
        <f>H19</f>
        <v>100</v>
      </c>
      <c r="V19" s="1508" t="s">
        <v>8</v>
      </c>
      <c r="W19" s="1509">
        <f>J19</f>
        <v>100</v>
      </c>
      <c r="X19" s="1502"/>
      <c r="Y19" s="3477"/>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77"/>
      <c r="Q20" s="1507"/>
      <c r="R20" s="1508"/>
      <c r="S20" s="1509"/>
      <c r="T20" s="1508"/>
      <c r="U20" s="1509"/>
      <c r="V20" s="1508"/>
      <c r="W20" s="1509"/>
      <c r="X20" s="1502"/>
      <c r="Y20" s="3477"/>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77"/>
      <c r="Q21" s="1507" t="str">
        <f>B21</f>
        <v>办公集聚程度</v>
      </c>
      <c r="R21" s="1508" t="s">
        <v>8</v>
      </c>
      <c r="S21" s="1509">
        <f>F21</f>
        <v>100</v>
      </c>
      <c r="T21" s="1508" t="s">
        <v>8</v>
      </c>
      <c r="U21" s="1509">
        <f>H21</f>
        <v>100</v>
      </c>
      <c r="V21" s="1508" t="s">
        <v>8</v>
      </c>
      <c r="W21" s="1509">
        <f>J21</f>
        <v>100</v>
      </c>
      <c r="X21" s="1502"/>
      <c r="Y21" s="3477"/>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77"/>
      <c r="Q22" s="1507"/>
      <c r="R22" s="1508"/>
      <c r="S22" s="1509"/>
      <c r="T22" s="1508"/>
      <c r="U22" s="1509"/>
      <c r="V22" s="1508"/>
      <c r="W22" s="1509"/>
      <c r="X22" s="1502"/>
      <c r="Y22" s="3477"/>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77"/>
      <c r="Q23" s="1507" t="str">
        <f>B23</f>
        <v>交通便捷度</v>
      </c>
      <c r="R23" s="1508" t="s">
        <v>8</v>
      </c>
      <c r="S23" s="1509">
        <f>F23</f>
        <v>100</v>
      </c>
      <c r="T23" s="1508" t="s">
        <v>8</v>
      </c>
      <c r="U23" s="1509">
        <f>H23</f>
        <v>100</v>
      </c>
      <c r="V23" s="1508" t="s">
        <v>8</v>
      </c>
      <c r="W23" s="1509">
        <f>J23</f>
        <v>100</v>
      </c>
      <c r="X23" s="1502"/>
      <c r="Y23" s="3477"/>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77"/>
      <c r="Q24" s="1507"/>
      <c r="R24" s="1508"/>
      <c r="S24" s="1509"/>
      <c r="T24" s="1508"/>
      <c r="U24" s="1509"/>
      <c r="V24" s="1508"/>
      <c r="W24" s="1509"/>
      <c r="X24" s="1502"/>
      <c r="Y24" s="3477"/>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77"/>
      <c r="Q25" s="1507" t="str">
        <f t="shared" ref="Q25:Q39" si="8">B25</f>
        <v>区域土地利用方向</v>
      </c>
      <c r="R25" s="1508" t="s">
        <v>8</v>
      </c>
      <c r="S25" s="1509">
        <f>F25</f>
        <v>100</v>
      </c>
      <c r="T25" s="1508" t="s">
        <v>8</v>
      </c>
      <c r="U25" s="1509">
        <f>H25</f>
        <v>100</v>
      </c>
      <c r="V25" s="1508" t="s">
        <v>8</v>
      </c>
      <c r="W25" s="1509">
        <f>J25</f>
        <v>100</v>
      </c>
      <c r="X25" s="1502"/>
      <c r="Y25" s="3477"/>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77"/>
      <c r="Q26" s="1507"/>
      <c r="R26" s="1508"/>
      <c r="S26" s="1509"/>
      <c r="T26" s="1508"/>
      <c r="U26" s="1509"/>
      <c r="V26" s="1508"/>
      <c r="W26" s="1509"/>
      <c r="X26" s="1502"/>
      <c r="Y26" s="3477"/>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77"/>
      <c r="Q27" s="1507" t="str">
        <f t="shared" si="8"/>
        <v>自然及人文环境状况</v>
      </c>
      <c r="R27" s="1508" t="s">
        <v>8</v>
      </c>
      <c r="S27" s="1509">
        <f>F27</f>
        <v>100</v>
      </c>
      <c r="T27" s="1508" t="s">
        <v>8</v>
      </c>
      <c r="U27" s="1509">
        <f>H27</f>
        <v>100</v>
      </c>
      <c r="V27" s="1508" t="s">
        <v>8</v>
      </c>
      <c r="W27" s="1509">
        <f>J27</f>
        <v>100</v>
      </c>
      <c r="X27" s="1502"/>
      <c r="Y27" s="3477"/>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77"/>
      <c r="Q28" s="1507"/>
      <c r="R28" s="1508"/>
      <c r="S28" s="1509"/>
      <c r="T28" s="1508"/>
      <c r="U28" s="1509"/>
      <c r="V28" s="1508"/>
      <c r="W28" s="1509"/>
      <c r="X28" s="1502"/>
      <c r="Y28" s="3477"/>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77"/>
      <c r="Q29" s="1134" t="str">
        <f t="shared" si="8"/>
        <v>公共配套设施</v>
      </c>
      <c r="R29" s="1503" t="s">
        <v>8</v>
      </c>
      <c r="S29" s="1504">
        <f>F29</f>
        <v>100</v>
      </c>
      <c r="T29" s="1503" t="s">
        <v>8</v>
      </c>
      <c r="U29" s="1504">
        <f>H29</f>
        <v>100</v>
      </c>
      <c r="V29" s="1503" t="s">
        <v>8</v>
      </c>
      <c r="W29" s="1504">
        <f>J29</f>
        <v>100</v>
      </c>
      <c r="X29" s="1505"/>
      <c r="Y29" s="3477"/>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77"/>
      <c r="Q30" s="1134"/>
      <c r="R30" s="1503"/>
      <c r="S30" s="1504"/>
      <c r="T30" s="1503"/>
      <c r="U30" s="1504"/>
      <c r="V30" s="1503"/>
      <c r="W30" s="1504"/>
      <c r="X30" s="1505"/>
      <c r="Y30" s="3477"/>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77"/>
      <c r="Q31" s="2428" t="str">
        <f t="shared" ref="Q31" si="9">B31</f>
        <v>基础设施水平</v>
      </c>
      <c r="R31" s="1503" t="s">
        <v>8</v>
      </c>
      <c r="S31" s="1504">
        <f>F31</f>
        <v>100</v>
      </c>
      <c r="T31" s="1503" t="s">
        <v>8</v>
      </c>
      <c r="U31" s="1504">
        <f>H31</f>
        <v>100</v>
      </c>
      <c r="V31" s="1503" t="s">
        <v>8</v>
      </c>
      <c r="W31" s="1504">
        <f>J31</f>
        <v>100</v>
      </c>
      <c r="X31" s="1505"/>
      <c r="Y31" s="3477"/>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77"/>
      <c r="Q32" s="2428"/>
      <c r="R32" s="1503"/>
      <c r="S32" s="1504"/>
      <c r="T32" s="1503"/>
      <c r="U32" s="1504"/>
      <c r="V32" s="1503"/>
      <c r="W32" s="1504"/>
      <c r="X32" s="1505"/>
      <c r="Y32" s="3477"/>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7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7"/>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77"/>
      <c r="Q34" s="1507" t="str">
        <f t="shared" si="8"/>
        <v>毗邻道路的类型与等级</v>
      </c>
      <c r="R34" s="1508" t="s">
        <v>8</v>
      </c>
      <c r="S34" s="1509">
        <f t="shared" si="10"/>
        <v>100</v>
      </c>
      <c r="T34" s="1508" t="s">
        <v>8</v>
      </c>
      <c r="U34" s="1509">
        <f t="shared" si="11"/>
        <v>100</v>
      </c>
      <c r="V34" s="1508" t="s">
        <v>8</v>
      </c>
      <c r="W34" s="1509">
        <f t="shared" si="12"/>
        <v>100</v>
      </c>
      <c r="X34" s="1502"/>
      <c r="Y34" s="3477"/>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77"/>
      <c r="Q35" s="1507"/>
      <c r="R35" s="1508"/>
      <c r="S35" s="1509"/>
      <c r="T35" s="1508"/>
      <c r="U35" s="1509"/>
      <c r="V35" s="1508"/>
      <c r="W35" s="1509"/>
      <c r="X35" s="1502"/>
      <c r="Y35" s="3477"/>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77"/>
      <c r="Q36" s="1507" t="str">
        <f t="shared" si="8"/>
        <v>土地级别</v>
      </c>
      <c r="R36" s="1508" t="s">
        <v>8</v>
      </c>
      <c r="S36" s="1509">
        <f t="shared" si="10"/>
        <v>100</v>
      </c>
      <c r="T36" s="1508" t="s">
        <v>8</v>
      </c>
      <c r="U36" s="1509">
        <f t="shared" si="11"/>
        <v>100</v>
      </c>
      <c r="V36" s="1508" t="s">
        <v>8</v>
      </c>
      <c r="W36" s="1509">
        <f t="shared" si="12"/>
        <v>100</v>
      </c>
      <c r="X36" s="1502"/>
      <c r="Y36" s="3477"/>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77"/>
      <c r="Q37" s="1507">
        <f t="shared" si="8"/>
        <v>111</v>
      </c>
      <c r="R37" s="1508" t="s">
        <v>8</v>
      </c>
      <c r="S37" s="1509">
        <f t="shared" si="10"/>
        <v>100</v>
      </c>
      <c r="T37" s="1508" t="s">
        <v>8</v>
      </c>
      <c r="U37" s="1509">
        <f t="shared" si="11"/>
        <v>100</v>
      </c>
      <c r="V37" s="1508" t="s">
        <v>8</v>
      </c>
      <c r="W37" s="1509">
        <f t="shared" si="12"/>
        <v>100</v>
      </c>
      <c r="X37" s="1502"/>
      <c r="Y37" s="3477"/>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78" t="s">
        <v>544</v>
      </c>
      <c r="Q38" s="1507">
        <f t="shared" si="8"/>
        <v>111</v>
      </c>
      <c r="R38" s="1508" t="s">
        <v>8</v>
      </c>
      <c r="S38" s="1509">
        <f t="shared" si="10"/>
        <v>100</v>
      </c>
      <c r="T38" s="1508" t="s">
        <v>8</v>
      </c>
      <c r="U38" s="1509">
        <f t="shared" si="11"/>
        <v>100</v>
      </c>
      <c r="V38" s="1508" t="s">
        <v>8</v>
      </c>
      <c r="W38" s="1509">
        <f t="shared" si="12"/>
        <v>100</v>
      </c>
      <c r="X38" s="1502"/>
      <c r="Y38" s="3479"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79"/>
      <c r="Q39" s="1507">
        <f t="shared" si="8"/>
        <v>111</v>
      </c>
      <c r="R39" s="1512" t="s">
        <v>8</v>
      </c>
      <c r="S39" s="1513">
        <f t="shared" si="10"/>
        <v>100</v>
      </c>
      <c r="T39" s="1512" t="s">
        <v>8</v>
      </c>
      <c r="U39" s="1513">
        <f t="shared" si="11"/>
        <v>100</v>
      </c>
      <c r="V39" s="1512" t="s">
        <v>8</v>
      </c>
      <c r="W39" s="1513">
        <f t="shared" si="12"/>
        <v>100</v>
      </c>
      <c r="X39" s="1514"/>
      <c r="Y39" s="3479"/>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79"/>
      <c r="Q40" s="1507" t="str">
        <f>B40</f>
        <v>宗地面积</v>
      </c>
      <c r="R40" s="1508" t="s">
        <v>8</v>
      </c>
      <c r="S40" s="1509" t="e">
        <f t="shared" si="10"/>
        <v>#N/A</v>
      </c>
      <c r="T40" s="1508" t="s">
        <v>8</v>
      </c>
      <c r="U40" s="1509" t="e">
        <f t="shared" si="11"/>
        <v>#N/A</v>
      </c>
      <c r="V40" s="1508" t="s">
        <v>8</v>
      </c>
      <c r="W40" s="1509" t="e">
        <f t="shared" si="12"/>
        <v>#N/A</v>
      </c>
      <c r="X40" s="1502"/>
      <c r="Y40" s="3479"/>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79"/>
      <c r="Q41" s="1507" t="str">
        <f t="shared" ref="Q41:Q47" si="14">B41</f>
        <v>宗地形状</v>
      </c>
      <c r="R41" s="1508" t="s">
        <v>8</v>
      </c>
      <c r="S41" s="1509">
        <f t="shared" si="10"/>
        <v>100</v>
      </c>
      <c r="T41" s="1508" t="s">
        <v>8</v>
      </c>
      <c r="U41" s="1509">
        <f t="shared" si="11"/>
        <v>100</v>
      </c>
      <c r="V41" s="1508" t="s">
        <v>8</v>
      </c>
      <c r="W41" s="1509">
        <f t="shared" si="12"/>
        <v>100</v>
      </c>
      <c r="X41" s="1502"/>
      <c r="Y41" s="3479"/>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79"/>
      <c r="Q42" s="1507" t="str">
        <f t="shared" si="14"/>
        <v>临街宽度及深度</v>
      </c>
      <c r="R42" s="1508" t="s">
        <v>8</v>
      </c>
      <c r="S42" s="1509">
        <f t="shared" si="10"/>
        <v>100</v>
      </c>
      <c r="T42" s="1508" t="s">
        <v>8</v>
      </c>
      <c r="U42" s="1509">
        <f t="shared" si="11"/>
        <v>100</v>
      </c>
      <c r="V42" s="1508" t="s">
        <v>8</v>
      </c>
      <c r="W42" s="1509">
        <f t="shared" si="12"/>
        <v>100</v>
      </c>
      <c r="X42" s="1502"/>
      <c r="Y42" s="3479"/>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79"/>
      <c r="Q43" s="1507" t="str">
        <f t="shared" si="14"/>
        <v>宗地开发程度</v>
      </c>
      <c r="R43" s="1503" t="s">
        <v>8</v>
      </c>
      <c r="S43" s="1504">
        <f t="shared" si="10"/>
        <v>100</v>
      </c>
      <c r="T43" s="1503" t="s">
        <v>8</v>
      </c>
      <c r="U43" s="1504">
        <f t="shared" si="11"/>
        <v>100</v>
      </c>
      <c r="V43" s="1503" t="s">
        <v>8</v>
      </c>
      <c r="W43" s="1504">
        <f t="shared" si="12"/>
        <v>100</v>
      </c>
      <c r="X43" s="1505"/>
      <c r="Y43" s="3479"/>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79" t="s">
        <v>544</v>
      </c>
      <c r="Q44" s="1507" t="str">
        <f t="shared" si="14"/>
        <v>工程地质条件</v>
      </c>
      <c r="R44" s="1508" t="s">
        <v>8</v>
      </c>
      <c r="S44" s="1509">
        <f t="shared" si="10"/>
        <v>100</v>
      </c>
      <c r="T44" s="1508" t="s">
        <v>8</v>
      </c>
      <c r="U44" s="1509">
        <f t="shared" si="11"/>
        <v>100</v>
      </c>
      <c r="V44" s="1508" t="s">
        <v>8</v>
      </c>
      <c r="W44" s="1509">
        <f t="shared" si="12"/>
        <v>100</v>
      </c>
      <c r="X44" s="1502"/>
      <c r="Y44" s="3479"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79"/>
      <c r="Q45" s="1507">
        <f t="shared" si="14"/>
        <v>111</v>
      </c>
      <c r="R45" s="1508" t="s">
        <v>8</v>
      </c>
      <c r="S45" s="1509">
        <f t="shared" si="10"/>
        <v>100</v>
      </c>
      <c r="T45" s="1508" t="s">
        <v>8</v>
      </c>
      <c r="U45" s="1509">
        <f t="shared" si="11"/>
        <v>100</v>
      </c>
      <c r="V45" s="1508" t="s">
        <v>8</v>
      </c>
      <c r="W45" s="1509">
        <f t="shared" si="12"/>
        <v>100</v>
      </c>
      <c r="X45" s="1502"/>
      <c r="Y45" s="3479"/>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79"/>
      <c r="Q46" s="1507">
        <f t="shared" si="14"/>
        <v>111</v>
      </c>
      <c r="R46" s="1508" t="s">
        <v>8</v>
      </c>
      <c r="S46" s="1509">
        <f t="shared" si="10"/>
        <v>100</v>
      </c>
      <c r="T46" s="1508" t="s">
        <v>8</v>
      </c>
      <c r="U46" s="1509">
        <f t="shared" si="11"/>
        <v>100</v>
      </c>
      <c r="V46" s="1508" t="s">
        <v>8</v>
      </c>
      <c r="W46" s="1509">
        <f t="shared" si="12"/>
        <v>100</v>
      </c>
      <c r="X46" s="1502"/>
      <c r="Y46" s="3479"/>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79"/>
      <c r="Q47" s="1507">
        <f t="shared" si="14"/>
        <v>111</v>
      </c>
      <c r="R47" s="1512" t="s">
        <v>8</v>
      </c>
      <c r="S47" s="1513">
        <f t="shared" si="10"/>
        <v>100</v>
      </c>
      <c r="T47" s="1512" t="s">
        <v>8</v>
      </c>
      <c r="U47" s="1513">
        <f t="shared" si="11"/>
        <v>100</v>
      </c>
      <c r="V47" s="1512" t="s">
        <v>8</v>
      </c>
      <c r="W47" s="1513">
        <f t="shared" si="12"/>
        <v>100</v>
      </c>
      <c r="X47" s="1514"/>
      <c r="Y47" s="3479"/>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474" t="str">
        <f>A48</f>
        <v>成交单价</v>
      </c>
      <c r="Q48" s="3474"/>
      <c r="R48" s="3488">
        <f>E48</f>
        <v>0</v>
      </c>
      <c r="S48" s="3488"/>
      <c r="T48" s="3488">
        <f>G48</f>
        <v>0</v>
      </c>
      <c r="U48" s="3488"/>
      <c r="V48" s="3488">
        <f>I48</f>
        <v>0</v>
      </c>
      <c r="W48" s="3488"/>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3474" t="str">
        <f>A49</f>
        <v>比较价格（元/平方米）</v>
      </c>
      <c r="Q49" s="3474"/>
      <c r="R49" s="3498" t="e">
        <f>ROUND(PRODUCT(R48,AA9:AA47),0)</f>
        <v>#DIV/0!</v>
      </c>
      <c r="S49" s="3498"/>
      <c r="T49" s="3498" t="e">
        <f>ROUND(PRODUCT(T48,AB9:AB47),0)</f>
        <v>#DIV/0!</v>
      </c>
      <c r="U49" s="3498"/>
      <c r="V49" s="3498" t="e">
        <f>ROUND(PRODUCT(V48,AC9:AC47),0)</f>
        <v>#DIV/0!</v>
      </c>
      <c r="W49" s="3498"/>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495" t="str">
        <f>A50</f>
        <v>估价对象XX用房的比较价格（楼面单价，元/平方米）</v>
      </c>
      <c r="Q50" s="3496"/>
      <c r="R50" s="3497" t="e">
        <f>ROUND(IF(D49="简单平均",AVERAGE(R49:W49),R49*F49+T49*H49+V49*J49),0)</f>
        <v>#DIV/0!</v>
      </c>
      <c r="S50" s="3497"/>
      <c r="T50" s="3497"/>
      <c r="U50" s="3497"/>
      <c r="V50" s="3497"/>
      <c r="W50" s="3497"/>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58" t="s">
        <v>2269</v>
      </c>
      <c r="H57" s="3459"/>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9000</v>
      </c>
      <c r="F58" s="628" t="e">
        <f t="shared" ref="F58:F67" si="15">ROUND(B58*E58/10000,0)</f>
        <v>#DIV/0!</v>
      </c>
      <c r="G58" s="3460"/>
      <c r="H58" s="3461"/>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0.6</v>
      </c>
      <c r="D59" s="2109">
        <v>0.25</v>
      </c>
      <c r="E59" s="631">
        <v>0</v>
      </c>
      <c r="F59" s="628" t="e">
        <f t="shared" si="15"/>
        <v>#DIV/0!</v>
      </c>
      <c r="G59" s="3462" t="s">
        <v>2270</v>
      </c>
      <c r="H59" s="1862" t="str">
        <f>项目基本情况!B43</f>
        <v>八级</v>
      </c>
      <c r="I59" s="1495">
        <f>SUMIF(修正!$A$45:$A$56,H59,修正!B45:B56)</f>
        <v>0.6</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0.3</v>
      </c>
      <c r="D60" s="2109">
        <v>0.25</v>
      </c>
      <c r="E60" s="631">
        <v>0</v>
      </c>
      <c r="F60" s="628" t="e">
        <f t="shared" si="15"/>
        <v>#DIV/0!</v>
      </c>
      <c r="G60" s="3462"/>
      <c r="H60" s="1862" t="str">
        <f>项目基本情况!B43</f>
        <v>八级</v>
      </c>
      <c r="I60" s="1495">
        <f>SUMIF(修正!$A$45:$A$56,H60,修正!C45:C56)</f>
        <v>0.3</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0.2</v>
      </c>
      <c r="D61" s="2109">
        <v>0.25</v>
      </c>
      <c r="E61" s="631">
        <v>0</v>
      </c>
      <c r="F61" s="628" t="e">
        <f t="shared" si="15"/>
        <v>#DIV/0!</v>
      </c>
      <c r="G61" s="3462"/>
      <c r="H61" s="1862" t="str">
        <f>项目基本情况!B43</f>
        <v>八级</v>
      </c>
      <c r="I61" s="1495">
        <f>SUMIF(修正!$A$45:$A$56,H61,修正!D45:D56)</f>
        <v>0.2</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0.2</v>
      </c>
      <c r="D62" s="2109">
        <v>0.25</v>
      </c>
      <c r="E62" s="631">
        <v>0</v>
      </c>
      <c r="F62" s="628" t="e">
        <f t="shared" si="15"/>
        <v>#DIV/0!</v>
      </c>
      <c r="G62" s="3462"/>
      <c r="H62" s="1862" t="str">
        <f>项目基本情况!B43</f>
        <v>八级</v>
      </c>
      <c r="I62" s="1495">
        <f>SUMIF(修正!$A$45:$A$56,H62,修正!E45:E56)</f>
        <v>0.2</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八级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八级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0.15</v>
      </c>
      <c r="D66" s="2109">
        <v>0.25</v>
      </c>
      <c r="E66" s="633">
        <f>'数据-汇总表'!E14</f>
        <v>0</v>
      </c>
      <c r="F66" s="628" t="e">
        <f t="shared" si="15"/>
        <v>#DIV/0!</v>
      </c>
      <c r="G66" s="1859" t="s">
        <v>2270</v>
      </c>
      <c r="H66" s="1862" t="str">
        <f>项目基本情况!B43</f>
        <v>八级</v>
      </c>
      <c r="I66" s="1495">
        <f>SUMIF(修正!$A$45:$A$56,H66,修正!H45:H56)</f>
        <v>0.15</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八级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3214.29</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"北京市平均增长率"&amp;TEXT(SUMIF('基准地价-商业'!N21:N25,A73,'基准地价-商业'!P21:P25),"0.00%")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80" t="s">
        <v>516</v>
      </c>
      <c r="D6" s="3481"/>
      <c r="E6" s="3505" t="s">
        <v>517</v>
      </c>
      <c r="F6" s="3506"/>
      <c r="G6" s="3480" t="s">
        <v>518</v>
      </c>
      <c r="H6" s="3481"/>
      <c r="I6" s="3480" t="s">
        <v>519</v>
      </c>
      <c r="J6" s="3481"/>
      <c r="K6" s="508" t="s">
        <v>520</v>
      </c>
      <c r="L6" s="2015"/>
      <c r="M6" s="2016"/>
      <c r="N6" s="2016"/>
      <c r="O6" s="2016"/>
      <c r="P6" s="3482" t="s">
        <v>521</v>
      </c>
      <c r="Q6" s="3483"/>
      <c r="R6" s="3468" t="s">
        <v>517</v>
      </c>
      <c r="S6" s="3469"/>
      <c r="T6" s="3468" t="s">
        <v>518</v>
      </c>
      <c r="U6" s="3469"/>
      <c r="V6" s="3488" t="s">
        <v>519</v>
      </c>
      <c r="W6" s="3488"/>
      <c r="X6" s="1502"/>
      <c r="Y6" s="3468" t="s">
        <v>521</v>
      </c>
      <c r="Z6" s="3469"/>
      <c r="AA6" s="3463" t="s">
        <v>517</v>
      </c>
      <c r="AB6" s="3464" t="s">
        <v>518</v>
      </c>
      <c r="AC6" s="3463" t="s">
        <v>519</v>
      </c>
    </row>
    <row r="7" spans="1:29" ht="15">
      <c r="A7" s="509"/>
      <c r="B7" s="510"/>
      <c r="C7" s="3491" t="s">
        <v>2897</v>
      </c>
      <c r="D7" s="3492"/>
      <c r="E7" s="3507" t="s">
        <v>2898</v>
      </c>
      <c r="F7" s="3508"/>
      <c r="G7" s="3491" t="s">
        <v>2899</v>
      </c>
      <c r="H7" s="3492"/>
      <c r="I7" s="3491" t="s">
        <v>2900</v>
      </c>
      <c r="J7" s="3492"/>
      <c r="K7" s="508"/>
      <c r="L7" s="2015"/>
      <c r="M7" s="2016"/>
      <c r="N7" s="2016"/>
      <c r="O7" s="2016"/>
      <c r="P7" s="3484"/>
      <c r="Q7" s="3485"/>
      <c r="R7" s="3470"/>
      <c r="S7" s="3471"/>
      <c r="T7" s="3470"/>
      <c r="U7" s="3471"/>
      <c r="V7" s="3488"/>
      <c r="W7" s="3488"/>
      <c r="X7" s="1502"/>
      <c r="Y7" s="3470"/>
      <c r="Z7" s="3471"/>
      <c r="AA7" s="3464"/>
      <c r="AB7" s="3464"/>
      <c r="AC7" s="3464"/>
    </row>
    <row r="8" spans="1:29" ht="15.75" thickBot="1">
      <c r="A8" s="511"/>
      <c r="B8" s="512"/>
      <c r="C8" s="3489" t="s">
        <v>2901</v>
      </c>
      <c r="D8" s="3490"/>
      <c r="E8" s="3509" t="s">
        <v>2901</v>
      </c>
      <c r="F8" s="3510"/>
      <c r="G8" s="3489" t="s">
        <v>2901</v>
      </c>
      <c r="H8" s="3490"/>
      <c r="I8" s="3489" t="s">
        <v>2901</v>
      </c>
      <c r="J8" s="3490"/>
      <c r="K8" s="508" t="s">
        <v>522</v>
      </c>
      <c r="L8" s="2015"/>
      <c r="M8" s="2016"/>
      <c r="N8" s="2016"/>
      <c r="O8" s="2016"/>
      <c r="P8" s="3486"/>
      <c r="Q8" s="3487"/>
      <c r="R8" s="3470"/>
      <c r="S8" s="3471"/>
      <c r="T8" s="3472"/>
      <c r="U8" s="3473"/>
      <c r="V8" s="3488"/>
      <c r="W8" s="3488"/>
      <c r="X8" s="1502"/>
      <c r="Y8" s="3472"/>
      <c r="Z8" s="3473"/>
      <c r="AA8" s="3465"/>
      <c r="AB8" s="3465"/>
      <c r="AC8" s="3465"/>
    </row>
    <row r="9" spans="1:29" s="1203" customFormat="1" ht="15.75" thickBot="1">
      <c r="A9" s="2629"/>
      <c r="B9" s="2636" t="s">
        <v>523</v>
      </c>
      <c r="C9" s="513">
        <f>'数据-取费表'!B2</f>
        <v>44269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66" t="s">
        <v>524</v>
      </c>
      <c r="Q9" s="3475"/>
      <c r="R9" s="1503" t="s">
        <v>8</v>
      </c>
      <c r="S9" s="1504">
        <f t="shared" ref="S9:S17" si="0">F9</f>
        <v>0</v>
      </c>
      <c r="T9" s="1503" t="s">
        <v>8</v>
      </c>
      <c r="U9" s="1504">
        <f t="shared" ref="U9:U17" si="1">H9</f>
        <v>0</v>
      </c>
      <c r="V9" s="1503" t="s">
        <v>8</v>
      </c>
      <c r="W9" s="1504">
        <f t="shared" ref="W9:W17" si="2">J9</f>
        <v>0</v>
      </c>
      <c r="X9" s="1505"/>
      <c r="Y9" s="3466" t="s">
        <v>524</v>
      </c>
      <c r="Z9" s="3467"/>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66" t="s">
        <v>527</v>
      </c>
      <c r="Q10" s="3467"/>
      <c r="R10" s="1503" t="s">
        <v>8</v>
      </c>
      <c r="S10" s="1504">
        <f t="shared" si="0"/>
        <v>0</v>
      </c>
      <c r="T10" s="1503" t="s">
        <v>8</v>
      </c>
      <c r="U10" s="1504">
        <f t="shared" si="1"/>
        <v>0</v>
      </c>
      <c r="V10" s="1503" t="s">
        <v>8</v>
      </c>
      <c r="W10" s="1504">
        <f t="shared" si="2"/>
        <v>0</v>
      </c>
      <c r="X10" s="1505"/>
      <c r="Y10" s="3466" t="s">
        <v>527</v>
      </c>
      <c r="Z10" s="3467"/>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74" t="s">
        <v>529</v>
      </c>
      <c r="Q11" s="1134" t="str">
        <f t="shared" ref="Q11:Q17" si="6">B11</f>
        <v>用途</v>
      </c>
      <c r="R11" s="1503" t="s">
        <v>8</v>
      </c>
      <c r="S11" s="1504">
        <f t="shared" si="0"/>
        <v>100</v>
      </c>
      <c r="T11" s="1503" t="s">
        <v>8</v>
      </c>
      <c r="U11" s="1504">
        <f t="shared" si="1"/>
        <v>100</v>
      </c>
      <c r="V11" s="1503" t="s">
        <v>8</v>
      </c>
      <c r="W11" s="1504">
        <f t="shared" si="2"/>
        <v>100</v>
      </c>
      <c r="X11" s="1505"/>
      <c r="Y11" s="3425"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74"/>
      <c r="Q12" s="1134" t="str">
        <f t="shared" si="6"/>
        <v>土地使用年限（年）</v>
      </c>
      <c r="R12" s="1503" t="s">
        <v>8</v>
      </c>
      <c r="S12" s="1504">
        <f t="shared" si="0"/>
        <v>100</v>
      </c>
      <c r="T12" s="1503" t="s">
        <v>8</v>
      </c>
      <c r="U12" s="1504">
        <f t="shared" si="1"/>
        <v>100</v>
      </c>
      <c r="V12" s="1503" t="s">
        <v>8</v>
      </c>
      <c r="W12" s="1504">
        <f t="shared" si="2"/>
        <v>100</v>
      </c>
      <c r="X12" s="1505"/>
      <c r="Y12" s="3425"/>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74"/>
      <c r="Q13" s="1134" t="str">
        <f t="shared" si="6"/>
        <v>容积率</v>
      </c>
      <c r="R13" s="1503" t="s">
        <v>8</v>
      </c>
      <c r="S13" s="1504" t="e">
        <f t="shared" si="0"/>
        <v>#N/A</v>
      </c>
      <c r="T13" s="1503" t="s">
        <v>8</v>
      </c>
      <c r="U13" s="1504" t="e">
        <f t="shared" si="1"/>
        <v>#N/A</v>
      </c>
      <c r="V13" s="1503" t="s">
        <v>8</v>
      </c>
      <c r="W13" s="1504" t="e">
        <f t="shared" si="2"/>
        <v>#N/A</v>
      </c>
      <c r="X13" s="1505"/>
      <c r="Y13" s="3425"/>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74"/>
      <c r="Q15" s="1134">
        <f t="shared" si="6"/>
        <v>111</v>
      </c>
      <c r="R15" s="1503" t="s">
        <v>8</v>
      </c>
      <c r="S15" s="1504">
        <f t="shared" si="0"/>
        <v>100</v>
      </c>
      <c r="T15" s="1503" t="s">
        <v>8</v>
      </c>
      <c r="U15" s="1504">
        <f t="shared" si="1"/>
        <v>100</v>
      </c>
      <c r="V15" s="1503" t="s">
        <v>8</v>
      </c>
      <c r="W15" s="1504">
        <f t="shared" si="2"/>
        <v>100</v>
      </c>
      <c r="X15" s="1505"/>
      <c r="Y15" s="3425"/>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74"/>
      <c r="Q16" s="1134">
        <f t="shared" si="6"/>
        <v>111</v>
      </c>
      <c r="R16" s="1503" t="s">
        <v>8</v>
      </c>
      <c r="S16" s="1504">
        <f t="shared" si="0"/>
        <v>100</v>
      </c>
      <c r="T16" s="1503" t="s">
        <v>8</v>
      </c>
      <c r="U16" s="1504">
        <f t="shared" si="1"/>
        <v>100</v>
      </c>
      <c r="V16" s="1503" t="s">
        <v>8</v>
      </c>
      <c r="W16" s="1504">
        <f t="shared" si="2"/>
        <v>100</v>
      </c>
      <c r="X16" s="1505"/>
      <c r="Y16" s="342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76" t="s">
        <v>534</v>
      </c>
      <c r="Q17" s="1507" t="str">
        <f t="shared" si="6"/>
        <v>产业集聚程度</v>
      </c>
      <c r="R17" s="1508" t="s">
        <v>8</v>
      </c>
      <c r="S17" s="1509">
        <f t="shared" si="0"/>
        <v>100</v>
      </c>
      <c r="T17" s="1508" t="s">
        <v>8</v>
      </c>
      <c r="U17" s="1509">
        <f t="shared" si="1"/>
        <v>100</v>
      </c>
      <c r="V17" s="1508" t="s">
        <v>8</v>
      </c>
      <c r="W17" s="1509">
        <f t="shared" si="2"/>
        <v>100</v>
      </c>
      <c r="X17" s="1502"/>
      <c r="Y17" s="347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77"/>
      <c r="Q18" s="1507"/>
      <c r="R18" s="1508"/>
      <c r="S18" s="1509"/>
      <c r="T18" s="1508"/>
      <c r="U18" s="1509"/>
      <c r="V18" s="1508"/>
      <c r="W18" s="1509"/>
      <c r="X18" s="1502"/>
      <c r="Y18" s="3477"/>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77"/>
      <c r="Q19" s="1507" t="str">
        <f>B19</f>
        <v>交通便捷度</v>
      </c>
      <c r="R19" s="1508" t="s">
        <v>8</v>
      </c>
      <c r="S19" s="1509">
        <f>F19</f>
        <v>100</v>
      </c>
      <c r="T19" s="1508" t="s">
        <v>8</v>
      </c>
      <c r="U19" s="1509">
        <f>H19</f>
        <v>100</v>
      </c>
      <c r="V19" s="1508" t="s">
        <v>8</v>
      </c>
      <c r="W19" s="1509">
        <f>J19</f>
        <v>100</v>
      </c>
      <c r="X19" s="1502"/>
      <c r="Y19" s="347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77"/>
      <c r="Q21" s="1507" t="str">
        <f t="shared" ref="Q21:Q35" si="8">B21</f>
        <v>区域土地利用方向</v>
      </c>
      <c r="R21" s="1508" t="s">
        <v>8</v>
      </c>
      <c r="S21" s="1509">
        <f>F21</f>
        <v>100</v>
      </c>
      <c r="T21" s="1508" t="s">
        <v>8</v>
      </c>
      <c r="U21" s="1509">
        <f>H21</f>
        <v>100</v>
      </c>
      <c r="V21" s="1508" t="s">
        <v>8</v>
      </c>
      <c r="W21" s="1509">
        <f>J21</f>
        <v>100</v>
      </c>
      <c r="X21" s="1502"/>
      <c r="Y21" s="347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77"/>
      <c r="Q22" s="1507"/>
      <c r="R22" s="1508"/>
      <c r="S22" s="1509"/>
      <c r="T22" s="1508"/>
      <c r="U22" s="1509"/>
      <c r="V22" s="1508"/>
      <c r="W22" s="1509"/>
      <c r="X22" s="1502"/>
      <c r="Y22" s="3477"/>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77"/>
      <c r="Q23" s="1507" t="str">
        <f t="shared" si="8"/>
        <v>环境状况</v>
      </c>
      <c r="R23" s="1508" t="s">
        <v>8</v>
      </c>
      <c r="S23" s="1509">
        <f>F23</f>
        <v>100</v>
      </c>
      <c r="T23" s="1508" t="s">
        <v>8</v>
      </c>
      <c r="U23" s="1509">
        <f>H23</f>
        <v>100</v>
      </c>
      <c r="V23" s="1508" t="s">
        <v>8</v>
      </c>
      <c r="W23" s="1509">
        <f>J23</f>
        <v>100</v>
      </c>
      <c r="X23" s="1502"/>
      <c r="Y23" s="347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77"/>
      <c r="Q24" s="1507"/>
      <c r="R24" s="1508"/>
      <c r="S24" s="1509"/>
      <c r="T24" s="1508"/>
      <c r="U24" s="1509"/>
      <c r="V24" s="1508"/>
      <c r="W24" s="1509"/>
      <c r="X24" s="1502"/>
      <c r="Y24" s="3477"/>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77"/>
      <c r="Q25" s="1134" t="str">
        <f t="shared" si="8"/>
        <v>公共配套设施</v>
      </c>
      <c r="R25" s="1503" t="s">
        <v>8</v>
      </c>
      <c r="S25" s="1504">
        <f>F25</f>
        <v>100</v>
      </c>
      <c r="T25" s="1503" t="s">
        <v>8</v>
      </c>
      <c r="U25" s="1504">
        <f>H25</f>
        <v>100</v>
      </c>
      <c r="V25" s="1503" t="s">
        <v>8</v>
      </c>
      <c r="W25" s="1504">
        <f>J25</f>
        <v>100</v>
      </c>
      <c r="X25" s="1505"/>
      <c r="Y25" s="3477"/>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77"/>
      <c r="Q26" s="1134"/>
      <c r="R26" s="1503"/>
      <c r="S26" s="1504"/>
      <c r="T26" s="1503"/>
      <c r="U26" s="1504"/>
      <c r="V26" s="1503"/>
      <c r="W26" s="1504"/>
      <c r="X26" s="1505"/>
      <c r="Y26" s="3477"/>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77"/>
      <c r="Q27" s="2428" t="str">
        <f t="shared" ref="Q27" si="9">B27</f>
        <v>基础设施水平</v>
      </c>
      <c r="R27" s="1503" t="s">
        <v>8</v>
      </c>
      <c r="S27" s="1504">
        <f>F27</f>
        <v>100</v>
      </c>
      <c r="T27" s="1503" t="s">
        <v>8</v>
      </c>
      <c r="U27" s="1504">
        <f>H27</f>
        <v>100</v>
      </c>
      <c r="V27" s="1503" t="s">
        <v>8</v>
      </c>
      <c r="W27" s="1504">
        <f>J27</f>
        <v>100</v>
      </c>
      <c r="X27" s="1505"/>
      <c r="Y27" s="3477"/>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77"/>
      <c r="Q28" s="2428"/>
      <c r="R28" s="1503"/>
      <c r="S28" s="1504"/>
      <c r="T28" s="1503"/>
      <c r="U28" s="1504"/>
      <c r="V28" s="1503"/>
      <c r="W28" s="1504"/>
      <c r="X28" s="1505"/>
      <c r="Y28" s="3477"/>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7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7"/>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77"/>
      <c r="Q30" s="1507" t="str">
        <f t="shared" si="8"/>
        <v>毗邻道路的类型与等级</v>
      </c>
      <c r="R30" s="1508" t="s">
        <v>8</v>
      </c>
      <c r="S30" s="1509">
        <f t="shared" si="10"/>
        <v>100</v>
      </c>
      <c r="T30" s="1508" t="s">
        <v>8</v>
      </c>
      <c r="U30" s="1509">
        <f t="shared" si="11"/>
        <v>100</v>
      </c>
      <c r="V30" s="1508" t="s">
        <v>8</v>
      </c>
      <c r="W30" s="1509">
        <f t="shared" si="12"/>
        <v>100</v>
      </c>
      <c r="X30" s="1502"/>
      <c r="Y30" s="347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77"/>
      <c r="Q31" s="1507"/>
      <c r="R31" s="1508"/>
      <c r="S31" s="1509"/>
      <c r="T31" s="1508"/>
      <c r="U31" s="1509"/>
      <c r="V31" s="1508"/>
      <c r="W31" s="1509"/>
      <c r="X31" s="1502"/>
      <c r="Y31" s="3477"/>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77"/>
      <c r="Q32" s="1507" t="str">
        <f t="shared" si="8"/>
        <v>土地级别</v>
      </c>
      <c r="R32" s="1508" t="s">
        <v>8</v>
      </c>
      <c r="S32" s="1509">
        <f t="shared" si="10"/>
        <v>100</v>
      </c>
      <c r="T32" s="1508" t="s">
        <v>8</v>
      </c>
      <c r="U32" s="1509">
        <f t="shared" si="11"/>
        <v>100</v>
      </c>
      <c r="V32" s="1508" t="s">
        <v>8</v>
      </c>
      <c r="W32" s="1509">
        <f t="shared" si="12"/>
        <v>100</v>
      </c>
      <c r="X32" s="1502"/>
      <c r="Y32" s="347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77"/>
      <c r="Q33" s="1507">
        <f t="shared" si="8"/>
        <v>111</v>
      </c>
      <c r="R33" s="1508" t="s">
        <v>8</v>
      </c>
      <c r="S33" s="1509">
        <f t="shared" si="10"/>
        <v>100</v>
      </c>
      <c r="T33" s="1508" t="s">
        <v>8</v>
      </c>
      <c r="U33" s="1509">
        <f t="shared" si="11"/>
        <v>100</v>
      </c>
      <c r="V33" s="1508" t="s">
        <v>8</v>
      </c>
      <c r="W33" s="1509">
        <f t="shared" si="12"/>
        <v>100</v>
      </c>
      <c r="X33" s="1502"/>
      <c r="Y33" s="347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78" t="s">
        <v>544</v>
      </c>
      <c r="Q34" s="1507">
        <f t="shared" si="8"/>
        <v>111</v>
      </c>
      <c r="R34" s="1508" t="s">
        <v>8</v>
      </c>
      <c r="S34" s="1509">
        <f t="shared" si="10"/>
        <v>100</v>
      </c>
      <c r="T34" s="1508" t="s">
        <v>8</v>
      </c>
      <c r="U34" s="1509">
        <f t="shared" si="11"/>
        <v>100</v>
      </c>
      <c r="V34" s="1508" t="s">
        <v>8</v>
      </c>
      <c r="W34" s="1509">
        <f t="shared" si="12"/>
        <v>100</v>
      </c>
      <c r="X34" s="1502"/>
      <c r="Y34" s="3479"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79"/>
      <c r="Q35" s="1507">
        <f t="shared" si="8"/>
        <v>111</v>
      </c>
      <c r="R35" s="1512" t="s">
        <v>8</v>
      </c>
      <c r="S35" s="1513">
        <f t="shared" si="10"/>
        <v>100</v>
      </c>
      <c r="T35" s="1512" t="s">
        <v>8</v>
      </c>
      <c r="U35" s="1513">
        <f t="shared" si="11"/>
        <v>100</v>
      </c>
      <c r="V35" s="1512" t="s">
        <v>8</v>
      </c>
      <c r="W35" s="1513">
        <f t="shared" si="12"/>
        <v>100</v>
      </c>
      <c r="X35" s="1514"/>
      <c r="Y35" s="3479"/>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79"/>
      <c r="Q36" s="1507" t="str">
        <f>B36</f>
        <v>宗地面积</v>
      </c>
      <c r="R36" s="1508" t="s">
        <v>8</v>
      </c>
      <c r="S36" s="1509" t="e">
        <f t="shared" si="10"/>
        <v>#N/A</v>
      </c>
      <c r="T36" s="1508" t="s">
        <v>8</v>
      </c>
      <c r="U36" s="1509" t="e">
        <f t="shared" si="11"/>
        <v>#N/A</v>
      </c>
      <c r="V36" s="1508" t="s">
        <v>8</v>
      </c>
      <c r="W36" s="1509" t="e">
        <f t="shared" si="12"/>
        <v>#N/A</v>
      </c>
      <c r="X36" s="1502"/>
      <c r="Y36" s="347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79"/>
      <c r="Q37" s="1507" t="str">
        <f t="shared" ref="Q37:Q42" si="14">B37</f>
        <v>宗地形状</v>
      </c>
      <c r="R37" s="1508" t="s">
        <v>8</v>
      </c>
      <c r="S37" s="1509">
        <f t="shared" si="10"/>
        <v>100</v>
      </c>
      <c r="T37" s="1508" t="s">
        <v>8</v>
      </c>
      <c r="U37" s="1509">
        <f t="shared" si="11"/>
        <v>100</v>
      </c>
      <c r="V37" s="1508" t="s">
        <v>8</v>
      </c>
      <c r="W37" s="1509">
        <f t="shared" si="12"/>
        <v>100</v>
      </c>
      <c r="X37" s="1502"/>
      <c r="Y37" s="3479"/>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79"/>
      <c r="Q38" s="1507" t="str">
        <f t="shared" si="14"/>
        <v>宗地开发程度</v>
      </c>
      <c r="R38" s="1503" t="s">
        <v>8</v>
      </c>
      <c r="S38" s="1504">
        <f t="shared" si="10"/>
        <v>100</v>
      </c>
      <c r="T38" s="1503" t="s">
        <v>8</v>
      </c>
      <c r="U38" s="1504">
        <f t="shared" si="11"/>
        <v>100</v>
      </c>
      <c r="V38" s="1503" t="s">
        <v>8</v>
      </c>
      <c r="W38" s="1504">
        <f t="shared" si="12"/>
        <v>100</v>
      </c>
      <c r="X38" s="1505"/>
      <c r="Y38" s="347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9" t="s">
        <v>595</v>
      </c>
      <c r="Q39" s="1507" t="str">
        <f t="shared" si="14"/>
        <v>工程地质条件</v>
      </c>
      <c r="R39" s="1508" t="s">
        <v>8</v>
      </c>
      <c r="S39" s="1509">
        <f t="shared" si="10"/>
        <v>100</v>
      </c>
      <c r="T39" s="1508" t="s">
        <v>8</v>
      </c>
      <c r="U39" s="1509">
        <f t="shared" si="11"/>
        <v>100</v>
      </c>
      <c r="V39" s="1508" t="s">
        <v>8</v>
      </c>
      <c r="W39" s="1509">
        <f t="shared" si="12"/>
        <v>100</v>
      </c>
      <c r="X39" s="1502"/>
      <c r="Y39" s="347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79"/>
      <c r="Q40" s="1507">
        <f t="shared" si="14"/>
        <v>111</v>
      </c>
      <c r="R40" s="1508" t="s">
        <v>8</v>
      </c>
      <c r="S40" s="1509">
        <f t="shared" si="10"/>
        <v>100</v>
      </c>
      <c r="T40" s="1508" t="s">
        <v>8</v>
      </c>
      <c r="U40" s="1509">
        <f t="shared" si="11"/>
        <v>100</v>
      </c>
      <c r="V40" s="1508" t="s">
        <v>8</v>
      </c>
      <c r="W40" s="1509">
        <f t="shared" si="12"/>
        <v>100</v>
      </c>
      <c r="X40" s="1502"/>
      <c r="Y40" s="347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79"/>
      <c r="Q41" s="1507">
        <f t="shared" si="14"/>
        <v>111</v>
      </c>
      <c r="R41" s="1508" t="s">
        <v>8</v>
      </c>
      <c r="S41" s="1509">
        <f t="shared" si="10"/>
        <v>100</v>
      </c>
      <c r="T41" s="1508" t="s">
        <v>8</v>
      </c>
      <c r="U41" s="1509">
        <f t="shared" si="11"/>
        <v>100</v>
      </c>
      <c r="V41" s="1508" t="s">
        <v>8</v>
      </c>
      <c r="W41" s="1509">
        <f t="shared" si="12"/>
        <v>100</v>
      </c>
      <c r="X41" s="1502"/>
      <c r="Y41" s="3479"/>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79"/>
      <c r="Q42" s="1507">
        <f t="shared" si="14"/>
        <v>111</v>
      </c>
      <c r="R42" s="1512" t="s">
        <v>8</v>
      </c>
      <c r="S42" s="1513">
        <f t="shared" si="10"/>
        <v>100</v>
      </c>
      <c r="T42" s="1512" t="s">
        <v>8</v>
      </c>
      <c r="U42" s="1513">
        <f t="shared" si="11"/>
        <v>100</v>
      </c>
      <c r="V42" s="1512" t="s">
        <v>8</v>
      </c>
      <c r="W42" s="1513">
        <f t="shared" si="12"/>
        <v>100</v>
      </c>
      <c r="X42" s="1514"/>
      <c r="Y42" s="3479"/>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474" t="str">
        <f>A43</f>
        <v>成交单价</v>
      </c>
      <c r="Q43" s="3474"/>
      <c r="R43" s="3488">
        <f>E43</f>
        <v>0</v>
      </c>
      <c r="S43" s="3488"/>
      <c r="T43" s="3488">
        <f>G43</f>
        <v>0</v>
      </c>
      <c r="U43" s="3488"/>
      <c r="V43" s="3488">
        <f>I43</f>
        <v>0</v>
      </c>
      <c r="W43" s="3488"/>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74" t="str">
        <f>A44</f>
        <v>比较价格（元/平方米）</v>
      </c>
      <c r="Q44" s="3474"/>
      <c r="R44" s="3498" t="e">
        <f>ROUND(PRODUCT(R43,AA9:AA42),0)</f>
        <v>#DIV/0!</v>
      </c>
      <c r="S44" s="3498"/>
      <c r="T44" s="3498" t="e">
        <f>ROUND(PRODUCT(T43,AB9:AB42),0)</f>
        <v>#DIV/0!</v>
      </c>
      <c r="U44" s="3498"/>
      <c r="V44" s="3498" t="e">
        <f>ROUND(PRODUCT(V43,AC9:AC42),0)</f>
        <v>#DIV/0!</v>
      </c>
      <c r="W44" s="3498"/>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495" t="str">
        <f>A45</f>
        <v>估价对象XX用房的比较价格（楼面单价，元/平方米）</v>
      </c>
      <c r="Q45" s="3496"/>
      <c r="R45" s="3504" t="e">
        <f>ROUND(IF(D44="简单平均",AVERAGE(R44:W44),R44*F44+T44*H44+V44*J44),0)</f>
        <v>#DIV/0!</v>
      </c>
      <c r="S45" s="3504"/>
      <c r="T45" s="3504"/>
      <c r="U45" s="3504"/>
      <c r="V45" s="3504"/>
      <c r="W45" s="3504"/>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499" t="s">
        <v>2272</v>
      </c>
      <c r="H52" s="3500"/>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9000</v>
      </c>
      <c r="F53" s="1864" t="e">
        <f t="shared" ref="F53:F62" si="15">ROUND(B53*E53/10000,0)</f>
        <v>#DIV/0!</v>
      </c>
      <c r="G53" s="3501"/>
      <c r="H53" s="3502"/>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0.6</v>
      </c>
      <c r="D54" s="2109">
        <v>0.25</v>
      </c>
      <c r="E54" s="631"/>
      <c r="F54" s="1864" t="e">
        <f t="shared" si="15"/>
        <v>#DIV/0!</v>
      </c>
      <c r="G54" s="3503" t="s">
        <v>2273</v>
      </c>
      <c r="H54" s="1868" t="str">
        <f>项目基本情况!B43</f>
        <v>八级</v>
      </c>
      <c r="I54" s="1867">
        <f>SUMIF(修正!$A$45:$A$56,H54,修正!B45:B56)</f>
        <v>0.6</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0.3</v>
      </c>
      <c r="D55" s="2109">
        <v>0.25</v>
      </c>
      <c r="E55" s="631"/>
      <c r="F55" s="1864" t="e">
        <f t="shared" si="15"/>
        <v>#DIV/0!</v>
      </c>
      <c r="G55" s="3503"/>
      <c r="H55" s="1869" t="str">
        <f>项目基本情况!B43</f>
        <v>八级</v>
      </c>
      <c r="I55" s="1867">
        <f>SUMIF(修正!$A$45:$A$56,H55,修正!C45:C56)</f>
        <v>0.3</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0.2</v>
      </c>
      <c r="D56" s="2109">
        <v>0.25</v>
      </c>
      <c r="E56" s="631"/>
      <c r="F56" s="1864" t="e">
        <f t="shared" si="15"/>
        <v>#DIV/0!</v>
      </c>
      <c r="G56" s="3503"/>
      <c r="H56" s="1869" t="str">
        <f>项目基本情况!B43</f>
        <v>八级</v>
      </c>
      <c r="I56" s="1867">
        <f>SUMIF(修正!$A$45:$A$56,H56,修正!D45:D56)</f>
        <v>0.2</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0.2</v>
      </c>
      <c r="D57" s="2109">
        <v>0.25</v>
      </c>
      <c r="E57" s="631"/>
      <c r="F57" s="1864" t="e">
        <f t="shared" si="15"/>
        <v>#DIV/0!</v>
      </c>
      <c r="G57" s="3503"/>
      <c r="H57" s="1869" t="str">
        <f>项目基本情况!B43</f>
        <v>八级</v>
      </c>
      <c r="I57" s="1867">
        <f>SUMIF(修正!$A$45:$A$56,H57,修正!E45:E56)</f>
        <v>0.2</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八级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八级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0.15</v>
      </c>
      <c r="D61" s="2109">
        <v>0.25</v>
      </c>
      <c r="E61" s="633">
        <f>'数据-汇总表'!E14</f>
        <v>0</v>
      </c>
      <c r="F61" s="1864" t="e">
        <f t="shared" si="15"/>
        <v>#DIV/0!</v>
      </c>
      <c r="G61" s="1870" t="s">
        <v>2273</v>
      </c>
      <c r="H61" s="1869" t="str">
        <f>项目基本情况!B43</f>
        <v>八级</v>
      </c>
      <c r="I61" s="1867">
        <f>SUMIF(修正!$A$45:$A$56,H61,修正!H45:H56)</f>
        <v>0.15</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八级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3214.29</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"北京市平均增长率"&amp;TEXT('基准地价-商业'!P24,"0.00%")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7" zoomScale="85" zoomScaleNormal="60" zoomScaleSheetLayoutView="85" workbookViewId="0">
      <selection activeCell="C52" sqref="C52"/>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 ca="1">SUM(D29:D30,D33:D39)</f>
        <v>6469.335</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3441</v>
      </c>
      <c r="C2" s="1356" t="s">
        <v>912</v>
      </c>
      <c r="D2" s="1357" t="s">
        <v>913</v>
      </c>
      <c r="E2" s="1358" t="s">
        <v>3004</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15339</v>
      </c>
      <c r="U2" s="2643">
        <f>9000/10</f>
        <v>900</v>
      </c>
      <c r="V2" s="2654">
        <f ca="1">ROUND(T2*U2/10000,0)</f>
        <v>1381</v>
      </c>
      <c r="W2" s="2070"/>
      <c r="X2" s="2070"/>
      <c r="Y2" s="2070"/>
      <c r="Z2" s="2070"/>
      <c r="AA2" s="2070"/>
      <c r="AB2" s="2070"/>
      <c r="AC2" s="2071"/>
    </row>
    <row r="3" spans="1:39" ht="15.75">
      <c r="A3" s="1360" t="s">
        <v>1678</v>
      </c>
      <c r="B3" s="1025">
        <f ca="1">ROUND(B2*10000/D1,0)</f>
        <v>5319</v>
      </c>
      <c r="C3" s="1356" t="s">
        <v>918</v>
      </c>
      <c r="D3" s="1357" t="s">
        <v>919</v>
      </c>
      <c r="E3" s="1361" t="s">
        <v>3015</v>
      </c>
      <c r="F3" s="1362" t="s">
        <v>3017</v>
      </c>
      <c r="G3" s="1026">
        <f>IF(F3="宗地容积率",'数据-汇总表'!I4,IF(F3="估价对象容积率",'数据-汇总表'!I6,'数据-汇总表'!I7))</f>
        <v>2.8</v>
      </c>
      <c r="H3" s="1363" t="s">
        <v>920</v>
      </c>
      <c r="I3" s="1027">
        <v>10</v>
      </c>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10110</v>
      </c>
      <c r="U3" s="2643">
        <f t="shared" ref="U3:U11" si="1">9000/10</f>
        <v>900</v>
      </c>
      <c r="V3" s="2654">
        <f t="shared" ref="V3:V16" ca="1" si="2">ROUND(T3*U3/10000,0)</f>
        <v>910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7956</v>
      </c>
      <c r="U4" s="2643">
        <f t="shared" si="1"/>
        <v>900</v>
      </c>
      <c r="V4" s="2654">
        <f t="shared" ca="1" si="2"/>
        <v>716</v>
      </c>
      <c r="W4" s="2070"/>
      <c r="X4" s="2070"/>
      <c r="Y4" s="2070"/>
      <c r="Z4" s="2070"/>
      <c r="AA4" s="2070"/>
      <c r="AB4" s="2070"/>
      <c r="AC4" s="2071"/>
    </row>
    <row r="5" spans="1:39" s="1370" customFormat="1" ht="15.75" thickBot="1">
      <c r="A5" s="1567" t="s">
        <v>1814</v>
      </c>
      <c r="B5" s="1364" t="s">
        <v>922</v>
      </c>
      <c r="C5" s="1028">
        <f>ROUND(IF(E2="商业",C6*C7+C16,(IF(E2="住宅",C6*C12+C16,C6+C16))),0)</f>
        <v>5730</v>
      </c>
      <c r="D5" s="2793">
        <f>ROUND(C6+C16,0)</f>
        <v>5730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5944</v>
      </c>
      <c r="U5" s="2643">
        <f t="shared" si="1"/>
        <v>900</v>
      </c>
      <c r="V5" s="2654">
        <f t="shared" ca="1" si="2"/>
        <v>535</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SUMIF(L1:L12,'基准地价-商业'!G2,M1:M12)</f>
        <v>5730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4470</v>
      </c>
      <c r="U6" s="2643">
        <f t="shared" si="1"/>
        <v>900</v>
      </c>
      <c r="V6" s="2654">
        <f t="shared" ca="1" si="2"/>
        <v>402</v>
      </c>
      <c r="W6" s="2070"/>
      <c r="X6" s="2070"/>
      <c r="Y6" s="2070"/>
      <c r="Z6" s="2070"/>
      <c r="AA6" s="2070"/>
      <c r="AB6" s="2070"/>
      <c r="AC6" s="2072"/>
      <c r="AD6" s="1368"/>
      <c r="AE6" s="1368"/>
      <c r="AF6" s="1368"/>
      <c r="AG6" s="1368"/>
      <c r="AH6" s="1368"/>
      <c r="AI6" s="1368"/>
      <c r="AJ6" s="1369"/>
    </row>
    <row r="7" spans="1:39" ht="24">
      <c r="A7" s="3512" t="str">
        <f>IF(E2="商业",IF(C8="不临58条商业街","",2),"")</f>
        <v/>
      </c>
      <c r="B7" s="1376" t="s">
        <v>923</v>
      </c>
      <c r="C7" s="1030">
        <f>IF(C8="不临58条商业街",1,ROUND(1+(1.6*E8+1.2*E9+0.8*E10+0.4*E11)*C9,4))</f>
        <v>1</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3574</v>
      </c>
      <c r="U7" s="2643">
        <f t="shared" si="1"/>
        <v>900</v>
      </c>
      <c r="V7" s="2654">
        <f t="shared" ca="1" si="2"/>
        <v>322</v>
      </c>
      <c r="W7" s="2652" t="s">
        <v>2745</v>
      </c>
      <c r="X7" s="2644" t="str">
        <f>G2</f>
        <v>八级</v>
      </c>
      <c r="Y7" s="2644" t="s">
        <v>2746</v>
      </c>
      <c r="Z7" s="2645">
        <f>G3</f>
        <v>2.8</v>
      </c>
      <c r="AA7" s="2073"/>
      <c r="AB7" s="2073"/>
      <c r="AC7" s="2074"/>
      <c r="AD7" s="2646"/>
      <c r="AE7" s="2646"/>
      <c r="AF7" s="2646"/>
      <c r="AG7" s="2646"/>
      <c r="AH7" s="2646"/>
      <c r="AI7" s="2646"/>
      <c r="AJ7" s="2647"/>
    </row>
    <row r="8" spans="1:39" ht="25.5">
      <c r="A8" s="3513"/>
      <c r="B8" s="1363" t="s">
        <v>925</v>
      </c>
      <c r="C8" s="1469" t="s">
        <v>3013</v>
      </c>
      <c r="D8" s="1032" t="s">
        <v>926</v>
      </c>
      <c r="E8" s="1033" t="e">
        <f>ROUND(C11/E7,4)</f>
        <v>#DIV/0!</v>
      </c>
      <c r="F8" s="1381" t="s">
        <v>927</v>
      </c>
      <c r="G8" s="1382"/>
      <c r="H8" s="1382"/>
      <c r="I8" s="1382"/>
      <c r="J8" s="1383"/>
      <c r="K8" s="3235"/>
      <c r="L8" s="1799" t="s">
        <v>2234</v>
      </c>
      <c r="M8" s="1800">
        <f>SUMPRODUCT((区片价!B206:B244=I2)*(区片价!C3:F3=E2)*(区片价!C206:F244))</f>
        <v>5730</v>
      </c>
      <c r="N8" s="1801">
        <f>SUMPRODUCT((因素修正幅度!B206:B244=I2)*(因素修正幅度!C3:F3=E2)*(因素修正幅度!C206:F244))</f>
        <v>0.15</v>
      </c>
      <c r="O8" s="3235"/>
      <c r="P8" s="2070"/>
      <c r="Q8" s="2070"/>
      <c r="R8" s="2654">
        <v>7</v>
      </c>
      <c r="S8" s="2643">
        <f>ROUND((-0.214*7^2-21.991*7+4665)*10^-4,4)</f>
        <v>0.4501</v>
      </c>
      <c r="T8" s="2654">
        <f t="shared" ca="1" si="0"/>
        <v>3555</v>
      </c>
      <c r="U8" s="2643">
        <f t="shared" si="1"/>
        <v>900</v>
      </c>
      <c r="V8" s="2654">
        <f t="shared" ca="1" si="2"/>
        <v>320</v>
      </c>
      <c r="W8" s="3523" t="s">
        <v>2763</v>
      </c>
      <c r="X8" s="352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13"/>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f>ROUND((-0.214*8^2-21.991*8+4665)*10^-4,4)</f>
        <v>0.44750000000000001</v>
      </c>
      <c r="T9" s="2654">
        <f t="shared" ca="1" si="0"/>
        <v>3535</v>
      </c>
      <c r="U9" s="2643">
        <f t="shared" si="1"/>
        <v>900</v>
      </c>
      <c r="V9" s="2654">
        <f t="shared" ca="1" si="2"/>
        <v>318</v>
      </c>
      <c r="W9" s="3522" t="s">
        <v>2759</v>
      </c>
      <c r="X9" s="2648" t="s">
        <v>2760</v>
      </c>
      <c r="Y9" s="2786"/>
      <c r="Z9" s="2649">
        <f t="shared" ref="Z9:AJ9" si="3">$Y$9</f>
        <v>0</v>
      </c>
      <c r="AA9" s="2649">
        <f t="shared" si="3"/>
        <v>0</v>
      </c>
      <c r="AB9" s="2649">
        <f t="shared" si="3"/>
        <v>0</v>
      </c>
      <c r="AC9" s="2649">
        <f t="shared" si="3"/>
        <v>0</v>
      </c>
      <c r="AD9" s="2649">
        <f t="shared" si="3"/>
        <v>0</v>
      </c>
      <c r="AE9" s="2649">
        <f t="shared" si="3"/>
        <v>0</v>
      </c>
      <c r="AF9" s="2649">
        <f t="shared" si="3"/>
        <v>0</v>
      </c>
      <c r="AG9" s="2649">
        <f t="shared" si="3"/>
        <v>0</v>
      </c>
      <c r="AH9" s="2649">
        <f t="shared" si="3"/>
        <v>0</v>
      </c>
      <c r="AI9" s="2649">
        <f t="shared" si="3"/>
        <v>0</v>
      </c>
      <c r="AJ9" s="2649">
        <f t="shared" si="3"/>
        <v>0</v>
      </c>
    </row>
    <row r="10" spans="1:39" ht="15">
      <c r="A10" s="3513"/>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f>ROUND((-0.214*9^2-21.991*9+4665)*10^-4,4)</f>
        <v>0.44500000000000001</v>
      </c>
      <c r="T10" s="2654">
        <f t="shared" ca="1" si="0"/>
        <v>3515</v>
      </c>
      <c r="U10" s="2643">
        <f t="shared" si="1"/>
        <v>900</v>
      </c>
      <c r="V10" s="2654">
        <f t="shared" ca="1" si="2"/>
        <v>316</v>
      </c>
      <c r="W10" s="352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13"/>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f>ROUND((-0.214*10^2-21.991*10+4665)*10^-4,4)</f>
        <v>0.44240000000000002</v>
      </c>
      <c r="T11" s="2654">
        <f t="shared" ca="1" si="0"/>
        <v>3494</v>
      </c>
      <c r="U11" s="2643">
        <f t="shared" si="1"/>
        <v>900</v>
      </c>
      <c r="V11" s="2654">
        <f t="shared" ca="1" si="2"/>
        <v>314</v>
      </c>
      <c r="W11" s="3522" t="s">
        <v>2761</v>
      </c>
      <c r="X11" s="1035" t="s">
        <v>2746</v>
      </c>
      <c r="Y11" s="1582">
        <f>$G$3</f>
        <v>2.8</v>
      </c>
      <c r="Z11" s="1582">
        <f t="shared" ref="Z11:AJ11" si="4">$G$3</f>
        <v>2.8</v>
      </c>
      <c r="AA11" s="1582">
        <f t="shared" si="4"/>
        <v>2.8</v>
      </c>
      <c r="AB11" s="1582">
        <f t="shared" si="4"/>
        <v>2.8</v>
      </c>
      <c r="AC11" s="1582">
        <f t="shared" si="4"/>
        <v>2.8</v>
      </c>
      <c r="AD11" s="1582">
        <f t="shared" si="4"/>
        <v>2.8</v>
      </c>
      <c r="AE11" s="1582">
        <f t="shared" si="4"/>
        <v>2.8</v>
      </c>
      <c r="AF11" s="1582">
        <f t="shared" si="4"/>
        <v>2.8</v>
      </c>
      <c r="AG11" s="1582">
        <f t="shared" si="4"/>
        <v>2.8</v>
      </c>
      <c r="AH11" s="1582">
        <f t="shared" si="4"/>
        <v>2.8</v>
      </c>
      <c r="AI11" s="1582">
        <f t="shared" si="4"/>
        <v>2.8</v>
      </c>
      <c r="AJ11" s="1582">
        <f t="shared" si="4"/>
        <v>2.8</v>
      </c>
    </row>
    <row r="12" spans="1:39" ht="25.5" thickBot="1">
      <c r="A12" s="3512"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2"/>
        <v>0</v>
      </c>
      <c r="W12" s="3522"/>
      <c r="X12" s="2651" t="s">
        <v>2762</v>
      </c>
      <c r="Y12" s="2649">
        <f t="shared" ref="Y12:AJ12" si="5">Y9</f>
        <v>0</v>
      </c>
      <c r="Z12" s="2649">
        <f t="shared" si="5"/>
        <v>0</v>
      </c>
      <c r="AA12" s="2649">
        <f t="shared" si="5"/>
        <v>0</v>
      </c>
      <c r="AB12" s="2649">
        <f t="shared" si="5"/>
        <v>0</v>
      </c>
      <c r="AC12" s="2649">
        <f t="shared" si="5"/>
        <v>0</v>
      </c>
      <c r="AD12" s="2649">
        <f t="shared" si="5"/>
        <v>0</v>
      </c>
      <c r="AE12" s="2649">
        <f t="shared" si="5"/>
        <v>0</v>
      </c>
      <c r="AF12" s="2649">
        <f t="shared" si="5"/>
        <v>0</v>
      </c>
      <c r="AG12" s="2649">
        <f t="shared" si="5"/>
        <v>0</v>
      </c>
      <c r="AH12" s="2649">
        <f t="shared" si="5"/>
        <v>0</v>
      </c>
      <c r="AI12" s="2649">
        <f t="shared" si="5"/>
        <v>0</v>
      </c>
      <c r="AJ12" s="2649">
        <f t="shared" si="5"/>
        <v>0</v>
      </c>
    </row>
    <row r="13" spans="1:39" ht="24">
      <c r="A13" s="351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2"/>
        <v>0</v>
      </c>
      <c r="W13" s="3522"/>
      <c r="X13" s="2651"/>
      <c r="Y13" s="2650">
        <f>(-0.163*(Y12^2)-0.59*Y12+7617)*(10^(-4))/Y11</f>
        <v>0.27203571428571433</v>
      </c>
      <c r="Z13" s="2650">
        <f t="shared" ref="Z13:AJ13" si="6">(-0.163*(Z12^2)-0.59*Z12+7617)*(10^(-4))/Z11</f>
        <v>0.27203571428571433</v>
      </c>
      <c r="AA13" s="2650">
        <f t="shared" si="6"/>
        <v>0.27203571428571433</v>
      </c>
      <c r="AB13" s="2650">
        <f t="shared" si="6"/>
        <v>0.27203571428571433</v>
      </c>
      <c r="AC13" s="2650">
        <f t="shared" si="6"/>
        <v>0.27203571428571433</v>
      </c>
      <c r="AD13" s="2650">
        <f t="shared" si="6"/>
        <v>0.27203571428571433</v>
      </c>
      <c r="AE13" s="2650">
        <f t="shared" si="6"/>
        <v>0.27203571428571433</v>
      </c>
      <c r="AF13" s="2650">
        <f t="shared" si="6"/>
        <v>0.27203571428571433</v>
      </c>
      <c r="AG13" s="2650">
        <f t="shared" si="6"/>
        <v>0.27203571428571433</v>
      </c>
      <c r="AH13" s="2650">
        <f t="shared" si="6"/>
        <v>0.27203571428571433</v>
      </c>
      <c r="AI13" s="2650">
        <f t="shared" si="6"/>
        <v>0.27203571428571433</v>
      </c>
      <c r="AJ13" s="2650">
        <f t="shared" si="6"/>
        <v>0.27203571428571433</v>
      </c>
    </row>
    <row r="14" spans="1:39" ht="12.75" customHeight="1">
      <c r="A14" s="3514"/>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2"/>
        <v>0</v>
      </c>
      <c r="W14" s="2070"/>
      <c r="X14" s="2070"/>
      <c r="Y14" s="2070"/>
      <c r="Z14" s="2070"/>
      <c r="AA14" s="2070"/>
      <c r="AB14" s="2070"/>
      <c r="AC14" s="2071"/>
    </row>
    <row r="15" spans="1:39" ht="13.5" customHeight="1" thickBot="1">
      <c r="A15" s="351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2"/>
        <v>0</v>
      </c>
      <c r="W15" s="2070"/>
      <c r="X15" s="2070"/>
      <c r="Y15" s="2070"/>
      <c r="Z15" s="2070"/>
      <c r="AA15" s="2070"/>
      <c r="AB15" s="2070"/>
      <c r="AC15" s="2071"/>
    </row>
    <row r="16" spans="1:39" ht="24.6" customHeight="1">
      <c r="A16" s="3512" t="s">
        <v>1829</v>
      </c>
      <c r="B16" s="1376" t="s">
        <v>941</v>
      </c>
      <c r="C16" s="1039">
        <f>ROUND(IF(F17="与级别开发程度一致",0,(G17-E17)/C17),0)</f>
        <v>0</v>
      </c>
      <c r="D16" s="3530" t="s">
        <v>945</v>
      </c>
      <c r="E16" s="3531"/>
      <c r="F16" s="3530" t="s">
        <v>942</v>
      </c>
      <c r="G16" s="3531"/>
      <c r="H16" s="1408"/>
      <c r="I16" s="1408"/>
      <c r="J16" s="1408"/>
      <c r="K16" s="1408"/>
      <c r="L16" s="1408"/>
      <c r="M16" s="1408"/>
      <c r="N16" s="1408"/>
      <c r="O16" s="2853"/>
      <c r="P16" s="2070"/>
      <c r="Q16" s="2073"/>
      <c r="R16" s="2654">
        <v>15</v>
      </c>
      <c r="S16" s="2643">
        <f>AVERAGE(S2:S13)</f>
        <v>0.77849999999999997</v>
      </c>
      <c r="T16" s="2654">
        <f t="shared" ca="1" si="0"/>
        <v>6149</v>
      </c>
      <c r="U16" s="2643"/>
      <c r="V16" s="2654">
        <f t="shared" ca="1" si="2"/>
        <v>0</v>
      </c>
      <c r="W16" s="2073"/>
      <c r="X16" s="2073"/>
      <c r="Y16" s="2073"/>
      <c r="Z16" s="2073"/>
      <c r="AA16" s="2073"/>
      <c r="AB16" s="2073"/>
      <c r="AC16" s="2074"/>
    </row>
    <row r="17" spans="1:40" ht="24.75" thickBot="1">
      <c r="A17" s="3516"/>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3011</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5.3999999999999999E-2</v>
      </c>
      <c r="H20" s="2500" t="s">
        <v>965</v>
      </c>
      <c r="I20" s="2496">
        <f>SUMIF('数据-取费表'!C6:C15,E2,'数据-取费表'!F6:F15)/COUNTIF('数据-取费表'!C6:C15,E2)</f>
        <v>40</v>
      </c>
      <c r="J20" s="2502">
        <f>IF(E2="住宅",70,IF(E2="商业",40,50))</f>
        <v>40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3012</v>
      </c>
      <c r="C21" s="1141">
        <f>IF(B21="容积率修正",IF(G3&lt;=10,D22,J22),C23)</f>
        <v>0.8417</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0.8417</v>
      </c>
      <c r="E22" s="1026">
        <f>ROUNDDOWN(G3,1)</f>
        <v>2.8</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1026">
        <f>ROUNDUP(G3,1)</f>
        <v>2.8</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0.44240000000000002</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3441</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215</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6648</v>
      </c>
      <c r="D29" s="3284">
        <f ca="1">C29*S16</f>
        <v>5175.4679999999998</v>
      </c>
      <c r="E29" s="1763">
        <f ca="1">ROUND(C29*D29/10000,0)</f>
        <v>3441</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1662</v>
      </c>
      <c r="D30" s="3284">
        <f ca="1">C30*S16</f>
        <v>1293.867</v>
      </c>
      <c r="E30" s="1763">
        <f ca="1">ROUND(C30*D30/10000,0)</f>
        <v>215</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9"/>
      <c r="B33" s="1464" t="s">
        <v>990</v>
      </c>
      <c r="C33" s="1046">
        <f ca="1">ROUND(D5*C19*C20*C24*F33,0)</f>
        <v>4739</v>
      </c>
      <c r="D33" s="1477"/>
      <c r="E33" s="1035">
        <f ca="1">ROUND(C33*D33/10000,0)</f>
        <v>0</v>
      </c>
      <c r="F33" s="1035">
        <f>SUMIF(修正!A45:A56,G2,修正!B45:B56)</f>
        <v>0.6</v>
      </c>
      <c r="G33" s="1035">
        <f t="shared" ref="G33" ca="1" si="7">ROUND(IF(E2="工业",C33*$M$39,C33*$M$38),0)</f>
        <v>1185</v>
      </c>
      <c r="H33" s="1035">
        <f>D33</f>
        <v>0</v>
      </c>
      <c r="I33" s="1035">
        <f ca="1">ROUND(G33*H33/10000,0)</f>
        <v>0</v>
      </c>
      <c r="J33" s="351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0"/>
      <c r="B34" s="1394" t="s">
        <v>991</v>
      </c>
      <c r="C34" s="1046">
        <f ca="1">ROUND(D5*C19*C20*C24*F34,0)</f>
        <v>2370</v>
      </c>
      <c r="D34" s="1477"/>
      <c r="E34" s="1035">
        <f t="shared" ref="E34:E39" ca="1" si="8">ROUND(C34*D34/10000,0)</f>
        <v>0</v>
      </c>
      <c r="F34" s="1035">
        <f>SUMIF(修正!A45:A56,G2,修正!C45:C56)</f>
        <v>0.3</v>
      </c>
      <c r="G34" s="1035">
        <f ca="1">ROUND(IF(E2="工业",C34*$M$39,C34*$M$38),0)</f>
        <v>593</v>
      </c>
      <c r="H34" s="1035">
        <f t="shared" ref="H34:H39" si="9">D34</f>
        <v>0</v>
      </c>
      <c r="I34" s="1035">
        <f t="shared" ref="I34:I39" ca="1" si="10">ROUND(G34*H34/10000,0)</f>
        <v>0</v>
      </c>
      <c r="J34" s="352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0"/>
      <c r="B35" s="1394" t="s">
        <v>992</v>
      </c>
      <c r="C35" s="1046">
        <f ca="1">ROUND(D5*C19*C20*C24*F35,0)</f>
        <v>1580</v>
      </c>
      <c r="D35" s="1477"/>
      <c r="E35" s="1035">
        <f t="shared" ca="1" si="8"/>
        <v>0</v>
      </c>
      <c r="F35" s="1035">
        <f>SUMIF(修正!A45:A56,G2,修正!D45:D56)</f>
        <v>0.2</v>
      </c>
      <c r="G35" s="1035">
        <f ca="1">ROUND(IF(E2="工业",C35*$M$39,C35*$M$38),0)</f>
        <v>395</v>
      </c>
      <c r="H35" s="1035">
        <f t="shared" si="9"/>
        <v>0</v>
      </c>
      <c r="I35" s="1035">
        <f t="shared" ca="1" si="10"/>
        <v>0</v>
      </c>
      <c r="J35" s="352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1"/>
      <c r="B36" s="1394" t="s">
        <v>993</v>
      </c>
      <c r="C36" s="1046">
        <f ca="1">ROUND(D5*C19*C20*C24*F36,0)</f>
        <v>1580</v>
      </c>
      <c r="D36" s="1477"/>
      <c r="E36" s="1035">
        <f t="shared" ca="1" si="8"/>
        <v>0</v>
      </c>
      <c r="F36" s="1035">
        <f>SUMIF(修正!A45:A56,G2,修正!E45:E56)</f>
        <v>0.2</v>
      </c>
      <c r="G36" s="1035">
        <f ca="1">ROUND(IF(E2="工业",C36*$M$39,C36*$M$38),0)</f>
        <v>395</v>
      </c>
      <c r="H36" s="1035">
        <f t="shared" si="9"/>
        <v>0</v>
      </c>
      <c r="I36" s="1035">
        <f t="shared" ca="1" si="10"/>
        <v>0</v>
      </c>
      <c r="J36" s="352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1580</v>
      </c>
      <c r="D37" s="1477"/>
      <c r="E37" s="1035">
        <f t="shared" ca="1" si="8"/>
        <v>0</v>
      </c>
      <c r="F37" s="1046">
        <f>SUMIF(修正!A45:A56,G2,修正!F45:F56)</f>
        <v>0.2</v>
      </c>
      <c r="G37" s="1035">
        <f ca="1">ROUND(IF(E2="工业",C37*$M$39,C37*$M$38),0)</f>
        <v>395</v>
      </c>
      <c r="H37" s="1035">
        <f t="shared" si="9"/>
        <v>0</v>
      </c>
      <c r="I37" s="1035">
        <f t="shared" ca="1" si="10"/>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8"/>
        <v>0</v>
      </c>
      <c r="F38" s="1046">
        <f>SUMIF(修正!A45:A56,G2,修正!G45:G56)</f>
        <v>0.2</v>
      </c>
      <c r="G38" s="1035">
        <f ca="1">ROUND(IF(E2="工业",C38*$M$39,C38*$M$38),0)</f>
        <v>0</v>
      </c>
      <c r="H38" s="1035">
        <f t="shared" si="9"/>
        <v>0</v>
      </c>
      <c r="I38" s="1035">
        <f t="shared" ca="1" si="10"/>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8"/>
        <v>0</v>
      </c>
      <c r="F39" s="1048">
        <f>SUMIF(修正!A45:A56,G2,修正!H45:H56)</f>
        <v>0.15</v>
      </c>
      <c r="G39" s="1038">
        <f ca="1">ROUND(IF(E2="工业",C39*$M$39,C39*$M$38),0)</f>
        <v>0</v>
      </c>
      <c r="H39" s="1038">
        <f t="shared" si="9"/>
        <v>0</v>
      </c>
      <c r="I39" s="1038">
        <f t="shared" ca="1" si="10"/>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5.3999999999999999E-2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t="s">
        <v>3014</v>
      </c>
      <c r="D47" s="2272">
        <f t="shared" ref="D47:D55" si="11">SUMIF($J$46:$N$46,C47,J47:N47)</f>
        <v>0</v>
      </c>
      <c r="E47" s="2291">
        <f>ROUND(SUM(D47:D55),4)</f>
        <v>0</v>
      </c>
      <c r="F47" s="2292">
        <f>IF(E2="商业",SUMIF(L1:L12,G2,N1:N12),"——")</f>
        <v>0.15</v>
      </c>
      <c r="G47" s="2270">
        <v>2.4400000000000002E-2</v>
      </c>
      <c r="H47" s="2315">
        <f t="shared" ref="H47:H55" si="12">IFERROR(ROUNDDOWN(($F$47*I47/2),4),"——")</f>
        <v>2.47E-2</v>
      </c>
      <c r="I47" s="2290">
        <v>0.33</v>
      </c>
      <c r="J47" s="2293">
        <f t="shared" ref="J47:J55" si="13">K47+$G47</f>
        <v>4.8800000000000003E-2</v>
      </c>
      <c r="K47" s="2293">
        <f t="shared" ref="K47:K55" si="14">$L47+$G47</f>
        <v>2.4400000000000002E-2</v>
      </c>
      <c r="L47" s="2293">
        <v>0</v>
      </c>
      <c r="M47" s="2293">
        <f t="shared" ref="M47:N55" si="15">L47-$G47</f>
        <v>-2.4400000000000002E-2</v>
      </c>
      <c r="N47" s="2293">
        <f t="shared" si="15"/>
        <v>-4.8800000000000003E-2</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t="s">
        <v>3014</v>
      </c>
      <c r="D48" s="2272">
        <f t="shared" si="11"/>
        <v>0</v>
      </c>
      <c r="E48" s="2294"/>
      <c r="F48" s="2292"/>
      <c r="G48" s="2270">
        <v>1.8499999999999999E-2</v>
      </c>
      <c r="H48" s="2315">
        <f t="shared" si="12"/>
        <v>1.8700000000000001E-2</v>
      </c>
      <c r="I48" s="2290">
        <v>0.25</v>
      </c>
      <c r="J48" s="2293">
        <f t="shared" si="13"/>
        <v>3.6999999999999998E-2</v>
      </c>
      <c r="K48" s="2293">
        <f t="shared" si="14"/>
        <v>1.8499999999999999E-2</v>
      </c>
      <c r="L48" s="2293">
        <v>0</v>
      </c>
      <c r="M48" s="2293">
        <f t="shared" si="15"/>
        <v>-1.8499999999999999E-2</v>
      </c>
      <c r="N48" s="2293">
        <f t="shared" si="15"/>
        <v>-3.6999999999999998E-2</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t="s">
        <v>3014</v>
      </c>
      <c r="D49" s="2272">
        <f t="shared" si="11"/>
        <v>0</v>
      </c>
      <c r="E49" s="2294"/>
      <c r="F49" s="2292"/>
      <c r="G49" s="2270">
        <v>3.7000000000000002E-3</v>
      </c>
      <c r="H49" s="2315">
        <f t="shared" si="12"/>
        <v>3.7000000000000002E-3</v>
      </c>
      <c r="I49" s="2290">
        <v>0.05</v>
      </c>
      <c r="J49" s="2293">
        <f t="shared" si="13"/>
        <v>7.4000000000000003E-3</v>
      </c>
      <c r="K49" s="2293">
        <f t="shared" si="14"/>
        <v>3.7000000000000002E-3</v>
      </c>
      <c r="L49" s="2293">
        <v>0</v>
      </c>
      <c r="M49" s="2293">
        <f t="shared" si="15"/>
        <v>-3.7000000000000002E-3</v>
      </c>
      <c r="N49" s="2293">
        <f t="shared" si="15"/>
        <v>-7.4000000000000003E-3</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t="s">
        <v>3014</v>
      </c>
      <c r="D50" s="2272">
        <f t="shared" si="11"/>
        <v>0</v>
      </c>
      <c r="E50" s="2294"/>
      <c r="F50" s="2292"/>
      <c r="G50" s="2270">
        <v>3.7000000000000002E-3</v>
      </c>
      <c r="H50" s="2315">
        <f t="shared" si="12"/>
        <v>3.7000000000000002E-3</v>
      </c>
      <c r="I50" s="2290">
        <v>0.05</v>
      </c>
      <c r="J50" s="2293">
        <f t="shared" si="13"/>
        <v>7.4000000000000003E-3</v>
      </c>
      <c r="K50" s="2293">
        <f t="shared" si="14"/>
        <v>3.7000000000000002E-3</v>
      </c>
      <c r="L50" s="2293">
        <v>0</v>
      </c>
      <c r="M50" s="2293">
        <f t="shared" si="15"/>
        <v>-3.7000000000000002E-3</v>
      </c>
      <c r="N50" s="2293">
        <f t="shared" si="15"/>
        <v>-7.4000000000000003E-3</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t="s">
        <v>3014</v>
      </c>
      <c r="D51" s="2272">
        <f t="shared" si="11"/>
        <v>0</v>
      </c>
      <c r="E51" s="2294"/>
      <c r="F51" s="2292"/>
      <c r="G51" s="2270">
        <v>5.8999999999999999E-3</v>
      </c>
      <c r="H51" s="2315">
        <f t="shared" si="12"/>
        <v>6.0000000000000001E-3</v>
      </c>
      <c r="I51" s="2290">
        <v>0.08</v>
      </c>
      <c r="J51" s="2293">
        <f t="shared" si="13"/>
        <v>1.18E-2</v>
      </c>
      <c r="K51" s="2293">
        <f t="shared" si="14"/>
        <v>5.8999999999999999E-3</v>
      </c>
      <c r="L51" s="2293">
        <v>0</v>
      </c>
      <c r="M51" s="2293">
        <f t="shared" si="15"/>
        <v>-5.8999999999999999E-3</v>
      </c>
      <c r="N51" s="2293">
        <f t="shared" si="15"/>
        <v>-1.18E-2</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t="s">
        <v>3014</v>
      </c>
      <c r="D52" s="2272">
        <f t="shared" si="11"/>
        <v>0</v>
      </c>
      <c r="E52" s="2294"/>
      <c r="F52" s="2292"/>
      <c r="G52" s="2270">
        <v>2.2000000000000001E-3</v>
      </c>
      <c r="H52" s="2315">
        <f t="shared" si="12"/>
        <v>2.2000000000000001E-3</v>
      </c>
      <c r="I52" s="2290">
        <v>0.03</v>
      </c>
      <c r="J52" s="2293">
        <f t="shared" si="13"/>
        <v>4.4000000000000003E-3</v>
      </c>
      <c r="K52" s="2293">
        <f t="shared" si="14"/>
        <v>2.2000000000000001E-3</v>
      </c>
      <c r="L52" s="2293">
        <v>0</v>
      </c>
      <c r="M52" s="2293">
        <f t="shared" si="15"/>
        <v>-2.2000000000000001E-3</v>
      </c>
      <c r="N52" s="2293">
        <f t="shared" si="15"/>
        <v>-4.4000000000000003E-3</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t="s">
        <v>3014</v>
      </c>
      <c r="D53" s="2272">
        <f t="shared" si="11"/>
        <v>0</v>
      </c>
      <c r="E53" s="2294"/>
      <c r="F53" s="2292"/>
      <c r="G53" s="2270">
        <v>3.7000000000000002E-3</v>
      </c>
      <c r="H53" s="2315">
        <f t="shared" si="12"/>
        <v>3.7000000000000002E-3</v>
      </c>
      <c r="I53" s="2290">
        <v>0.05</v>
      </c>
      <c r="J53" s="2293">
        <f t="shared" si="13"/>
        <v>7.4000000000000003E-3</v>
      </c>
      <c r="K53" s="2293">
        <f t="shared" si="14"/>
        <v>3.7000000000000002E-3</v>
      </c>
      <c r="L53" s="2293">
        <v>0</v>
      </c>
      <c r="M53" s="2293">
        <f t="shared" si="15"/>
        <v>-3.7000000000000002E-3</v>
      </c>
      <c r="N53" s="2293">
        <f t="shared" si="15"/>
        <v>-7.4000000000000003E-3</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t="s">
        <v>3014</v>
      </c>
      <c r="D54" s="2272">
        <f t="shared" si="11"/>
        <v>0</v>
      </c>
      <c r="E54" s="2294"/>
      <c r="F54" s="2292"/>
      <c r="G54" s="2270">
        <v>7.4000000000000003E-3</v>
      </c>
      <c r="H54" s="2315">
        <f t="shared" si="12"/>
        <v>7.4999999999999997E-3</v>
      </c>
      <c r="I54" s="2290">
        <v>0.1</v>
      </c>
      <c r="J54" s="2293">
        <f t="shared" si="13"/>
        <v>1.4800000000000001E-2</v>
      </c>
      <c r="K54" s="2293">
        <f t="shared" si="14"/>
        <v>7.4000000000000003E-3</v>
      </c>
      <c r="L54" s="2293">
        <v>0</v>
      </c>
      <c r="M54" s="2293">
        <f t="shared" si="15"/>
        <v>-7.4000000000000003E-3</v>
      </c>
      <c r="N54" s="2293">
        <f t="shared" si="15"/>
        <v>-1.4800000000000001E-2</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t="s">
        <v>3014</v>
      </c>
      <c r="D55" s="2272">
        <f t="shared" si="11"/>
        <v>0</v>
      </c>
      <c r="E55" s="2298"/>
      <c r="F55" s="2292"/>
      <c r="G55" s="2270">
        <v>4.4000000000000003E-3</v>
      </c>
      <c r="H55" s="2315">
        <f t="shared" si="12"/>
        <v>4.4999999999999997E-3</v>
      </c>
      <c r="I55" s="2297">
        <v>0.06</v>
      </c>
      <c r="J55" s="2293">
        <f t="shared" si="13"/>
        <v>8.8000000000000005E-3</v>
      </c>
      <c r="K55" s="2293">
        <f t="shared" si="14"/>
        <v>4.4000000000000003E-3</v>
      </c>
      <c r="L55" s="2293">
        <v>0</v>
      </c>
      <c r="M55" s="2293">
        <f t="shared" si="15"/>
        <v>-4.4000000000000003E-3</v>
      </c>
      <c r="N55" s="2293">
        <f t="shared" si="15"/>
        <v>-8.8000000000000005E-3</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6">SUMIF($J$57:$N$57,C58,J58:N58)</f>
        <v>0</v>
      </c>
      <c r="E58" s="2291">
        <f>ROUND(SUM(D58:D66),4)</f>
        <v>0</v>
      </c>
      <c r="F58" s="2292" t="str">
        <f>IF(E2="办公",SUMIF(L1:L12,G2,N1:N12),"——")</f>
        <v>——</v>
      </c>
      <c r="G58" s="2270"/>
      <c r="H58" s="2315" t="str">
        <f>IFERROR(ROUNDDOWN($F$58*I58/2,4),"——")</f>
        <v>——</v>
      </c>
      <c r="I58" s="2290">
        <v>0.24</v>
      </c>
      <c r="J58" s="2293">
        <f t="shared" ref="J58:J66" si="17">K58+$G58</f>
        <v>0</v>
      </c>
      <c r="K58" s="2293">
        <f t="shared" ref="K58:K66" si="18">$L58+$G58</f>
        <v>0</v>
      </c>
      <c r="L58" s="2293">
        <v>0</v>
      </c>
      <c r="M58" s="2293">
        <f t="shared" ref="M58:N66" si="19">L58-$G58</f>
        <v>0</v>
      </c>
      <c r="N58" s="2293">
        <f t="shared" si="19"/>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6"/>
        <v>0</v>
      </c>
      <c r="E59" s="2294"/>
      <c r="F59" s="2292"/>
      <c r="G59" s="2270"/>
      <c r="H59" s="2271" t="str">
        <f t="shared" ref="H59:H66" si="20">IFERROR($F$58*I59/2,"——")</f>
        <v>——</v>
      </c>
      <c r="I59" s="2290">
        <v>0.3</v>
      </c>
      <c r="J59" s="2293">
        <f t="shared" si="17"/>
        <v>0</v>
      </c>
      <c r="K59" s="2293">
        <f t="shared" si="18"/>
        <v>0</v>
      </c>
      <c r="L59" s="2293">
        <v>0</v>
      </c>
      <c r="M59" s="2293">
        <f t="shared" si="19"/>
        <v>0</v>
      </c>
      <c r="N59" s="2293">
        <f t="shared" si="19"/>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6"/>
        <v>0</v>
      </c>
      <c r="E60" s="2294"/>
      <c r="F60" s="2292"/>
      <c r="G60" s="2270"/>
      <c r="H60" s="2271" t="str">
        <f t="shared" si="20"/>
        <v>——</v>
      </c>
      <c r="I60" s="2290">
        <v>0.08</v>
      </c>
      <c r="J60" s="2293">
        <f t="shared" si="17"/>
        <v>0</v>
      </c>
      <c r="K60" s="2293">
        <f t="shared" si="18"/>
        <v>0</v>
      </c>
      <c r="L60" s="2293">
        <v>0</v>
      </c>
      <c r="M60" s="2293">
        <f t="shared" si="19"/>
        <v>0</v>
      </c>
      <c r="N60" s="2293">
        <f t="shared" si="19"/>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6"/>
        <v>0</v>
      </c>
      <c r="E61" s="2294"/>
      <c r="F61" s="2292"/>
      <c r="G61" s="2270"/>
      <c r="H61" s="2271" t="str">
        <f t="shared" si="20"/>
        <v>——</v>
      </c>
      <c r="I61" s="2290">
        <v>0.04</v>
      </c>
      <c r="J61" s="2293">
        <f t="shared" si="17"/>
        <v>0</v>
      </c>
      <c r="K61" s="2293">
        <f t="shared" si="18"/>
        <v>0</v>
      </c>
      <c r="L61" s="2293">
        <v>0</v>
      </c>
      <c r="M61" s="2293">
        <f t="shared" si="19"/>
        <v>0</v>
      </c>
      <c r="N61" s="2293">
        <f t="shared" si="19"/>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6"/>
        <v>0</v>
      </c>
      <c r="E62" s="2294"/>
      <c r="F62" s="2292"/>
      <c r="G62" s="2270"/>
      <c r="H62" s="2271" t="str">
        <f t="shared" si="20"/>
        <v>——</v>
      </c>
      <c r="I62" s="2290">
        <v>0.05</v>
      </c>
      <c r="J62" s="2293">
        <f t="shared" si="17"/>
        <v>0</v>
      </c>
      <c r="K62" s="2293">
        <f t="shared" si="18"/>
        <v>0</v>
      </c>
      <c r="L62" s="2293">
        <v>0</v>
      </c>
      <c r="M62" s="2293">
        <f t="shared" si="19"/>
        <v>0</v>
      </c>
      <c r="N62" s="2293">
        <f t="shared" si="19"/>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6"/>
        <v>0</v>
      </c>
      <c r="E63" s="2294"/>
      <c r="F63" s="2292"/>
      <c r="G63" s="2270"/>
      <c r="H63" s="2271" t="str">
        <f t="shared" si="20"/>
        <v>——</v>
      </c>
      <c r="I63" s="2290">
        <v>0.05</v>
      </c>
      <c r="J63" s="2293">
        <f t="shared" si="17"/>
        <v>0</v>
      </c>
      <c r="K63" s="2293">
        <f t="shared" si="18"/>
        <v>0</v>
      </c>
      <c r="L63" s="2293">
        <v>0</v>
      </c>
      <c r="M63" s="2293">
        <f t="shared" si="19"/>
        <v>0</v>
      </c>
      <c r="N63" s="2293">
        <f t="shared" si="19"/>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6"/>
        <v>0</v>
      </c>
      <c r="E64" s="2294"/>
      <c r="F64" s="2292"/>
      <c r="G64" s="2270"/>
      <c r="H64" s="2271" t="str">
        <f t="shared" si="20"/>
        <v>——</v>
      </c>
      <c r="I64" s="2290">
        <v>0.06</v>
      </c>
      <c r="J64" s="2293">
        <f t="shared" si="17"/>
        <v>0</v>
      </c>
      <c r="K64" s="2293">
        <f t="shared" si="18"/>
        <v>0</v>
      </c>
      <c r="L64" s="2293">
        <v>0</v>
      </c>
      <c r="M64" s="2293">
        <f t="shared" si="19"/>
        <v>0</v>
      </c>
      <c r="N64" s="2293">
        <f t="shared" si="19"/>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6"/>
        <v>0</v>
      </c>
      <c r="E65" s="2294"/>
      <c r="F65" s="2292"/>
      <c r="G65" s="2270"/>
      <c r="H65" s="2271" t="str">
        <f t="shared" si="20"/>
        <v>——</v>
      </c>
      <c r="I65" s="2290">
        <v>0.12</v>
      </c>
      <c r="J65" s="2293">
        <f t="shared" si="17"/>
        <v>0</v>
      </c>
      <c r="K65" s="2293">
        <f t="shared" si="18"/>
        <v>0</v>
      </c>
      <c r="L65" s="2293">
        <v>0</v>
      </c>
      <c r="M65" s="2293">
        <f t="shared" si="19"/>
        <v>0</v>
      </c>
      <c r="N65" s="2293">
        <f t="shared" si="19"/>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6"/>
        <v>0</v>
      </c>
      <c r="E66" s="2298"/>
      <c r="F66" s="2292"/>
      <c r="G66" s="2270"/>
      <c r="H66" s="2271" t="str">
        <f t="shared" si="20"/>
        <v>——</v>
      </c>
      <c r="I66" s="2297">
        <v>0.06</v>
      </c>
      <c r="J66" s="2293">
        <f t="shared" si="17"/>
        <v>0</v>
      </c>
      <c r="K66" s="2293">
        <f t="shared" si="18"/>
        <v>0</v>
      </c>
      <c r="L66" s="2293">
        <v>0</v>
      </c>
      <c r="M66" s="2293">
        <f t="shared" si="19"/>
        <v>0</v>
      </c>
      <c r="N66" s="2293">
        <f t="shared" si="19"/>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1">SUMIF($J$68:$N$68,C69,J69:N69)</f>
        <v>0</v>
      </c>
      <c r="E69" s="2291">
        <f>ROUND(SUM(D69:D77),4)</f>
        <v>0</v>
      </c>
      <c r="F69" s="2292" t="str">
        <f>IF(E2="住宅",SUMIF(L1:L12,G2,N1:N12),"——")</f>
        <v>——</v>
      </c>
      <c r="G69" s="2273"/>
      <c r="H69" s="2316" t="str">
        <f t="shared" ref="H69:H77" si="22">IFERROR(ROUNDDOWN($F$69*I69/2,4),"——")</f>
        <v>——</v>
      </c>
      <c r="I69" s="2290">
        <v>0.14000000000000001</v>
      </c>
      <c r="J69" s="2293">
        <f t="shared" ref="J69:J77" si="23">K69+$G69</f>
        <v>0</v>
      </c>
      <c r="K69" s="2293">
        <f t="shared" ref="K69:K77" si="24">$L69+$G69</f>
        <v>0</v>
      </c>
      <c r="L69" s="2293">
        <v>0</v>
      </c>
      <c r="M69" s="2293">
        <f t="shared" ref="M69:N77" si="25">L69-$G69</f>
        <v>0</v>
      </c>
      <c r="N69" s="2293">
        <f t="shared" si="25"/>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1"/>
        <v>0</v>
      </c>
      <c r="E70" s="2300"/>
      <c r="F70" s="2301"/>
      <c r="G70" s="2273"/>
      <c r="H70" s="2316" t="str">
        <f t="shared" si="22"/>
        <v>——</v>
      </c>
      <c r="I70" s="2290">
        <v>0.3</v>
      </c>
      <c r="J70" s="2293">
        <f t="shared" si="23"/>
        <v>0</v>
      </c>
      <c r="K70" s="2293">
        <f t="shared" si="24"/>
        <v>0</v>
      </c>
      <c r="L70" s="2293">
        <v>0</v>
      </c>
      <c r="M70" s="2293">
        <f t="shared" si="25"/>
        <v>0</v>
      </c>
      <c r="N70" s="2293">
        <f t="shared" si="25"/>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1"/>
        <v>0</v>
      </c>
      <c r="E71" s="2300"/>
      <c r="F71" s="2301"/>
      <c r="G71" s="2273"/>
      <c r="H71" s="2316" t="str">
        <f t="shared" si="22"/>
        <v>——</v>
      </c>
      <c r="I71" s="2290">
        <v>0.08</v>
      </c>
      <c r="J71" s="2293">
        <f t="shared" si="23"/>
        <v>0</v>
      </c>
      <c r="K71" s="2293">
        <f t="shared" si="24"/>
        <v>0</v>
      </c>
      <c r="L71" s="2293">
        <v>0</v>
      </c>
      <c r="M71" s="2293">
        <f t="shared" si="25"/>
        <v>0</v>
      </c>
      <c r="N71" s="2293">
        <f t="shared" si="25"/>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1"/>
        <v>0</v>
      </c>
      <c r="E72" s="2300"/>
      <c r="F72" s="2301"/>
      <c r="G72" s="2273"/>
      <c r="H72" s="2316" t="str">
        <f t="shared" si="22"/>
        <v>——</v>
      </c>
      <c r="I72" s="2290">
        <v>0.04</v>
      </c>
      <c r="J72" s="2293">
        <f t="shared" si="23"/>
        <v>0</v>
      </c>
      <c r="K72" s="2293">
        <f t="shared" si="24"/>
        <v>0</v>
      </c>
      <c r="L72" s="2293">
        <v>0</v>
      </c>
      <c r="M72" s="2293">
        <f t="shared" si="25"/>
        <v>0</v>
      </c>
      <c r="N72" s="2293">
        <f t="shared" si="25"/>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1"/>
        <v>0</v>
      </c>
      <c r="E73" s="2300"/>
      <c r="F73" s="2301"/>
      <c r="G73" s="2273"/>
      <c r="H73" s="2316" t="str">
        <f t="shared" si="22"/>
        <v>——</v>
      </c>
      <c r="I73" s="2290">
        <v>0.08</v>
      </c>
      <c r="J73" s="2293">
        <f t="shared" si="23"/>
        <v>0</v>
      </c>
      <c r="K73" s="2293">
        <f t="shared" si="24"/>
        <v>0</v>
      </c>
      <c r="L73" s="2293">
        <v>0</v>
      </c>
      <c r="M73" s="2293">
        <f t="shared" si="25"/>
        <v>0</v>
      </c>
      <c r="N73" s="2293">
        <f t="shared" si="25"/>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1"/>
        <v>0</v>
      </c>
      <c r="E74" s="2300"/>
      <c r="F74" s="2301"/>
      <c r="G74" s="2273"/>
      <c r="H74" s="2316" t="str">
        <f t="shared" si="22"/>
        <v>——</v>
      </c>
      <c r="I74" s="2290">
        <v>0.12</v>
      </c>
      <c r="J74" s="2293">
        <f t="shared" si="23"/>
        <v>0</v>
      </c>
      <c r="K74" s="2293">
        <f t="shared" si="24"/>
        <v>0</v>
      </c>
      <c r="L74" s="2293">
        <v>0</v>
      </c>
      <c r="M74" s="2293">
        <f t="shared" si="25"/>
        <v>0</v>
      </c>
      <c r="N74" s="2293">
        <f t="shared" si="25"/>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1"/>
        <v>0</v>
      </c>
      <c r="E75" s="2300"/>
      <c r="F75" s="2301"/>
      <c r="G75" s="2273"/>
      <c r="H75" s="2316" t="str">
        <f t="shared" si="22"/>
        <v>——</v>
      </c>
      <c r="I75" s="2290">
        <v>0.05</v>
      </c>
      <c r="J75" s="2293">
        <f t="shared" si="23"/>
        <v>0</v>
      </c>
      <c r="K75" s="2293">
        <f t="shared" si="24"/>
        <v>0</v>
      </c>
      <c r="L75" s="2293">
        <v>0</v>
      </c>
      <c r="M75" s="2293">
        <f t="shared" si="25"/>
        <v>0</v>
      </c>
      <c r="N75" s="2293">
        <f t="shared" si="25"/>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1"/>
        <v>0</v>
      </c>
      <c r="E76" s="2300"/>
      <c r="F76" s="2301"/>
      <c r="G76" s="2273"/>
      <c r="H76" s="2316" t="str">
        <f t="shared" si="22"/>
        <v>——</v>
      </c>
      <c r="I76" s="2290">
        <v>0.15</v>
      </c>
      <c r="J76" s="2293">
        <f t="shared" si="23"/>
        <v>0</v>
      </c>
      <c r="K76" s="2293">
        <f t="shared" si="24"/>
        <v>0</v>
      </c>
      <c r="L76" s="2293">
        <v>0</v>
      </c>
      <c r="M76" s="2293">
        <f t="shared" si="25"/>
        <v>0</v>
      </c>
      <c r="N76" s="2293">
        <f t="shared" si="25"/>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1"/>
        <v>0</v>
      </c>
      <c r="E77" s="2302"/>
      <c r="F77" s="2301"/>
      <c r="G77" s="2273"/>
      <c r="H77" s="2316" t="str">
        <f t="shared" si="22"/>
        <v>——</v>
      </c>
      <c r="I77" s="2297">
        <v>0.04</v>
      </c>
      <c r="J77" s="2293">
        <f t="shared" si="23"/>
        <v>0</v>
      </c>
      <c r="K77" s="2293">
        <f t="shared" si="24"/>
        <v>0</v>
      </c>
      <c r="L77" s="2293">
        <v>0</v>
      </c>
      <c r="M77" s="2293">
        <f t="shared" si="25"/>
        <v>0</v>
      </c>
      <c r="N77" s="2293">
        <f t="shared" si="25"/>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4"/>
      <c r="AD81" s="1353"/>
      <c r="AJ81" s="1352"/>
      <c r="AN81" s="1353"/>
    </row>
    <row r="82" spans="1:40" ht="24">
      <c r="A82" s="1050" t="s">
        <v>1013</v>
      </c>
      <c r="B82" s="2263">
        <f>估价对象房地状况!G17</f>
        <v>0</v>
      </c>
      <c r="C82" s="1037"/>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4"/>
      <c r="AD82" s="1353"/>
      <c r="AJ82" s="1352"/>
      <c r="AN82" s="1353"/>
    </row>
    <row r="83" spans="1:40" ht="14.25">
      <c r="A83" s="1050" t="s">
        <v>1025</v>
      </c>
      <c r="B83" s="2263">
        <f>估价对象房地状况!G22</f>
        <v>0</v>
      </c>
      <c r="C83" s="1037"/>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4"/>
      <c r="AD83" s="1353"/>
      <c r="AJ83" s="1352"/>
      <c r="AN83" s="1353"/>
    </row>
    <row r="84" spans="1:40" ht="24">
      <c r="A84" s="1050" t="s">
        <v>1017</v>
      </c>
      <c r="B84" s="2264" t="str">
        <f>估价对象房地状况!G19</f>
        <v>估价对象所在区域公共配套设施齐备情况</v>
      </c>
      <c r="C84" s="1037"/>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4"/>
      <c r="AD84" s="1353"/>
      <c r="AJ84" s="1352"/>
      <c r="AN84" s="1353"/>
    </row>
    <row r="85" spans="1:40" ht="24">
      <c r="A85" s="1050" t="s">
        <v>1018</v>
      </c>
      <c r="B85" s="2264" t="str">
        <f>估价对象房地状况!G20</f>
        <v>估价对象所在区域基础设施水平</v>
      </c>
      <c r="C85" s="1037"/>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4"/>
      <c r="AD85" s="1353"/>
      <c r="AJ85" s="1352"/>
      <c r="AN85" s="1353"/>
    </row>
    <row r="86" spans="1:40" ht="24">
      <c r="A86" s="1050" t="s">
        <v>1016</v>
      </c>
      <c r="B86" s="2784" t="s">
        <v>2904</v>
      </c>
      <c r="C86" s="1037"/>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4"/>
      <c r="AD87" s="1353"/>
      <c r="AJ87" s="1352"/>
      <c r="AN87" s="1353"/>
    </row>
    <row r="90" spans="1:40">
      <c r="A90" s="3517" t="s">
        <v>1624</v>
      </c>
      <c r="B90" s="3517"/>
      <c r="C90" s="3517"/>
      <c r="D90" s="3517"/>
      <c r="E90" s="3517"/>
      <c r="F90" s="3517"/>
      <c r="G90" s="3517"/>
      <c r="H90" s="3517"/>
      <c r="I90" s="3517"/>
      <c r="J90" s="3517"/>
      <c r="K90" s="2305"/>
      <c r="L90" s="2305"/>
      <c r="M90" s="2305"/>
      <c r="N90" s="2305"/>
    </row>
    <row r="91" spans="1:40">
      <c r="A91" s="3518" t="s">
        <v>1434</v>
      </c>
      <c r="B91" s="3518" t="s">
        <v>1625</v>
      </c>
      <c r="C91" s="1123" t="s">
        <v>1626</v>
      </c>
      <c r="D91" s="1124"/>
      <c r="E91" s="1124"/>
      <c r="F91" s="1124"/>
      <c r="G91" s="1124"/>
      <c r="H91" s="1124"/>
      <c r="I91" s="1124"/>
      <c r="J91" s="1125"/>
      <c r="K91" s="1117"/>
      <c r="L91" s="1117"/>
      <c r="M91" s="1117"/>
      <c r="N91" s="1117"/>
    </row>
    <row r="92" spans="1:40">
      <c r="A92" s="3518"/>
      <c r="B92" s="351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2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6"/>
      <c r="B99" s="1126" t="s">
        <v>1627</v>
      </c>
      <c r="C99" s="1128">
        <f>$I$3</f>
        <v>10</v>
      </c>
      <c r="D99" s="1128">
        <f t="shared" ref="D99:N99" si="31">$I$3</f>
        <v>10</v>
      </c>
      <c r="E99" s="1128">
        <f t="shared" si="31"/>
        <v>10</v>
      </c>
      <c r="F99" s="1128">
        <f t="shared" si="31"/>
        <v>10</v>
      </c>
      <c r="G99" s="1128">
        <f t="shared" si="31"/>
        <v>10</v>
      </c>
      <c r="H99" s="1128">
        <f t="shared" si="31"/>
        <v>10</v>
      </c>
      <c r="I99" s="1128">
        <f t="shared" si="31"/>
        <v>10</v>
      </c>
      <c r="J99" s="1128">
        <f t="shared" si="31"/>
        <v>10</v>
      </c>
      <c r="K99" s="1128">
        <f t="shared" si="31"/>
        <v>10</v>
      </c>
      <c r="L99" s="1128">
        <f t="shared" si="31"/>
        <v>10</v>
      </c>
      <c r="M99" s="1128">
        <f t="shared" si="31"/>
        <v>10</v>
      </c>
      <c r="N99" s="1128">
        <f t="shared" si="31"/>
        <v>10</v>
      </c>
    </row>
    <row r="100" spans="1:14">
      <c r="A100" s="3527"/>
      <c r="B100" s="1126">
        <v>7</v>
      </c>
      <c r="C100" s="1129">
        <f>(-0.163*(C99^2)-0.59*C99+7617)*(10^(-4))</f>
        <v>0.75948000000000004</v>
      </c>
      <c r="D100" s="1129">
        <f>(-0.163*(D99^2)-0.59*D99+7617)*(10^(-4))</f>
        <v>0.75948000000000004</v>
      </c>
      <c r="E100" s="1129">
        <f>(-0.161*(E99^2)-7.509*E99+6533)*(10^(-4))</f>
        <v>0.64418100000000011</v>
      </c>
      <c r="F100" s="1129">
        <f>(-0.161*(F99^2)-7.509*F99+6533)*(10^(-4))</f>
        <v>0.64418100000000011</v>
      </c>
      <c r="G100" s="1129">
        <f>(-0.161*(G99^2)-7.509*G99+6533)*(10^(-4))</f>
        <v>0.64418100000000011</v>
      </c>
      <c r="H100" s="1129">
        <f>(-0.161*(H99^2)-7.509*H99+6533)*(10^(-4))</f>
        <v>0.64418100000000011</v>
      </c>
      <c r="I100" s="1129">
        <f>(-0.161*(I99^2)-7.509*I99+6533)*(10^(-4))</f>
        <v>0.64418100000000011</v>
      </c>
      <c r="J100" s="1129">
        <f>(-0.214*(J99^2)-21.991*J99+4665)*(10^(-4))</f>
        <v>0.44236899999999996</v>
      </c>
      <c r="K100" s="1129">
        <f>(-0.214*(K99^2)-21.991*K99+4665)*(10^(-4))</f>
        <v>0.44236899999999996</v>
      </c>
      <c r="L100" s="1129">
        <f>(-0.214*(L99^2)-21.991*L99+4665)*(10^(-4))</f>
        <v>0.44236899999999996</v>
      </c>
      <c r="M100" s="1129">
        <f>(-0.214*(M99^2)-21.991*M99+4665)*(10^(-4))</f>
        <v>0.44236899999999996</v>
      </c>
      <c r="N100" s="1129">
        <f>(-0.214*(N99^2)-21.991*N99+4665)*(10^(-4))</f>
        <v>0.44236899999999996</v>
      </c>
    </row>
    <row r="101" spans="1:14">
      <c r="A101" s="3525" t="s">
        <v>1628</v>
      </c>
      <c r="B101" s="1130" t="s">
        <v>897</v>
      </c>
      <c r="C101" s="1131">
        <f>$G$3</f>
        <v>2.8</v>
      </c>
      <c r="D101" s="1131">
        <f t="shared" ref="D101:N101" si="32">$G$3</f>
        <v>2.8</v>
      </c>
      <c r="E101" s="1131">
        <f t="shared" si="32"/>
        <v>2.8</v>
      </c>
      <c r="F101" s="1131">
        <f t="shared" si="32"/>
        <v>2.8</v>
      </c>
      <c r="G101" s="1131">
        <f t="shared" si="32"/>
        <v>2.8</v>
      </c>
      <c r="H101" s="1131">
        <f t="shared" si="32"/>
        <v>2.8</v>
      </c>
      <c r="I101" s="1131">
        <f t="shared" si="32"/>
        <v>2.8</v>
      </c>
      <c r="J101" s="1131">
        <f t="shared" si="32"/>
        <v>2.8</v>
      </c>
      <c r="K101" s="1131">
        <f t="shared" si="32"/>
        <v>2.8</v>
      </c>
      <c r="L101" s="1131">
        <f t="shared" si="32"/>
        <v>2.8</v>
      </c>
      <c r="M101" s="1131">
        <f t="shared" si="32"/>
        <v>2.8</v>
      </c>
      <c r="N101" s="1131">
        <f t="shared" si="32"/>
        <v>2.8</v>
      </c>
    </row>
    <row r="102" spans="1:14">
      <c r="A102" s="3526"/>
      <c r="B102" s="1126">
        <v>1</v>
      </c>
      <c r="C102" s="1127">
        <f>1.9362/C101</f>
        <v>0.6915</v>
      </c>
      <c r="D102" s="1127">
        <f>1.9362/D101</f>
        <v>0.6915</v>
      </c>
      <c r="E102" s="1127">
        <f>1.8629/E101</f>
        <v>0.66532142857142862</v>
      </c>
      <c r="F102" s="1127">
        <f>1.8629/F101</f>
        <v>0.66532142857142862</v>
      </c>
      <c r="G102" s="1127">
        <f>1.8629/G101</f>
        <v>0.66532142857142862</v>
      </c>
      <c r="H102" s="1127">
        <f>1.8629/H101</f>
        <v>0.66532142857142862</v>
      </c>
      <c r="I102" s="1127">
        <f>1.8629/I101</f>
        <v>0.66532142857142862</v>
      </c>
      <c r="J102" s="1127">
        <f>1.942/J101</f>
        <v>0.69357142857142862</v>
      </c>
      <c r="K102" s="1127">
        <f>1.942/K101</f>
        <v>0.69357142857142862</v>
      </c>
      <c r="L102" s="1127">
        <f>1.942/L101</f>
        <v>0.69357142857142862</v>
      </c>
      <c r="M102" s="1127">
        <f>1.942/M101</f>
        <v>0.69357142857142862</v>
      </c>
      <c r="N102" s="1127">
        <f>1.942/N101</f>
        <v>0.69357142857142862</v>
      </c>
    </row>
    <row r="103" spans="1:14">
      <c r="A103" s="3526"/>
      <c r="B103" s="1126">
        <v>2</v>
      </c>
      <c r="C103" s="1127">
        <f>1.4198/C101</f>
        <v>0.50707142857142862</v>
      </c>
      <c r="D103" s="1127">
        <f>1.4198/D101</f>
        <v>0.50707142857142862</v>
      </c>
      <c r="E103" s="1127">
        <f>1.3372/E101</f>
        <v>0.47757142857142859</v>
      </c>
      <c r="F103" s="1127">
        <f>1.3372/F101</f>
        <v>0.47757142857142859</v>
      </c>
      <c r="G103" s="1127">
        <f>1.3372/G101</f>
        <v>0.47757142857142859</v>
      </c>
      <c r="H103" s="1127">
        <f>1.3372/H101</f>
        <v>0.47757142857142859</v>
      </c>
      <c r="I103" s="1127">
        <f>1.3372/I101</f>
        <v>0.47757142857142859</v>
      </c>
      <c r="J103" s="1127">
        <f>1.2799/J101</f>
        <v>0.45710714285714288</v>
      </c>
      <c r="K103" s="1127">
        <f>1.2799/K101</f>
        <v>0.45710714285714288</v>
      </c>
      <c r="L103" s="1127">
        <f>1.2799/L101</f>
        <v>0.45710714285714288</v>
      </c>
      <c r="M103" s="1127">
        <f>1.2799/M101</f>
        <v>0.45710714285714288</v>
      </c>
      <c r="N103" s="1127">
        <f>1.2799/N101</f>
        <v>0.45710714285714288</v>
      </c>
    </row>
    <row r="104" spans="1:14">
      <c r="A104" s="3526"/>
      <c r="B104" s="1126">
        <v>3</v>
      </c>
      <c r="C104" s="1127">
        <f>1.1594/C101</f>
        <v>0.41407142857142859</v>
      </c>
      <c r="D104" s="1127">
        <f>1.1594/D101</f>
        <v>0.41407142857142859</v>
      </c>
      <c r="E104" s="1127">
        <f>1.0788/E101</f>
        <v>0.38528571428571429</v>
      </c>
      <c r="F104" s="1127">
        <f>1.0788/F101</f>
        <v>0.38528571428571429</v>
      </c>
      <c r="G104" s="1127">
        <f>1.0788/G101</f>
        <v>0.38528571428571429</v>
      </c>
      <c r="H104" s="1127">
        <f>1.0788/H101</f>
        <v>0.38528571428571429</v>
      </c>
      <c r="I104" s="1127">
        <f>1.0788/I101</f>
        <v>0.38528571428571429</v>
      </c>
      <c r="J104" s="1127">
        <f>1.0072/J101</f>
        <v>0.35971428571428576</v>
      </c>
      <c r="K104" s="1127">
        <f>1.0072/K101</f>
        <v>0.35971428571428576</v>
      </c>
      <c r="L104" s="1127">
        <f>1.0072/L101</f>
        <v>0.35971428571428576</v>
      </c>
      <c r="M104" s="1127">
        <f>1.0072/M101</f>
        <v>0.35971428571428576</v>
      </c>
      <c r="N104" s="1127">
        <f>1.0072/N101</f>
        <v>0.35971428571428576</v>
      </c>
    </row>
    <row r="105" spans="1:14">
      <c r="A105" s="3526"/>
      <c r="B105" s="1126">
        <v>4</v>
      </c>
      <c r="C105" s="1127">
        <f>0.9622/C101</f>
        <v>0.34364285714285719</v>
      </c>
      <c r="D105" s="1127">
        <f>0.9622/D101</f>
        <v>0.34364285714285719</v>
      </c>
      <c r="E105" s="1127">
        <f>0.8656/E101</f>
        <v>0.30914285714285716</v>
      </c>
      <c r="F105" s="1127">
        <f>0.8656/F101</f>
        <v>0.30914285714285716</v>
      </c>
      <c r="G105" s="1127">
        <f>0.8656/G101</f>
        <v>0.30914285714285716</v>
      </c>
      <c r="H105" s="1127">
        <f>0.8656/H101</f>
        <v>0.30914285714285716</v>
      </c>
      <c r="I105" s="1127">
        <f>0.8656/I101</f>
        <v>0.30914285714285716</v>
      </c>
      <c r="J105" s="1127">
        <f>0.7525/J101</f>
        <v>0.26874999999999999</v>
      </c>
      <c r="K105" s="1127">
        <f>0.7525/K101</f>
        <v>0.26874999999999999</v>
      </c>
      <c r="L105" s="1127">
        <f>0.7525/L101</f>
        <v>0.26874999999999999</v>
      </c>
      <c r="M105" s="1127">
        <f>0.7525/M101</f>
        <v>0.26874999999999999</v>
      </c>
      <c r="N105" s="1127">
        <f>0.7525/N101</f>
        <v>0.26874999999999999</v>
      </c>
    </row>
    <row r="106" spans="1:14">
      <c r="A106" s="3526"/>
      <c r="B106" s="1126">
        <v>5</v>
      </c>
      <c r="C106" s="1127">
        <f>0.8417/C101</f>
        <v>0.30060714285714285</v>
      </c>
      <c r="D106" s="1127">
        <f>0.8417/D101</f>
        <v>0.30060714285714285</v>
      </c>
      <c r="E106" s="1127">
        <f>0.7371/E101</f>
        <v>0.26324999999999998</v>
      </c>
      <c r="F106" s="1127">
        <f>0.7371/F101</f>
        <v>0.26324999999999998</v>
      </c>
      <c r="G106" s="1127">
        <f>0.7371/G101</f>
        <v>0.26324999999999998</v>
      </c>
      <c r="H106" s="1127">
        <f>0.7371/H101</f>
        <v>0.26324999999999998</v>
      </c>
      <c r="I106" s="1127">
        <f>0.7371/I101</f>
        <v>0.26324999999999998</v>
      </c>
      <c r="J106" s="1127">
        <f>0.5659/J101</f>
        <v>0.20210714285714285</v>
      </c>
      <c r="K106" s="1127">
        <f>0.5659/K101</f>
        <v>0.20210714285714285</v>
      </c>
      <c r="L106" s="1127">
        <f>0.5659/L101</f>
        <v>0.20210714285714285</v>
      </c>
      <c r="M106" s="1127">
        <f>0.5659/M101</f>
        <v>0.20210714285714285</v>
      </c>
      <c r="N106" s="1127">
        <f>0.5659/N101</f>
        <v>0.20210714285714285</v>
      </c>
    </row>
    <row r="107" spans="1:14">
      <c r="A107" s="3526"/>
      <c r="B107" s="1126">
        <v>6</v>
      </c>
      <c r="C107" s="1127">
        <f>0.7608/C101</f>
        <v>0.27171428571428574</v>
      </c>
      <c r="D107" s="1127">
        <f>0.7608/D101</f>
        <v>0.27171428571428574</v>
      </c>
      <c r="E107" s="1127">
        <f>0.6482/E101</f>
        <v>0.23150000000000001</v>
      </c>
      <c r="F107" s="1127">
        <f>0.6482/F101</f>
        <v>0.23150000000000001</v>
      </c>
      <c r="G107" s="1127">
        <f>0.6482/G101</f>
        <v>0.23150000000000001</v>
      </c>
      <c r="H107" s="1127">
        <f>0.6482/H101</f>
        <v>0.23150000000000001</v>
      </c>
      <c r="I107" s="1127">
        <f>0.6482/I101</f>
        <v>0.23150000000000001</v>
      </c>
      <c r="J107" s="1127">
        <f>0.4525/J101</f>
        <v>0.16160714285714287</v>
      </c>
      <c r="K107" s="1127">
        <f>0.4525/K101</f>
        <v>0.16160714285714287</v>
      </c>
      <c r="L107" s="1127">
        <f>0.4525/L101</f>
        <v>0.16160714285714287</v>
      </c>
      <c r="M107" s="1127">
        <f>0.4525/M101</f>
        <v>0.16160714285714287</v>
      </c>
      <c r="N107" s="1127">
        <f>0.4525/N101</f>
        <v>0.16160714285714287</v>
      </c>
    </row>
    <row r="108" spans="1:14">
      <c r="A108" s="3526"/>
      <c r="B108" s="3528" t="s">
        <v>1629</v>
      </c>
      <c r="C108" s="1128">
        <f>C99</f>
        <v>10</v>
      </c>
      <c r="D108" s="1128">
        <f t="shared" ref="D108:N108" si="33">D99</f>
        <v>10</v>
      </c>
      <c r="E108" s="1128">
        <f t="shared" si="33"/>
        <v>10</v>
      </c>
      <c r="F108" s="1128">
        <f t="shared" si="33"/>
        <v>10</v>
      </c>
      <c r="G108" s="1128">
        <f t="shared" si="33"/>
        <v>10</v>
      </c>
      <c r="H108" s="1128">
        <f t="shared" si="33"/>
        <v>10</v>
      </c>
      <c r="I108" s="1128">
        <f t="shared" si="33"/>
        <v>10</v>
      </c>
      <c r="J108" s="1128">
        <f t="shared" si="33"/>
        <v>10</v>
      </c>
      <c r="K108" s="1128">
        <f t="shared" si="33"/>
        <v>10</v>
      </c>
      <c r="L108" s="1128">
        <f t="shared" si="33"/>
        <v>10</v>
      </c>
      <c r="M108" s="1128">
        <f t="shared" si="33"/>
        <v>10</v>
      </c>
      <c r="N108" s="1128">
        <f t="shared" si="33"/>
        <v>10</v>
      </c>
    </row>
    <row r="109" spans="1:14">
      <c r="A109" s="3527"/>
      <c r="B109" s="3529"/>
      <c r="C109" s="1129">
        <f>(-0.163*(C108^2)-0.59*C108+7617)*(10^(-4))/C101</f>
        <v>0.27124285714285717</v>
      </c>
      <c r="D109" s="1129">
        <f>(-0.163*(D108^2)-0.59*D108+7617)*(10^(-4))/D101</f>
        <v>0.27124285714285717</v>
      </c>
      <c r="E109" s="1129">
        <f>(-0.161*(E108^2)-7.509*E108+6533)*(10^(-4))/E101</f>
        <v>0.23006464285714293</v>
      </c>
      <c r="F109" s="1129">
        <f>(-0.161*(F108^2)-7.509*F108+6533)*(10^(-4))/F101</f>
        <v>0.23006464285714293</v>
      </c>
      <c r="G109" s="1129">
        <f>(-0.161*(G108^2)-7.509*G108+6533)*(10^(-4))/G101</f>
        <v>0.23006464285714293</v>
      </c>
      <c r="H109" s="1129">
        <f>(-0.161*(H108^2)-7.509*H108+6533)*(10^(-4))/H101</f>
        <v>0.23006464285714293</v>
      </c>
      <c r="I109" s="1129">
        <f>(-0.161*(I108^2)-7.509*I108+6533)*(10^(-4))/I101</f>
        <v>0.23006464285714293</v>
      </c>
      <c r="J109" s="1129">
        <f>(-0.214*(J108^2)-21.991*J108+4665)*(10^(-4))/J101</f>
        <v>0.15798892857142857</v>
      </c>
      <c r="K109" s="1129">
        <f>(-0.214*(K108^2)-21.991*K108+4665)*(10^(-4))/K101</f>
        <v>0.15798892857142857</v>
      </c>
      <c r="L109" s="1129">
        <f>(-0.214*(L108^2)-21.991*L108+4665)*(10^(-4))/L101</f>
        <v>0.15798892857142857</v>
      </c>
      <c r="M109" s="1129">
        <f>(-0.214*(M108^2)-21.991*M108+4665)*(10^(-4))/M101</f>
        <v>0.15798892857142857</v>
      </c>
      <c r="N109" s="1129">
        <f>(-0.214*(N108^2)-21.991*N108+4665)*(10^(-4))/N101</f>
        <v>0.15798892857142857</v>
      </c>
    </row>
    <row r="110" spans="1:14">
      <c r="A110" s="3511" t="s">
        <v>1630</v>
      </c>
      <c r="B110" s="3511"/>
      <c r="C110" s="3511"/>
      <c r="D110" s="3511"/>
      <c r="E110" s="3511"/>
      <c r="F110" s="3511"/>
      <c r="G110" s="3511"/>
      <c r="H110" s="3511"/>
      <c r="I110" s="3511"/>
      <c r="J110" s="3511"/>
      <c r="K110" s="2303"/>
      <c r="L110" s="2303"/>
      <c r="M110" s="2303"/>
      <c r="N110" s="2303"/>
    </row>
    <row r="112" spans="1:14" ht="12.75" thickBot="1"/>
    <row r="113" spans="1:13" ht="25.5" thickBot="1">
      <c r="A113" s="1003" t="s">
        <v>887</v>
      </c>
      <c r="B113" s="2306">
        <f>G3</f>
        <v>2.8</v>
      </c>
      <c r="C113" s="1004" t="s">
        <v>888</v>
      </c>
      <c r="D113" s="1005">
        <f>SUMPRODUCT((A115:A118=F113)*(B114:M114=H113)*B115:M118)</f>
        <v>0.64559999999999995</v>
      </c>
      <c r="E113" s="1006" t="s">
        <v>889</v>
      </c>
      <c r="F113" s="1007" t="str">
        <f>E2</f>
        <v>商业</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0.90720000000000001</v>
      </c>
      <c r="C115" s="1017">
        <f>B115</f>
        <v>0.90720000000000001</v>
      </c>
      <c r="D115" s="1017">
        <f>ROUND(0.8331-0.0109*B113,4)</f>
        <v>0.80259999999999998</v>
      </c>
      <c r="E115" s="1017">
        <f>D115</f>
        <v>0.80259999999999998</v>
      </c>
      <c r="F115" s="1017">
        <f>E115</f>
        <v>0.80259999999999998</v>
      </c>
      <c r="G115" s="1017">
        <f>F115</f>
        <v>0.80259999999999998</v>
      </c>
      <c r="H115" s="1017">
        <f>G115</f>
        <v>0.80259999999999998</v>
      </c>
      <c r="I115" s="1017">
        <f>ROUND(0.689-0.0155*B113,4)</f>
        <v>0.64559999999999995</v>
      </c>
      <c r="J115" s="1017">
        <f t="shared" ref="J115:M118" si="34">I115</f>
        <v>0.64559999999999995</v>
      </c>
      <c r="K115" s="1017">
        <f t="shared" si="34"/>
        <v>0.64559999999999995</v>
      </c>
      <c r="L115" s="1017">
        <f t="shared" si="34"/>
        <v>0.64559999999999995</v>
      </c>
      <c r="M115" s="1018">
        <f t="shared" si="34"/>
        <v>0.64559999999999995</v>
      </c>
    </row>
    <row r="116" spans="1:13" ht="12.75">
      <c r="A116" s="1016" t="s">
        <v>892</v>
      </c>
      <c r="B116" s="1017">
        <f>ROUND(0.949-0.012*B113,4)</f>
        <v>0.91539999999999999</v>
      </c>
      <c r="C116" s="1017">
        <f>B116</f>
        <v>0.91539999999999999</v>
      </c>
      <c r="D116" s="1017">
        <f>ROUND(0.8567-0.013*B113,4)</f>
        <v>0.82030000000000003</v>
      </c>
      <c r="E116" s="1017">
        <f t="shared" ref="E116:H117" si="35">D116</f>
        <v>0.82030000000000003</v>
      </c>
      <c r="F116" s="1017">
        <f t="shared" si="35"/>
        <v>0.82030000000000003</v>
      </c>
      <c r="G116" s="1017">
        <f t="shared" si="35"/>
        <v>0.82030000000000003</v>
      </c>
      <c r="H116" s="1017">
        <f t="shared" si="35"/>
        <v>0.82030000000000003</v>
      </c>
      <c r="I116" s="1017">
        <f>ROUND(0.7694-0.014*B113,4)</f>
        <v>0.73019999999999996</v>
      </c>
      <c r="J116" s="1017">
        <f t="shared" si="34"/>
        <v>0.73019999999999996</v>
      </c>
      <c r="K116" s="1017">
        <f t="shared" si="34"/>
        <v>0.73019999999999996</v>
      </c>
      <c r="L116" s="1017">
        <f t="shared" si="34"/>
        <v>0.73019999999999996</v>
      </c>
      <c r="M116" s="1018">
        <f t="shared" si="34"/>
        <v>0.73019999999999996</v>
      </c>
    </row>
    <row r="117" spans="1:13" ht="12.75">
      <c r="A117" s="1019" t="s">
        <v>893</v>
      </c>
      <c r="B117" s="1017">
        <f>ROUND(0.8808-0.006*B113,4)</f>
        <v>0.86399999999999999</v>
      </c>
      <c r="C117" s="1017">
        <f>B117</f>
        <v>0.86399999999999999</v>
      </c>
      <c r="D117" s="1017">
        <f>ROUND(0.8748-0.008*B113,4)</f>
        <v>0.85240000000000005</v>
      </c>
      <c r="E117" s="1017">
        <f t="shared" si="35"/>
        <v>0.85240000000000005</v>
      </c>
      <c r="F117" s="1017">
        <f t="shared" si="35"/>
        <v>0.85240000000000005</v>
      </c>
      <c r="G117" s="1017">
        <f t="shared" si="35"/>
        <v>0.85240000000000005</v>
      </c>
      <c r="H117" s="1017">
        <f t="shared" si="35"/>
        <v>0.85240000000000005</v>
      </c>
      <c r="I117" s="1017">
        <f>ROUND(0.7412-0.0095*B113,4)</f>
        <v>0.71460000000000001</v>
      </c>
      <c r="J117" s="1017">
        <f t="shared" si="34"/>
        <v>0.71460000000000001</v>
      </c>
      <c r="K117" s="1017">
        <f t="shared" si="34"/>
        <v>0.71460000000000001</v>
      </c>
      <c r="L117" s="1017">
        <f t="shared" si="34"/>
        <v>0.71460000000000001</v>
      </c>
      <c r="M117" s="1018">
        <f t="shared" si="34"/>
        <v>0.71460000000000001</v>
      </c>
    </row>
    <row r="118" spans="1:13" ht="13.5" thickBot="1">
      <c r="A118" s="1020" t="s">
        <v>894</v>
      </c>
      <c r="B118" s="1021">
        <f>ROUND(0.7275-0.01*B113,4)</f>
        <v>0.69950000000000001</v>
      </c>
      <c r="C118" s="1021">
        <f>B118</f>
        <v>0.69950000000000001</v>
      </c>
      <c r="D118" s="1021">
        <f>ROUND(0.7043-0.012*B113,4)</f>
        <v>0.67069999999999996</v>
      </c>
      <c r="E118" s="1021">
        <f>D118</f>
        <v>0.67069999999999996</v>
      </c>
      <c r="F118" s="1021">
        <f>E118</f>
        <v>0.67069999999999996</v>
      </c>
      <c r="G118" s="1021">
        <f>ROUND(0.6299-0.0122*B113,4)</f>
        <v>0.59570000000000001</v>
      </c>
      <c r="H118" s="1021">
        <f>G118</f>
        <v>0.59570000000000001</v>
      </c>
      <c r="I118" s="1021">
        <f>ROUND(0.5667-0.0136*B113,4)</f>
        <v>0.52859999999999996</v>
      </c>
      <c r="J118" s="1021">
        <f t="shared" si="34"/>
        <v>0.52859999999999996</v>
      </c>
      <c r="K118" s="1021">
        <f t="shared" si="34"/>
        <v>0.52859999999999996</v>
      </c>
      <c r="L118" s="1021">
        <f t="shared" si="34"/>
        <v>0.52859999999999996</v>
      </c>
      <c r="M118" s="1022">
        <f t="shared" si="34"/>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8" t="s">
        <v>998</v>
      </c>
      <c r="B18" s="1137" t="s">
        <v>1437</v>
      </c>
      <c r="C18" s="1114" t="s">
        <v>1438</v>
      </c>
      <c r="D18" s="1115"/>
      <c r="E18" s="1137">
        <v>1</v>
      </c>
      <c r="F18" s="1116" t="s">
        <v>1439</v>
      </c>
      <c r="G18" s="1117"/>
      <c r="H18" s="1088"/>
      <c r="I18" s="1088"/>
    </row>
    <row r="19" spans="1:9" s="1530" customFormat="1" ht="19.5" customHeight="1">
      <c r="A19" s="3518"/>
      <c r="B19" s="3518" t="s">
        <v>1440</v>
      </c>
      <c r="C19" s="1114" t="s">
        <v>1441</v>
      </c>
      <c r="D19" s="1115"/>
      <c r="E19" s="1137">
        <v>0.9</v>
      </c>
      <c r="F19" s="1116" t="s">
        <v>1442</v>
      </c>
      <c r="G19" s="1117"/>
      <c r="H19" s="1088"/>
      <c r="I19" s="1088"/>
    </row>
    <row r="20" spans="1:9" s="1530" customFormat="1" ht="19.5" customHeight="1">
      <c r="A20" s="3518"/>
      <c r="B20" s="3518"/>
      <c r="C20" s="1114" t="s">
        <v>1443</v>
      </c>
      <c r="D20" s="1115"/>
      <c r="E20" s="1137">
        <v>1.1000000000000001</v>
      </c>
      <c r="F20" s="1116" t="s">
        <v>1444</v>
      </c>
      <c r="G20" s="1117"/>
      <c r="H20" s="1088"/>
      <c r="I20" s="1088"/>
    </row>
    <row r="21" spans="1:9" s="1530" customFormat="1" ht="19.5" customHeight="1">
      <c r="A21" s="3518"/>
      <c r="B21" s="3518"/>
      <c r="C21" s="1114" t="s">
        <v>1445</v>
      </c>
      <c r="D21" s="1115"/>
      <c r="E21" s="1137">
        <v>0.8</v>
      </c>
      <c r="F21" s="1116" t="s">
        <v>1446</v>
      </c>
      <c r="G21" s="1117"/>
      <c r="H21" s="1088"/>
      <c r="I21" s="1088"/>
    </row>
    <row r="22" spans="1:9" s="1530" customFormat="1" ht="19.5" customHeight="1">
      <c r="A22" s="3518"/>
      <c r="B22" s="3518"/>
      <c r="C22" s="1114" t="s">
        <v>1447</v>
      </c>
      <c r="D22" s="1115"/>
      <c r="E22" s="1137">
        <v>0.5</v>
      </c>
      <c r="F22" s="1116"/>
      <c r="G22" s="1117"/>
      <c r="H22" s="1088"/>
      <c r="I22" s="1088"/>
    </row>
    <row r="23" spans="1:9" s="1530" customFormat="1" ht="19.5" customHeight="1">
      <c r="A23" s="3518" t="s">
        <v>1020</v>
      </c>
      <c r="B23" s="1137" t="s">
        <v>1437</v>
      </c>
      <c r="C23" s="1114" t="s">
        <v>1448</v>
      </c>
      <c r="D23" s="1115"/>
      <c r="E23" s="1137">
        <v>1</v>
      </c>
      <c r="F23" s="1116" t="s">
        <v>1449</v>
      </c>
      <c r="G23" s="1117"/>
      <c r="H23" s="1088"/>
      <c r="I23" s="1088"/>
    </row>
    <row r="24" spans="1:9" s="1530" customFormat="1" ht="19.5" customHeight="1">
      <c r="A24" s="3518"/>
      <c r="B24" s="3518" t="s">
        <v>1440</v>
      </c>
      <c r="C24" s="1114" t="s">
        <v>1450</v>
      </c>
      <c r="D24" s="1115"/>
      <c r="E24" s="1137">
        <v>0.5</v>
      </c>
      <c r="F24" s="1116"/>
      <c r="G24" s="1117"/>
      <c r="H24" s="1088"/>
      <c r="I24" s="1088"/>
    </row>
    <row r="25" spans="1:9" s="1530" customFormat="1" ht="19.5" customHeight="1">
      <c r="A25" s="3518"/>
      <c r="B25" s="3518"/>
      <c r="C25" s="1114" t="s">
        <v>1451</v>
      </c>
      <c r="D25" s="1115"/>
      <c r="E25" s="1137">
        <v>1.1000000000000001</v>
      </c>
      <c r="F25" s="1116"/>
      <c r="G25" s="1117"/>
      <c r="H25" s="1088"/>
      <c r="I25" s="1088"/>
    </row>
    <row r="26" spans="1:9" s="1530" customFormat="1" ht="19.5" customHeight="1">
      <c r="A26" s="3518"/>
      <c r="B26" s="3518"/>
      <c r="C26" s="1114" t="s">
        <v>1452</v>
      </c>
      <c r="D26" s="1115"/>
      <c r="E26" s="1137">
        <v>1.1000000000000001</v>
      </c>
      <c r="F26" s="1116"/>
      <c r="G26" s="1117"/>
      <c r="H26" s="1088"/>
      <c r="I26" s="1088"/>
    </row>
    <row r="27" spans="1:9" s="1530" customFormat="1" ht="19.5" customHeight="1">
      <c r="A27" s="3518"/>
      <c r="B27" s="3518"/>
      <c r="C27" s="1114" t="s">
        <v>1453</v>
      </c>
      <c r="D27" s="1115"/>
      <c r="E27" s="1137">
        <v>0.9</v>
      </c>
      <c r="F27" s="1116" t="s">
        <v>1454</v>
      </c>
      <c r="G27" s="1117"/>
      <c r="H27" s="1088"/>
      <c r="I27" s="1088"/>
    </row>
    <row r="28" spans="1:9" s="1530" customFormat="1" ht="19.5" customHeight="1">
      <c r="A28" s="3518"/>
      <c r="B28" s="3518"/>
      <c r="C28" s="1114" t="s">
        <v>1455</v>
      </c>
      <c r="D28" s="1115"/>
      <c r="E28" s="1137">
        <v>0.9</v>
      </c>
      <c r="F28" s="1116" t="s">
        <v>1456</v>
      </c>
      <c r="G28" s="1117"/>
      <c r="H28" s="1088"/>
      <c r="I28" s="1088"/>
    </row>
    <row r="29" spans="1:9" s="1530" customFormat="1" ht="19.5" customHeight="1">
      <c r="A29" s="3518"/>
      <c r="B29" s="3518"/>
      <c r="C29" s="1114" t="s">
        <v>1457</v>
      </c>
      <c r="D29" s="1115"/>
      <c r="E29" s="1137">
        <v>0.9</v>
      </c>
      <c r="F29" s="1116" t="s">
        <v>1458</v>
      </c>
      <c r="G29" s="1117"/>
      <c r="H29" s="1088"/>
      <c r="I29" s="1088"/>
    </row>
    <row r="30" spans="1:9" s="1530" customFormat="1" ht="19.5" customHeight="1">
      <c r="A30" s="3518"/>
      <c r="B30" s="3518"/>
      <c r="C30" s="1114" t="s">
        <v>1459</v>
      </c>
      <c r="D30" s="1115"/>
      <c r="E30" s="1137">
        <v>0.9</v>
      </c>
      <c r="F30" s="1116" t="s">
        <v>1460</v>
      </c>
      <c r="G30" s="1117"/>
      <c r="H30" s="1088"/>
      <c r="I30" s="1088"/>
    </row>
    <row r="31" spans="1:9" s="1530" customFormat="1" ht="19.5" customHeight="1">
      <c r="A31" s="3518"/>
      <c r="B31" s="3518"/>
      <c r="C31" s="1114" t="s">
        <v>1461</v>
      </c>
      <c r="D31" s="1115"/>
      <c r="E31" s="1137">
        <v>0.8</v>
      </c>
      <c r="F31" s="1116" t="s">
        <v>1462</v>
      </c>
      <c r="G31" s="1117"/>
      <c r="H31" s="1088"/>
      <c r="I31" s="1088"/>
    </row>
    <row r="32" spans="1:9" s="1530" customFormat="1" ht="19.5" customHeight="1">
      <c r="A32" s="3518"/>
      <c r="B32" s="3518"/>
      <c r="C32" s="1114" t="s">
        <v>1463</v>
      </c>
      <c r="D32" s="1115"/>
      <c r="E32" s="1137">
        <v>0.8</v>
      </c>
      <c r="F32" s="1116" t="s">
        <v>1464</v>
      </c>
      <c r="G32" s="1117"/>
      <c r="H32" s="1088"/>
      <c r="I32" s="1088"/>
    </row>
    <row r="33" spans="1:9" s="1530" customFormat="1" ht="19.5" customHeight="1">
      <c r="A33" s="3518" t="s">
        <v>1465</v>
      </c>
      <c r="B33" s="1137" t="s">
        <v>1437</v>
      </c>
      <c r="C33" s="1114" t="s">
        <v>1466</v>
      </c>
      <c r="D33" s="1115"/>
      <c r="E33" s="1137">
        <v>1</v>
      </c>
      <c r="F33" s="1116" t="s">
        <v>1467</v>
      </c>
      <c r="G33" s="1117"/>
      <c r="H33" s="1088"/>
      <c r="I33" s="1088"/>
    </row>
    <row r="34" spans="1:9" s="1530" customFormat="1" ht="19.5" customHeight="1">
      <c r="A34" s="3518"/>
      <c r="B34" s="1137" t="s">
        <v>1440</v>
      </c>
      <c r="C34" s="1114" t="s">
        <v>1468</v>
      </c>
      <c r="D34" s="1115"/>
      <c r="E34" s="1137">
        <v>1.5</v>
      </c>
      <c r="F34" s="1116" t="s">
        <v>1469</v>
      </c>
      <c r="G34" s="1117"/>
      <c r="H34" s="1088"/>
      <c r="I34" s="1088"/>
    </row>
    <row r="35" spans="1:9" s="1530" customFormat="1" ht="19.5" customHeight="1">
      <c r="A35" s="3518" t="s">
        <v>1423</v>
      </c>
      <c r="B35" s="1137" t="s">
        <v>1437</v>
      </c>
      <c r="C35" s="1114" t="s">
        <v>1470</v>
      </c>
      <c r="D35" s="1115"/>
      <c r="E35" s="1137">
        <v>1</v>
      </c>
      <c r="F35" s="1116" t="s">
        <v>1471</v>
      </c>
      <c r="G35" s="1117"/>
      <c r="H35" s="1088"/>
      <c r="I35" s="1088"/>
    </row>
    <row r="36" spans="1:9" s="1530" customFormat="1" ht="19.5" customHeight="1">
      <c r="A36" s="3518"/>
      <c r="B36" s="3518" t="s">
        <v>1440</v>
      </c>
      <c r="C36" s="1114" t="s">
        <v>1472</v>
      </c>
      <c r="D36" s="1115"/>
      <c r="E36" s="1137">
        <v>1</v>
      </c>
      <c r="F36" s="1116" t="s">
        <v>1473</v>
      </c>
      <c r="G36" s="1117"/>
      <c r="H36" s="1088"/>
      <c r="I36" s="1088"/>
    </row>
    <row r="37" spans="1:9" s="1530" customFormat="1" ht="19.5" customHeight="1">
      <c r="A37" s="3518"/>
      <c r="B37" s="3518"/>
      <c r="C37" s="1114" t="s">
        <v>1474</v>
      </c>
      <c r="D37" s="1115"/>
      <c r="E37" s="1137">
        <v>1.5</v>
      </c>
      <c r="F37" s="1116" t="s">
        <v>1475</v>
      </c>
      <c r="G37" s="1117"/>
      <c r="H37" s="1088"/>
      <c r="I37" s="1088"/>
    </row>
    <row r="38" spans="1:9" s="1530" customFormat="1" ht="19.5" customHeight="1">
      <c r="A38" s="3518"/>
      <c r="B38" s="3518"/>
      <c r="C38" s="1114" t="s">
        <v>1476</v>
      </c>
      <c r="D38" s="1115"/>
      <c r="E38" s="1137">
        <v>1</v>
      </c>
      <c r="F38" s="1116" t="s">
        <v>1477</v>
      </c>
      <c r="G38" s="1117"/>
      <c r="H38" s="1088"/>
      <c r="I38" s="1088"/>
    </row>
    <row r="39" spans="1:9" s="1530" customFormat="1" ht="19.5" customHeight="1">
      <c r="A39" s="3518"/>
      <c r="B39" s="351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8" t="s">
        <v>1492</v>
      </c>
      <c r="C61" s="1051" t="s">
        <v>1493</v>
      </c>
      <c r="D61" s="1051" t="s">
        <v>1494</v>
      </c>
      <c r="E61" s="1122">
        <v>0.5</v>
      </c>
      <c r="F61" s="1137">
        <v>80</v>
      </c>
      <c r="H61" s="1088">
        <f>SUMIF(C59:C119,'基准地价-商业'!C8,E59:E119)</f>
        <v>0</v>
      </c>
    </row>
    <row r="62" spans="1:8" s="1088" customFormat="1" ht="24">
      <c r="A62" s="1137">
        <v>2</v>
      </c>
      <c r="B62" s="3518"/>
      <c r="C62" s="1051" t="s">
        <v>1495</v>
      </c>
      <c r="D62" s="1051" t="s">
        <v>1496</v>
      </c>
      <c r="E62" s="1122">
        <v>0.5</v>
      </c>
      <c r="F62" s="1137">
        <v>80</v>
      </c>
    </row>
    <row r="63" spans="1:8" s="1088" customFormat="1" ht="36">
      <c r="A63" s="1137">
        <v>3</v>
      </c>
      <c r="B63" s="3518"/>
      <c r="C63" s="1051" t="s">
        <v>1497</v>
      </c>
      <c r="D63" s="1051" t="s">
        <v>1498</v>
      </c>
      <c r="E63" s="1122">
        <v>0.5</v>
      </c>
      <c r="F63" s="1137">
        <v>80</v>
      </c>
    </row>
    <row r="64" spans="1:8" s="1088" customFormat="1" ht="36">
      <c r="A64" s="1137">
        <v>4</v>
      </c>
      <c r="B64" s="3518"/>
      <c r="C64" s="1051" t="s">
        <v>1499</v>
      </c>
      <c r="D64" s="1051" t="s">
        <v>1500</v>
      </c>
      <c r="E64" s="1122">
        <v>0.4</v>
      </c>
      <c r="F64" s="1137">
        <v>60</v>
      </c>
    </row>
    <row r="65" spans="1:6" s="1088" customFormat="1" ht="36">
      <c r="A65" s="1137">
        <v>5</v>
      </c>
      <c r="B65" s="3518"/>
      <c r="C65" s="1051" t="s">
        <v>1501</v>
      </c>
      <c r="D65" s="1051" t="s">
        <v>1502</v>
      </c>
      <c r="E65" s="1122">
        <v>0.2</v>
      </c>
      <c r="F65" s="1137">
        <v>30</v>
      </c>
    </row>
    <row r="66" spans="1:6" s="1088" customFormat="1" ht="36">
      <c r="A66" s="1137">
        <v>6</v>
      </c>
      <c r="B66" s="3518"/>
      <c r="C66" s="1051" t="s">
        <v>1503</v>
      </c>
      <c r="D66" s="1051" t="s">
        <v>1504</v>
      </c>
      <c r="E66" s="1122">
        <v>0.3</v>
      </c>
      <c r="F66" s="1137">
        <v>50</v>
      </c>
    </row>
    <row r="67" spans="1:6" s="1088" customFormat="1" ht="36">
      <c r="A67" s="1137">
        <v>7</v>
      </c>
      <c r="B67" s="3518"/>
      <c r="C67" s="1051" t="s">
        <v>1505</v>
      </c>
      <c r="D67" s="1051" t="s">
        <v>1506</v>
      </c>
      <c r="E67" s="1122">
        <v>0.2</v>
      </c>
      <c r="F67" s="1137">
        <v>30</v>
      </c>
    </row>
    <row r="68" spans="1:6" s="1088" customFormat="1" ht="36">
      <c r="A68" s="1137">
        <v>8</v>
      </c>
      <c r="B68" s="3518"/>
      <c r="C68" s="1051" t="s">
        <v>1507</v>
      </c>
      <c r="D68" s="1051" t="s">
        <v>1508</v>
      </c>
      <c r="E68" s="1122">
        <v>0.2</v>
      </c>
      <c r="F68" s="1137">
        <v>30</v>
      </c>
    </row>
    <row r="69" spans="1:6" s="1088" customFormat="1" ht="36">
      <c r="A69" s="1137">
        <v>9</v>
      </c>
      <c r="B69" s="3518"/>
      <c r="C69" s="1051" t="s">
        <v>1509</v>
      </c>
      <c r="D69" s="1051" t="s">
        <v>1510</v>
      </c>
      <c r="E69" s="1122">
        <v>0.2</v>
      </c>
      <c r="F69" s="1137">
        <v>30</v>
      </c>
    </row>
    <row r="70" spans="1:6" s="1088" customFormat="1" ht="48">
      <c r="A70" s="1137">
        <v>10</v>
      </c>
      <c r="B70" s="3518"/>
      <c r="C70" s="1051" t="s">
        <v>1511</v>
      </c>
      <c r="D70" s="1051" t="s">
        <v>1512</v>
      </c>
      <c r="E70" s="1122">
        <v>0.2</v>
      </c>
      <c r="F70" s="1137">
        <v>30</v>
      </c>
    </row>
    <row r="71" spans="1:6" s="1088" customFormat="1" ht="48">
      <c r="A71" s="1137">
        <v>11</v>
      </c>
      <c r="B71" s="3518"/>
      <c r="C71" s="1051" t="s">
        <v>1513</v>
      </c>
      <c r="D71" s="1051" t="s">
        <v>1514</v>
      </c>
      <c r="E71" s="1122">
        <v>0.2</v>
      </c>
      <c r="F71" s="1137">
        <v>30</v>
      </c>
    </row>
    <row r="72" spans="1:6" s="1088" customFormat="1" ht="36">
      <c r="A72" s="1137">
        <v>12</v>
      </c>
      <c r="B72" s="3518"/>
      <c r="C72" s="1051" t="s">
        <v>1515</v>
      </c>
      <c r="D72" s="1051" t="s">
        <v>1516</v>
      </c>
      <c r="E72" s="1122">
        <v>0.5</v>
      </c>
      <c r="F72" s="1137">
        <v>80</v>
      </c>
    </row>
    <row r="73" spans="1:6" s="1088" customFormat="1" ht="24">
      <c r="A73" s="1137">
        <v>13</v>
      </c>
      <c r="B73" s="3518"/>
      <c r="C73" s="1051" t="s">
        <v>1517</v>
      </c>
      <c r="D73" s="1051" t="s">
        <v>1518</v>
      </c>
      <c r="E73" s="1122">
        <v>0.4</v>
      </c>
      <c r="F73" s="1137">
        <v>60</v>
      </c>
    </row>
    <row r="74" spans="1:6" s="1088" customFormat="1" ht="24">
      <c r="A74" s="1137">
        <v>14</v>
      </c>
      <c r="B74" s="3518"/>
      <c r="C74" s="1051" t="s">
        <v>1519</v>
      </c>
      <c r="D74" s="1051" t="s">
        <v>1520</v>
      </c>
      <c r="E74" s="1122">
        <v>0.2</v>
      </c>
      <c r="F74" s="1137">
        <v>30</v>
      </c>
    </row>
    <row r="75" spans="1:6" s="1088" customFormat="1" ht="24">
      <c r="A75" s="1137">
        <v>15</v>
      </c>
      <c r="B75" s="3518"/>
      <c r="C75" s="1051" t="s">
        <v>1521</v>
      </c>
      <c r="D75" s="1051" t="s">
        <v>1522</v>
      </c>
      <c r="E75" s="1122">
        <v>0.2</v>
      </c>
      <c r="F75" s="1137">
        <v>30</v>
      </c>
    </row>
    <row r="76" spans="1:6" s="1088" customFormat="1" ht="24">
      <c r="A76" s="1137">
        <v>16</v>
      </c>
      <c r="B76" s="3518" t="s">
        <v>1523</v>
      </c>
      <c r="C76" s="1051" t="s">
        <v>1524</v>
      </c>
      <c r="D76" s="1051" t="s">
        <v>1525</v>
      </c>
      <c r="E76" s="1122">
        <v>0.5</v>
      </c>
      <c r="F76" s="1137">
        <v>80</v>
      </c>
    </row>
    <row r="77" spans="1:6" s="1088" customFormat="1" ht="24">
      <c r="A77" s="1137">
        <v>17</v>
      </c>
      <c r="B77" s="3518"/>
      <c r="C77" s="1051" t="s">
        <v>1526</v>
      </c>
      <c r="D77" s="1051" t="s">
        <v>1527</v>
      </c>
      <c r="E77" s="1122">
        <v>0.5</v>
      </c>
      <c r="F77" s="1137">
        <v>80</v>
      </c>
    </row>
    <row r="78" spans="1:6" s="1088" customFormat="1" ht="24">
      <c r="A78" s="1137">
        <v>18</v>
      </c>
      <c r="B78" s="3518"/>
      <c r="C78" s="1051" t="s">
        <v>1528</v>
      </c>
      <c r="D78" s="1051" t="s">
        <v>1529</v>
      </c>
      <c r="E78" s="1122">
        <v>0.2</v>
      </c>
      <c r="F78" s="1137">
        <v>30</v>
      </c>
    </row>
    <row r="79" spans="1:6" s="1088" customFormat="1" ht="24">
      <c r="A79" s="1137">
        <v>19</v>
      </c>
      <c r="B79" s="3518"/>
      <c r="C79" s="1051" t="s">
        <v>1530</v>
      </c>
      <c r="D79" s="1051" t="s">
        <v>1531</v>
      </c>
      <c r="E79" s="1122">
        <v>0.5</v>
      </c>
      <c r="F79" s="1137">
        <v>80</v>
      </c>
    </row>
    <row r="80" spans="1:6" s="1088" customFormat="1" ht="36">
      <c r="A80" s="1137">
        <v>20</v>
      </c>
      <c r="B80" s="3518"/>
      <c r="C80" s="1051" t="s">
        <v>1532</v>
      </c>
      <c r="D80" s="1051" t="s">
        <v>1533</v>
      </c>
      <c r="E80" s="1122">
        <v>0.2</v>
      </c>
      <c r="F80" s="1137">
        <v>30</v>
      </c>
    </row>
    <row r="81" spans="1:6" s="1088" customFormat="1" ht="36">
      <c r="A81" s="1137">
        <v>21</v>
      </c>
      <c r="B81" s="3518"/>
      <c r="C81" s="1051" t="s">
        <v>1534</v>
      </c>
      <c r="D81" s="1051" t="s">
        <v>1535</v>
      </c>
      <c r="E81" s="1122">
        <v>0.2</v>
      </c>
      <c r="F81" s="1137">
        <v>30</v>
      </c>
    </row>
    <row r="82" spans="1:6" s="1088" customFormat="1" ht="48">
      <c r="A82" s="1137">
        <v>22</v>
      </c>
      <c r="B82" s="3518"/>
      <c r="C82" s="1051" t="s">
        <v>1536</v>
      </c>
      <c r="D82" s="1051" t="s">
        <v>1537</v>
      </c>
      <c r="E82" s="1122">
        <v>0.2</v>
      </c>
      <c r="F82" s="1137">
        <v>30</v>
      </c>
    </row>
    <row r="83" spans="1:6" s="1088" customFormat="1" ht="48">
      <c r="A83" s="1137">
        <v>23</v>
      </c>
      <c r="B83" s="3518"/>
      <c r="C83" s="1051" t="s">
        <v>1538</v>
      </c>
      <c r="D83" s="1051" t="s">
        <v>1539</v>
      </c>
      <c r="E83" s="1122">
        <v>0.2</v>
      </c>
      <c r="F83" s="1137">
        <v>30</v>
      </c>
    </row>
    <row r="84" spans="1:6" s="1088" customFormat="1" ht="36">
      <c r="A84" s="1137">
        <v>24</v>
      </c>
      <c r="B84" s="3518"/>
      <c r="C84" s="1051" t="s">
        <v>1540</v>
      </c>
      <c r="D84" s="1051" t="s">
        <v>1541</v>
      </c>
      <c r="E84" s="1122">
        <v>0.2</v>
      </c>
      <c r="F84" s="1137">
        <v>30</v>
      </c>
    </row>
    <row r="85" spans="1:6" s="1088" customFormat="1" ht="36">
      <c r="A85" s="1137">
        <v>25</v>
      </c>
      <c r="B85" s="3518"/>
      <c r="C85" s="1051" t="s">
        <v>1542</v>
      </c>
      <c r="D85" s="1051" t="s">
        <v>1543</v>
      </c>
      <c r="E85" s="1122">
        <v>0.5</v>
      </c>
      <c r="F85" s="1137">
        <v>80</v>
      </c>
    </row>
    <row r="86" spans="1:6" s="1088" customFormat="1" ht="36">
      <c r="A86" s="1137">
        <v>26</v>
      </c>
      <c r="B86" s="3518"/>
      <c r="C86" s="1051" t="s">
        <v>1544</v>
      </c>
      <c r="D86" s="1051" t="s">
        <v>1545</v>
      </c>
      <c r="E86" s="1122">
        <v>0.2</v>
      </c>
      <c r="F86" s="1137">
        <v>30</v>
      </c>
    </row>
    <row r="87" spans="1:6" s="1088" customFormat="1" ht="36">
      <c r="A87" s="1137">
        <v>27</v>
      </c>
      <c r="B87" s="3518"/>
      <c r="C87" s="1051" t="s">
        <v>1546</v>
      </c>
      <c r="D87" s="1051" t="s">
        <v>1547</v>
      </c>
      <c r="E87" s="1122">
        <v>0.2</v>
      </c>
      <c r="F87" s="1137">
        <v>30</v>
      </c>
    </row>
    <row r="88" spans="1:6" s="1088" customFormat="1" ht="36">
      <c r="A88" s="1137">
        <v>28</v>
      </c>
      <c r="B88" s="3518"/>
      <c r="C88" s="1051" t="s">
        <v>1548</v>
      </c>
      <c r="D88" s="1051" t="s">
        <v>1549</v>
      </c>
      <c r="E88" s="1122">
        <v>0.2</v>
      </c>
      <c r="F88" s="1137">
        <v>30</v>
      </c>
    </row>
    <row r="89" spans="1:6" s="1088" customFormat="1" ht="24">
      <c r="A89" s="1137">
        <v>29</v>
      </c>
      <c r="B89" s="3518"/>
      <c r="C89" s="1051" t="s">
        <v>1550</v>
      </c>
      <c r="D89" s="1051" t="s">
        <v>1551</v>
      </c>
      <c r="E89" s="1122">
        <v>0.2</v>
      </c>
      <c r="F89" s="1137">
        <v>30</v>
      </c>
    </row>
    <row r="90" spans="1:6" s="1088" customFormat="1" ht="24">
      <c r="A90" s="1137">
        <v>30</v>
      </c>
      <c r="B90" s="3518"/>
      <c r="C90" s="1051" t="s">
        <v>1552</v>
      </c>
      <c r="D90" s="1051" t="s">
        <v>1553</v>
      </c>
      <c r="E90" s="1122">
        <v>0.2</v>
      </c>
      <c r="F90" s="1137">
        <v>30</v>
      </c>
    </row>
    <row r="91" spans="1:6" s="1088" customFormat="1" ht="36">
      <c r="A91" s="1137">
        <v>31</v>
      </c>
      <c r="B91" s="3518"/>
      <c r="C91" s="1051" t="s">
        <v>1554</v>
      </c>
      <c r="D91" s="1051" t="s">
        <v>1555</v>
      </c>
      <c r="E91" s="1122">
        <v>0.2</v>
      </c>
      <c r="F91" s="1137">
        <v>30</v>
      </c>
    </row>
    <row r="92" spans="1:6" s="1088" customFormat="1" ht="24">
      <c r="A92" s="1137">
        <v>32</v>
      </c>
      <c r="B92" s="3518" t="s">
        <v>1556</v>
      </c>
      <c r="C92" s="1137" t="s">
        <v>1557</v>
      </c>
      <c r="D92" s="1051" t="s">
        <v>1558</v>
      </c>
      <c r="E92" s="1122">
        <v>0.2</v>
      </c>
      <c r="F92" s="1137">
        <v>30</v>
      </c>
    </row>
    <row r="93" spans="1:6" s="1088" customFormat="1" ht="36">
      <c r="A93" s="1137">
        <v>33</v>
      </c>
      <c r="B93" s="3518"/>
      <c r="C93" s="1137" t="s">
        <v>1559</v>
      </c>
      <c r="D93" s="1051" t="s">
        <v>1560</v>
      </c>
      <c r="E93" s="1122">
        <v>0.2</v>
      </c>
      <c r="F93" s="1137">
        <v>30</v>
      </c>
    </row>
    <row r="94" spans="1:6" s="1088" customFormat="1" ht="48">
      <c r="A94" s="1137">
        <v>34</v>
      </c>
      <c r="B94" s="3518"/>
      <c r="C94" s="1137" t="s">
        <v>1561</v>
      </c>
      <c r="D94" s="1051" t="s">
        <v>1562</v>
      </c>
      <c r="E94" s="1122">
        <v>0.2</v>
      </c>
      <c r="F94" s="1137">
        <v>30</v>
      </c>
    </row>
    <row r="95" spans="1:6" s="1088" customFormat="1" ht="36">
      <c r="A95" s="1137">
        <v>35</v>
      </c>
      <c r="B95" s="3518"/>
      <c r="C95" s="1137" t="s">
        <v>1563</v>
      </c>
      <c r="D95" s="1051" t="s">
        <v>1564</v>
      </c>
      <c r="E95" s="1122">
        <v>0.2</v>
      </c>
      <c r="F95" s="1137">
        <v>30</v>
      </c>
    </row>
    <row r="96" spans="1:6" s="1088" customFormat="1" ht="48">
      <c r="A96" s="1137">
        <v>36</v>
      </c>
      <c r="B96" s="3518"/>
      <c r="C96" s="1051" t="s">
        <v>1565</v>
      </c>
      <c r="D96" s="1051" t="s">
        <v>1566</v>
      </c>
      <c r="E96" s="1122">
        <v>0.2</v>
      </c>
      <c r="F96" s="1137">
        <v>30</v>
      </c>
    </row>
    <row r="97" spans="1:6" s="1088" customFormat="1" ht="36">
      <c r="A97" s="1137">
        <v>37</v>
      </c>
      <c r="B97" s="3518"/>
      <c r="C97" s="1137" t="s">
        <v>1567</v>
      </c>
      <c r="D97" s="1051" t="s">
        <v>1568</v>
      </c>
      <c r="E97" s="1122">
        <v>0.2</v>
      </c>
      <c r="F97" s="1137">
        <v>30</v>
      </c>
    </row>
    <row r="98" spans="1:6" s="1088" customFormat="1" ht="36">
      <c r="A98" s="1137">
        <v>38</v>
      </c>
      <c r="B98" s="3518"/>
      <c r="C98" s="1137" t="s">
        <v>1569</v>
      </c>
      <c r="D98" s="1051" t="s">
        <v>1570</v>
      </c>
      <c r="E98" s="1122">
        <v>0.2</v>
      </c>
      <c r="F98" s="1137">
        <v>30</v>
      </c>
    </row>
    <row r="99" spans="1:6" s="1088" customFormat="1" ht="36">
      <c r="A99" s="1137">
        <v>39</v>
      </c>
      <c r="B99" s="3518" t="s">
        <v>1571</v>
      </c>
      <c r="C99" s="1137" t="s">
        <v>1572</v>
      </c>
      <c r="D99" s="1051" t="s">
        <v>1573</v>
      </c>
      <c r="E99" s="1122">
        <v>0.3</v>
      </c>
      <c r="F99" s="1137">
        <v>50</v>
      </c>
    </row>
    <row r="100" spans="1:6" s="1088" customFormat="1" ht="24">
      <c r="A100" s="1137">
        <v>40</v>
      </c>
      <c r="B100" s="3518"/>
      <c r="C100" s="1137" t="s">
        <v>1574</v>
      </c>
      <c r="D100" s="1051" t="s">
        <v>1575</v>
      </c>
      <c r="E100" s="1122">
        <v>0.2</v>
      </c>
      <c r="F100" s="1137">
        <v>30</v>
      </c>
    </row>
    <row r="101" spans="1:6" s="1088" customFormat="1" ht="36">
      <c r="A101" s="1137">
        <v>41</v>
      </c>
      <c r="B101" s="351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8" t="s">
        <v>1586</v>
      </c>
      <c r="C105" s="1137" t="s">
        <v>1587</v>
      </c>
      <c r="D105" s="1051" t="s">
        <v>1588</v>
      </c>
      <c r="E105" s="1122">
        <v>0.2</v>
      </c>
      <c r="F105" s="1137">
        <v>30</v>
      </c>
    </row>
    <row r="106" spans="1:6" s="1088" customFormat="1" ht="36">
      <c r="A106" s="1137">
        <v>46</v>
      </c>
      <c r="B106" s="3518"/>
      <c r="C106" s="1137" t="s">
        <v>1589</v>
      </c>
      <c r="D106" s="1051" t="s">
        <v>1590</v>
      </c>
      <c r="E106" s="1122">
        <v>0.2</v>
      </c>
      <c r="F106" s="1137">
        <v>30</v>
      </c>
    </row>
    <row r="107" spans="1:6" s="1088" customFormat="1" ht="36">
      <c r="A107" s="1137">
        <v>47</v>
      </c>
      <c r="B107" s="3518" t="s">
        <v>1591</v>
      </c>
      <c r="C107" s="1137" t="s">
        <v>1592</v>
      </c>
      <c r="D107" s="1051" t="s">
        <v>1593</v>
      </c>
      <c r="E107" s="1122">
        <v>0.3</v>
      </c>
      <c r="F107" s="1137">
        <v>50</v>
      </c>
    </row>
    <row r="108" spans="1:6" s="1088" customFormat="1" ht="36">
      <c r="A108" s="1137">
        <v>48</v>
      </c>
      <c r="B108" s="351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8" t="s">
        <v>1602</v>
      </c>
      <c r="C111" s="1137" t="s">
        <v>1603</v>
      </c>
      <c r="D111" s="1051" t="s">
        <v>1604</v>
      </c>
      <c r="E111" s="1122">
        <v>0.2</v>
      </c>
      <c r="F111" s="1137">
        <v>30</v>
      </c>
    </row>
    <row r="112" spans="1:6" s="1088" customFormat="1" ht="24">
      <c r="A112" s="1137">
        <v>52</v>
      </c>
      <c r="B112" s="3518"/>
      <c r="C112" s="1137" t="s">
        <v>1605</v>
      </c>
      <c r="D112" s="1051" t="s">
        <v>1606</v>
      </c>
      <c r="E112" s="1122">
        <v>0.2</v>
      </c>
      <c r="F112" s="1137">
        <v>30</v>
      </c>
    </row>
    <row r="113" spans="1:14" s="1088" customFormat="1" ht="24">
      <c r="A113" s="1137">
        <v>53</v>
      </c>
      <c r="B113" s="351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8" t="s">
        <v>1615</v>
      </c>
      <c r="C116" s="1137" t="s">
        <v>1616</v>
      </c>
      <c r="D116" s="1051" t="s">
        <v>1617</v>
      </c>
      <c r="E116" s="1122">
        <v>0.2</v>
      </c>
      <c r="F116" s="1137">
        <v>30</v>
      </c>
    </row>
    <row r="117" spans="1:14" ht="36">
      <c r="A117" s="1137">
        <v>57</v>
      </c>
      <c r="B117" s="351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7" t="s">
        <v>1624</v>
      </c>
      <c r="B121" s="3517"/>
      <c r="C121" s="3517"/>
      <c r="D121" s="3517"/>
      <c r="E121" s="3517"/>
      <c r="F121" s="3517"/>
      <c r="G121" s="3517"/>
      <c r="H121" s="3517"/>
      <c r="I121" s="3517"/>
      <c r="J121" s="351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2" t="s">
        <v>1030</v>
      </c>
      <c r="B1" s="3532"/>
      <c r="C1" s="3532"/>
      <c r="D1" s="3532"/>
      <c r="E1" s="3532"/>
      <c r="F1" s="353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3" t="s">
        <v>1043</v>
      </c>
      <c r="B2" s="3533"/>
      <c r="C2" s="3533"/>
      <c r="D2" s="3533"/>
      <c r="E2" s="3533"/>
      <c r="F2" s="353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SUMPRODUCT((B5:B9='基准地价-商业'!I2)*(C3:F3='基准地价-商业'!E2)*(C5:F9))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SUMPRODUCT((B10:B28='基准地价-商业'!I2)*(C3:F3='基准地价-商业'!E2)*(C10:F28))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SUMPRODUCT((B29:B48='基准地价-商业'!I2)*(C3:F3='基准地价-商业'!E2)*(C29:F48))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SUMPRODUCT((B49:B75='基准地价-商业'!I2)*(C3:F3='基准地价-商业'!E2)*(C49:F75))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SUMPRODUCT((B76:B109='基准地价-商业'!I2)*(C3:F3='基准地价-商业'!E2)*(C76:F109))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SUMPRODUCT((B110:B157='基准地价-商业'!I2)*(C3:F3='基准地价-商业'!E2)*(C110:F157))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SUMPRODUCT((B158:B205='基准地价-商业'!I2)*(C3:F3='基准地价-商业'!E2)*(C158:F205))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SUMPRODUCT((B206:B244='基准地价-商业'!I2)*(C3:F3='基准地价-商业'!E2)*(C206:F244))</f>
        <v>5730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SUMPRODUCT((B245:B289='基准地价-商业'!I2)*(C3:F3='基准地价-商业'!E2)*(C245:F289))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SUMPRODUCT((B290:B316='基准地价-商业'!I2)*(C3:F3='基准地价-商业'!E2)*(C290:F316))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SUMPRODUCT((B317:B337='基准地价-商业'!I2)*(C3:F3='基准地价-商业'!E2)*(C317:F337))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SUMPRODUCT((B338:B344='基准地价-商业'!I2)*(C3:F3='基准地价-商业'!E2)*(C338:F344))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SUMPRODUCT((A105:A204=ROUNDDOWN('基准地价-商业'!G3,1))*(B104:M104='基准地价-商业'!G2)*(B105:M204))</f>
        <v>0.89119999999999999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6" t="s">
        <v>2068</v>
      </c>
      <c r="B1" s="353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2" zoomScale="85" zoomScaleNormal="60" zoomScaleSheetLayoutView="85" workbookViewId="0">
      <selection activeCell="C26" sqref="C2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982</v>
      </c>
      <c r="D1" s="1461">
        <f ca="1">SUM(D29:D30,D33:D39)</f>
        <v>8723</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1626</v>
      </c>
      <c r="T1" s="2653" t="s">
        <v>2764</v>
      </c>
      <c r="U1" s="2653" t="s">
        <v>2765</v>
      </c>
      <c r="V1" s="2653" t="s">
        <v>983</v>
      </c>
      <c r="W1" s="2070"/>
      <c r="X1" s="2070"/>
      <c r="Y1" s="2070"/>
      <c r="Z1" s="2070"/>
      <c r="AA1" s="2070"/>
      <c r="AB1" s="2070"/>
      <c r="AC1" s="2071"/>
    </row>
    <row r="2" spans="1:39" ht="15.75">
      <c r="A2" s="1355" t="s">
        <v>911</v>
      </c>
      <c r="B2" s="1025">
        <f ca="1">C26</f>
        <v>4869</v>
      </c>
      <c r="C2" s="1356" t="s">
        <v>912</v>
      </c>
      <c r="D2" s="1357" t="s">
        <v>889</v>
      </c>
      <c r="E2" s="1358" t="s">
        <v>1668</v>
      </c>
      <c r="F2" s="1357" t="s">
        <v>890</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15206</v>
      </c>
      <c r="U2" s="2643"/>
      <c r="V2" s="2654">
        <f ca="1">ROUND(T2*U2/10000,0)</f>
        <v>0</v>
      </c>
      <c r="W2" s="2070"/>
      <c r="X2" s="2070"/>
      <c r="Y2" s="2070"/>
      <c r="Z2" s="2070"/>
      <c r="AA2" s="2070"/>
      <c r="AB2" s="2070"/>
      <c r="AC2" s="2071"/>
    </row>
    <row r="3" spans="1:39" ht="24">
      <c r="A3" s="1360" t="s">
        <v>1678</v>
      </c>
      <c r="B3" s="1025">
        <f ca="1">ROUND(B2*10000/D1,0)</f>
        <v>5582</v>
      </c>
      <c r="C3" s="1356" t="s">
        <v>918</v>
      </c>
      <c r="D3" s="1357" t="s">
        <v>919</v>
      </c>
      <c r="E3" s="1361" t="s">
        <v>3018</v>
      </c>
      <c r="F3" s="1362" t="s">
        <v>3017</v>
      </c>
      <c r="G3" s="1026">
        <f>IF(F3="宗地容积率",'数据-汇总表'!I4,IF(F3="估价对象容积率",'数据-汇总表'!I6,'数据-汇总表'!I7))</f>
        <v>2.8</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10021</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7886</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5680</v>
      </c>
      <c r="D5" s="2793">
        <f>ROUND(C6+C16,0)</f>
        <v>5680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5892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SUMIF(L1:L12,'基准地价-办公'!G2,M1:M12)</f>
        <v>5680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4431</v>
      </c>
      <c r="U6" s="2643"/>
      <c r="V6" s="2654">
        <f t="shared" ca="1" si="1"/>
        <v>0</v>
      </c>
      <c r="W6" s="2070"/>
      <c r="X6" s="2070"/>
      <c r="Y6" s="2070"/>
      <c r="Z6" s="2070"/>
      <c r="AA6" s="2070"/>
      <c r="AB6" s="2070"/>
      <c r="AC6" s="2072"/>
      <c r="AD6" s="1368"/>
      <c r="AE6" s="1368"/>
      <c r="AF6" s="1368"/>
      <c r="AG6" s="1368"/>
      <c r="AH6" s="1368"/>
      <c r="AI6" s="1368"/>
      <c r="AJ6" s="1369"/>
    </row>
    <row r="7" spans="1:39" ht="24">
      <c r="A7" s="3512"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3543</v>
      </c>
      <c r="U7" s="2643"/>
      <c r="V7" s="2654">
        <f t="shared" ca="1" si="1"/>
        <v>0</v>
      </c>
      <c r="W7" s="3280" t="s">
        <v>2745</v>
      </c>
      <c r="X7" s="2644" t="str">
        <f>G2</f>
        <v>八级</v>
      </c>
      <c r="Y7" s="2644" t="s">
        <v>2746</v>
      </c>
      <c r="Z7" s="2645">
        <f>G3</f>
        <v>2.8</v>
      </c>
      <c r="AA7" s="2073"/>
      <c r="AB7" s="2073"/>
      <c r="AC7" s="2074"/>
      <c r="AD7" s="2646"/>
      <c r="AE7" s="2646"/>
      <c r="AF7" s="2646"/>
      <c r="AG7" s="2646"/>
      <c r="AH7" s="2646"/>
      <c r="AI7" s="2646"/>
      <c r="AJ7" s="2647"/>
    </row>
    <row r="8" spans="1:39" ht="15">
      <c r="A8" s="3513"/>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5680</v>
      </c>
      <c r="N8" s="1801">
        <f>SUMPRODUCT((因素修正幅度!B206:B244=I2)*(因素修正幅度!C3:F3=E2)*(因素修正幅度!C206:F244))</f>
        <v>0.15</v>
      </c>
      <c r="O8" s="3235"/>
      <c r="P8" s="2070"/>
      <c r="Q8" s="2070"/>
      <c r="R8" s="2654">
        <v>7</v>
      </c>
      <c r="S8" s="2643"/>
      <c r="T8" s="2654">
        <f t="shared" ca="1" si="0"/>
        <v>0</v>
      </c>
      <c r="U8" s="2643"/>
      <c r="V8" s="2654">
        <f t="shared" ca="1" si="1"/>
        <v>0</v>
      </c>
      <c r="W8" s="3523" t="s">
        <v>2763</v>
      </c>
      <c r="X8" s="352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13"/>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22"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13"/>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2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13"/>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22" t="s">
        <v>2761</v>
      </c>
      <c r="X11" s="1035" t="s">
        <v>2746</v>
      </c>
      <c r="Y11" s="1582">
        <f>$G$3</f>
        <v>2.8</v>
      </c>
      <c r="Z11" s="1582">
        <f t="shared" ref="Z11:AJ11" si="3">$G$3</f>
        <v>2.8</v>
      </c>
      <c r="AA11" s="1582">
        <f t="shared" si="3"/>
        <v>2.8</v>
      </c>
      <c r="AB11" s="1582">
        <f t="shared" si="3"/>
        <v>2.8</v>
      </c>
      <c r="AC11" s="1582">
        <f t="shared" si="3"/>
        <v>2.8</v>
      </c>
      <c r="AD11" s="1582">
        <f t="shared" si="3"/>
        <v>2.8</v>
      </c>
      <c r="AE11" s="1582">
        <f t="shared" si="3"/>
        <v>2.8</v>
      </c>
      <c r="AF11" s="1582">
        <f t="shared" si="3"/>
        <v>2.8</v>
      </c>
      <c r="AG11" s="1582">
        <f t="shared" si="3"/>
        <v>2.8</v>
      </c>
      <c r="AH11" s="1582">
        <f t="shared" si="3"/>
        <v>2.8</v>
      </c>
      <c r="AI11" s="1582">
        <f t="shared" si="3"/>
        <v>2.8</v>
      </c>
      <c r="AJ11" s="1582">
        <f t="shared" si="3"/>
        <v>2.8</v>
      </c>
    </row>
    <row r="12" spans="1:39" ht="25.5" thickBot="1">
      <c r="A12" s="3512"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22"/>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1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22"/>
      <c r="X13" s="2651"/>
      <c r="Y13" s="2650">
        <f>(-0.163*(Y12^2)-0.59*Y12+7617)*(10^(-4))/Y11</f>
        <v>0.27203571428571433</v>
      </c>
      <c r="Z13" s="2650">
        <f t="shared" ref="Z13:AJ13" si="5">(-0.163*(Z12^2)-0.59*Z12+7617)*(10^(-4))/Z11</f>
        <v>0.27203571428571433</v>
      </c>
      <c r="AA13" s="2650">
        <f t="shared" si="5"/>
        <v>0.27203571428571433</v>
      </c>
      <c r="AB13" s="2650">
        <f t="shared" si="5"/>
        <v>0.27203571428571433</v>
      </c>
      <c r="AC13" s="2650">
        <f t="shared" si="5"/>
        <v>0.27203571428571433</v>
      </c>
      <c r="AD13" s="2650">
        <f t="shared" si="5"/>
        <v>0.27203571428571433</v>
      </c>
      <c r="AE13" s="2650">
        <f t="shared" si="5"/>
        <v>0.27203571428571433</v>
      </c>
      <c r="AF13" s="2650">
        <f t="shared" si="5"/>
        <v>0.27203571428571433</v>
      </c>
      <c r="AG13" s="2650">
        <f t="shared" si="5"/>
        <v>0.27203571428571433</v>
      </c>
      <c r="AH13" s="2650">
        <f t="shared" si="5"/>
        <v>0.27203571428571433</v>
      </c>
      <c r="AI13" s="2650">
        <f t="shared" si="5"/>
        <v>0.27203571428571433</v>
      </c>
      <c r="AJ13" s="2650">
        <f t="shared" si="5"/>
        <v>0.27203571428571433</v>
      </c>
    </row>
    <row r="14" spans="1:39" ht="12.75" customHeight="1">
      <c r="A14" s="3514"/>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1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12" t="s">
        <v>1829</v>
      </c>
      <c r="B16" s="1376" t="s">
        <v>941</v>
      </c>
      <c r="C16" s="1039">
        <f>ROUND(IF(F17="与级别开发程度一致",0,(G17-E17)/C17),0)</f>
        <v>0</v>
      </c>
      <c r="D16" s="3530" t="s">
        <v>945</v>
      </c>
      <c r="E16" s="3531"/>
      <c r="F16" s="3530" t="s">
        <v>942</v>
      </c>
      <c r="G16" s="3531"/>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16"/>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1817</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1818</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3011</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1819</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3012</v>
      </c>
      <c r="C21" s="1141">
        <f>IF(B21="容积率修正",IF(G3&lt;=10,D22,J22),C23)</f>
        <v>0.89119999999999999</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0.89119999999999999</v>
      </c>
      <c r="E22" s="1026">
        <f>ROUNDDOWN(G3,1)</f>
        <v>2.8</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1026">
        <f>ROUNDUP(G3,1)</f>
        <v>2.8</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0.89119999999999999</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4869</v>
      </c>
      <c r="D26" s="1430"/>
      <c r="E26" s="1405"/>
      <c r="F26" s="1431"/>
      <c r="G26" s="1405"/>
      <c r="H26" s="1405"/>
      <c r="I26" s="1405"/>
      <c r="J26" s="1432"/>
      <c r="K26" s="3235"/>
      <c r="L26" s="1529" t="s">
        <v>889</v>
      </c>
      <c r="M26" s="1377" t="s">
        <v>966</v>
      </c>
      <c r="N26" s="1377" t="s">
        <v>969</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305</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6978</v>
      </c>
      <c r="D29" s="1444">
        <f ca="1">C29</f>
        <v>6978</v>
      </c>
      <c r="E29" s="1763">
        <f ca="1">ROUND(C29*D29/10000,0)</f>
        <v>4869</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1745</v>
      </c>
      <c r="D30" s="1450">
        <f ca="1">C30</f>
        <v>1745</v>
      </c>
      <c r="E30" s="1763">
        <f ca="1">ROUND(C30*D30/10000,0)</f>
        <v>305</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9"/>
      <c r="B33" s="1464" t="s">
        <v>990</v>
      </c>
      <c r="C33" s="1046">
        <f ca="1">ROUND(D5*C19*C20*C24*F33,0)</f>
        <v>4698</v>
      </c>
      <c r="D33" s="1477"/>
      <c r="E33" s="1035">
        <f ca="1">ROUND(C33*D33/10000,0)</f>
        <v>0</v>
      </c>
      <c r="F33" s="1035">
        <f>SUMIF(修正!A45:A56,G2,修正!B45:B56)</f>
        <v>0.6</v>
      </c>
      <c r="G33" s="1035">
        <f t="shared" ref="G33" ca="1" si="6">ROUND(IF(E2="工业",C33*$M$39,C33*$M$38),0)</f>
        <v>1175</v>
      </c>
      <c r="H33" s="1035">
        <f>D33</f>
        <v>0</v>
      </c>
      <c r="I33" s="1035">
        <f ca="1">ROUND(G33*H33/10000,0)</f>
        <v>0</v>
      </c>
      <c r="J33" s="351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0"/>
      <c r="B34" s="1394" t="s">
        <v>991</v>
      </c>
      <c r="C34" s="1046">
        <f ca="1">ROUND(D5*C19*C20*C24*F34,0)</f>
        <v>2349</v>
      </c>
      <c r="D34" s="1477"/>
      <c r="E34" s="1035">
        <f t="shared" ref="E34:E39" ca="1" si="7">ROUND(C34*D34/10000,0)</f>
        <v>0</v>
      </c>
      <c r="F34" s="1035">
        <f>SUMIF(修正!A45:A56,G2,修正!C45:C56)</f>
        <v>0.3</v>
      </c>
      <c r="G34" s="1035">
        <f ca="1">ROUND(IF(E2="工业",C34*$M$39,C34*$M$38),0)</f>
        <v>587</v>
      </c>
      <c r="H34" s="1035">
        <f t="shared" ref="H34:H39" si="8">D34</f>
        <v>0</v>
      </c>
      <c r="I34" s="1035">
        <f t="shared" ref="I34:I39" ca="1" si="9">ROUND(G34*H34/10000,0)</f>
        <v>0</v>
      </c>
      <c r="J34" s="352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0"/>
      <c r="B35" s="1394" t="s">
        <v>992</v>
      </c>
      <c r="C35" s="1046">
        <f ca="1">ROUND(D5*C19*C20*C24*F35,0)</f>
        <v>1566</v>
      </c>
      <c r="D35" s="1477"/>
      <c r="E35" s="1035">
        <f t="shared" ca="1" si="7"/>
        <v>0</v>
      </c>
      <c r="F35" s="1035">
        <f>SUMIF(修正!A45:A56,G2,修正!D45:D56)</f>
        <v>0.2</v>
      </c>
      <c r="G35" s="1035">
        <f ca="1">ROUND(IF(E2="工业",C35*$M$39,C35*$M$38),0)</f>
        <v>392</v>
      </c>
      <c r="H35" s="1035">
        <f t="shared" si="8"/>
        <v>0</v>
      </c>
      <c r="I35" s="1035">
        <f t="shared" ca="1" si="9"/>
        <v>0</v>
      </c>
      <c r="J35" s="352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1"/>
      <c r="B36" s="1394" t="s">
        <v>993</v>
      </c>
      <c r="C36" s="1046">
        <f ca="1">ROUND(D5*C19*C20*C24*F36,0)</f>
        <v>1566</v>
      </c>
      <c r="D36" s="1477"/>
      <c r="E36" s="1035">
        <f t="shared" ca="1" si="7"/>
        <v>0</v>
      </c>
      <c r="F36" s="1035">
        <f>SUMIF(修正!A45:A56,G2,修正!E45:E56)</f>
        <v>0.2</v>
      </c>
      <c r="G36" s="1035">
        <f ca="1">ROUND(IF(E2="工业",C36*$M$39,C36*$M$38),0)</f>
        <v>392</v>
      </c>
      <c r="H36" s="1035">
        <f t="shared" si="8"/>
        <v>0</v>
      </c>
      <c r="I36" s="1035">
        <f t="shared" ca="1" si="9"/>
        <v>0</v>
      </c>
      <c r="J36" s="352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1566</v>
      </c>
      <c r="D37" s="1477"/>
      <c r="E37" s="1035">
        <f t="shared" ca="1" si="7"/>
        <v>0</v>
      </c>
      <c r="F37" s="1046">
        <f>SUMIF(修正!A45:A56,G2,修正!F45:F56)</f>
        <v>0.2</v>
      </c>
      <c r="G37" s="1035">
        <f ca="1">ROUND(IF(E2="工业",C37*$M$39,C37*$M$38),0)</f>
        <v>392</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966</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969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2239</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t="s">
        <v>3014</v>
      </c>
      <c r="D58" s="2272">
        <f t="shared" ref="D58:D66" si="15">SUMIF($J$57:$N$57,C58,J58:N58)</f>
        <v>0</v>
      </c>
      <c r="E58" s="2291">
        <f>ROUND(SUM(D58:D66),4)</f>
        <v>0</v>
      </c>
      <c r="F58" s="2292">
        <f>IF(E2="办公",SUMIF(L1:L12,G2,N1:N12),"——")</f>
        <v>0.15</v>
      </c>
      <c r="G58" s="2270">
        <v>1.7999999999999999E-2</v>
      </c>
      <c r="H58" s="2315">
        <f>IFERROR(ROUNDDOWN($F$58*I58/2,4),"——")</f>
        <v>1.7999999999999999E-2</v>
      </c>
      <c r="I58" s="2290">
        <v>0.24</v>
      </c>
      <c r="J58" s="2293">
        <f t="shared" ref="J58:J66" si="16">K58+$G58</f>
        <v>3.5999999999999997E-2</v>
      </c>
      <c r="K58" s="2293">
        <f t="shared" ref="K58:K66" si="17">$L58+$G58</f>
        <v>1.7999999999999999E-2</v>
      </c>
      <c r="L58" s="2293">
        <v>0</v>
      </c>
      <c r="M58" s="2293">
        <f t="shared" ref="M58:N66" si="18">L58-$G58</f>
        <v>-1.7999999999999999E-2</v>
      </c>
      <c r="N58" s="2293">
        <f t="shared" si="18"/>
        <v>-3.5999999999999997E-2</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t="s">
        <v>3014</v>
      </c>
      <c r="D59" s="2272">
        <f t="shared" si="15"/>
        <v>0</v>
      </c>
      <c r="E59" s="2294"/>
      <c r="F59" s="2292"/>
      <c r="G59" s="2270">
        <v>2.2499999999999999E-2</v>
      </c>
      <c r="H59" s="2271">
        <f t="shared" ref="H59:H66" si="19">IFERROR($F$58*I59/2,"——")</f>
        <v>2.2499999999999999E-2</v>
      </c>
      <c r="I59" s="2290">
        <v>0.3</v>
      </c>
      <c r="J59" s="2293">
        <f t="shared" si="16"/>
        <v>4.4999999999999998E-2</v>
      </c>
      <c r="K59" s="2293">
        <f t="shared" si="17"/>
        <v>2.2499999999999999E-2</v>
      </c>
      <c r="L59" s="2293">
        <v>0</v>
      </c>
      <c r="M59" s="2293">
        <f t="shared" si="18"/>
        <v>-2.2499999999999999E-2</v>
      </c>
      <c r="N59" s="2293">
        <f t="shared" si="18"/>
        <v>-4.4999999999999998E-2</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t="s">
        <v>3014</v>
      </c>
      <c r="D60" s="2272">
        <f t="shared" si="15"/>
        <v>0</v>
      </c>
      <c r="E60" s="2294"/>
      <c r="F60" s="2292"/>
      <c r="G60" s="2270">
        <v>6.0000000000000001E-3</v>
      </c>
      <c r="H60" s="2271">
        <f t="shared" si="19"/>
        <v>6.0000000000000001E-3</v>
      </c>
      <c r="I60" s="2290">
        <v>0.08</v>
      </c>
      <c r="J60" s="2293">
        <f t="shared" si="16"/>
        <v>1.2E-2</v>
      </c>
      <c r="K60" s="2293">
        <f t="shared" si="17"/>
        <v>6.0000000000000001E-3</v>
      </c>
      <c r="L60" s="2293">
        <v>0</v>
      </c>
      <c r="M60" s="2293">
        <f t="shared" si="18"/>
        <v>-6.0000000000000001E-3</v>
      </c>
      <c r="N60" s="2293">
        <f t="shared" si="18"/>
        <v>-1.2E-2</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2905</v>
      </c>
      <c r="C61" s="1037" t="s">
        <v>3014</v>
      </c>
      <c r="D61" s="2272">
        <f t="shared" si="15"/>
        <v>0</v>
      </c>
      <c r="E61" s="2294"/>
      <c r="F61" s="2292"/>
      <c r="G61" s="2270">
        <v>3.0000000000000001E-3</v>
      </c>
      <c r="H61" s="2271">
        <f t="shared" si="19"/>
        <v>3.0000000000000001E-3</v>
      </c>
      <c r="I61" s="2290">
        <v>0.04</v>
      </c>
      <c r="J61" s="2293">
        <f t="shared" si="16"/>
        <v>6.0000000000000001E-3</v>
      </c>
      <c r="K61" s="2293">
        <f t="shared" si="17"/>
        <v>3.0000000000000001E-3</v>
      </c>
      <c r="L61" s="2293">
        <v>0</v>
      </c>
      <c r="M61" s="2293">
        <f t="shared" si="18"/>
        <v>-3.0000000000000001E-3</v>
      </c>
      <c r="N61" s="2293">
        <f t="shared" si="18"/>
        <v>-6.0000000000000001E-3</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t="s">
        <v>3014</v>
      </c>
      <c r="D62" s="2272">
        <f t="shared" si="15"/>
        <v>0</v>
      </c>
      <c r="E62" s="2294"/>
      <c r="F62" s="2292"/>
      <c r="G62" s="2270">
        <v>3.7499999999999999E-3</v>
      </c>
      <c r="H62" s="2271">
        <f t="shared" si="19"/>
        <v>3.7499999999999999E-3</v>
      </c>
      <c r="I62" s="2290">
        <v>0.05</v>
      </c>
      <c r="J62" s="2293">
        <f t="shared" si="16"/>
        <v>7.4999999999999997E-3</v>
      </c>
      <c r="K62" s="2293">
        <f t="shared" si="17"/>
        <v>3.7499999999999999E-3</v>
      </c>
      <c r="L62" s="2293">
        <v>0</v>
      </c>
      <c r="M62" s="2293">
        <f t="shared" si="18"/>
        <v>-3.7499999999999999E-3</v>
      </c>
      <c r="N62" s="2293">
        <f t="shared" si="18"/>
        <v>-7.4999999999999997E-3</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t="s">
        <v>3024</v>
      </c>
      <c r="D63" s="2272">
        <f t="shared" si="15"/>
        <v>0</v>
      </c>
      <c r="E63" s="2294"/>
      <c r="F63" s="2292"/>
      <c r="G63" s="2270">
        <v>3.7499999999999999E-3</v>
      </c>
      <c r="H63" s="2271">
        <f t="shared" si="19"/>
        <v>3.7499999999999999E-3</v>
      </c>
      <c r="I63" s="2290">
        <v>0.05</v>
      </c>
      <c r="J63" s="2293">
        <f t="shared" si="16"/>
        <v>7.4999999999999997E-3</v>
      </c>
      <c r="K63" s="2293">
        <f t="shared" si="17"/>
        <v>3.7499999999999999E-3</v>
      </c>
      <c r="L63" s="2293">
        <v>0</v>
      </c>
      <c r="M63" s="2293">
        <f t="shared" si="18"/>
        <v>-3.7499999999999999E-3</v>
      </c>
      <c r="N63" s="2293">
        <f t="shared" si="18"/>
        <v>-7.4999999999999997E-3</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t="s">
        <v>3014</v>
      </c>
      <c r="D64" s="2272">
        <f t="shared" si="15"/>
        <v>0</v>
      </c>
      <c r="E64" s="2294"/>
      <c r="F64" s="2292"/>
      <c r="G64" s="2270">
        <v>4.4999999999999997E-3</v>
      </c>
      <c r="H64" s="2271">
        <f t="shared" si="19"/>
        <v>4.4999999999999997E-3</v>
      </c>
      <c r="I64" s="2290">
        <v>0.06</v>
      </c>
      <c r="J64" s="2293">
        <f t="shared" si="16"/>
        <v>8.9999999999999993E-3</v>
      </c>
      <c r="K64" s="2293">
        <f t="shared" si="17"/>
        <v>4.4999999999999997E-3</v>
      </c>
      <c r="L64" s="2293">
        <v>0</v>
      </c>
      <c r="M64" s="2293">
        <f t="shared" si="18"/>
        <v>-4.4999999999999997E-3</v>
      </c>
      <c r="N64" s="2293">
        <f t="shared" si="18"/>
        <v>-8.9999999999999993E-3</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t="s">
        <v>3014</v>
      </c>
      <c r="D65" s="2272">
        <f t="shared" si="15"/>
        <v>0</v>
      </c>
      <c r="E65" s="2294"/>
      <c r="F65" s="2292"/>
      <c r="G65" s="2270">
        <v>8.9999999999999993E-3</v>
      </c>
      <c r="H65" s="2271">
        <f t="shared" si="19"/>
        <v>8.9999999999999993E-3</v>
      </c>
      <c r="I65" s="2290">
        <v>0.12</v>
      </c>
      <c r="J65" s="2293">
        <f t="shared" si="16"/>
        <v>1.7999999999999999E-2</v>
      </c>
      <c r="K65" s="2293">
        <f t="shared" si="17"/>
        <v>8.9999999999999993E-3</v>
      </c>
      <c r="L65" s="2293">
        <v>0</v>
      </c>
      <c r="M65" s="2293">
        <f t="shared" si="18"/>
        <v>-8.9999999999999993E-3</v>
      </c>
      <c r="N65" s="2293">
        <f t="shared" si="18"/>
        <v>-1.7999999999999999E-2</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t="s">
        <v>3014</v>
      </c>
      <c r="D66" s="2272">
        <f t="shared" si="15"/>
        <v>0</v>
      </c>
      <c r="E66" s="2298"/>
      <c r="F66" s="2292"/>
      <c r="G66" s="2270">
        <v>4.4999999999999997E-3</v>
      </c>
      <c r="H66" s="2271">
        <f t="shared" si="19"/>
        <v>4.4999999999999997E-3</v>
      </c>
      <c r="I66" s="2297">
        <v>0.06</v>
      </c>
      <c r="J66" s="2293">
        <f t="shared" si="16"/>
        <v>8.9999999999999993E-3</v>
      </c>
      <c r="K66" s="2293">
        <f t="shared" si="17"/>
        <v>4.4999999999999997E-3</v>
      </c>
      <c r="L66" s="2293">
        <v>0</v>
      </c>
      <c r="M66" s="2293">
        <f t="shared" si="18"/>
        <v>-4.4999999999999997E-3</v>
      </c>
      <c r="N66" s="2293">
        <f t="shared" si="18"/>
        <v>-8.9999999999999993E-3</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893</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2239</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1012</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976</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2239</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1012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17" t="s">
        <v>1624</v>
      </c>
      <c r="B90" s="3517"/>
      <c r="C90" s="3517"/>
      <c r="D90" s="3517"/>
      <c r="E90" s="3517"/>
      <c r="F90" s="3517"/>
      <c r="G90" s="3517"/>
      <c r="H90" s="3517"/>
      <c r="I90" s="3517"/>
      <c r="J90" s="3517"/>
      <c r="K90" s="3282"/>
      <c r="L90" s="3282"/>
      <c r="M90" s="3282"/>
      <c r="N90" s="3282"/>
    </row>
    <row r="91" spans="1:40">
      <c r="A91" s="3518" t="s">
        <v>889</v>
      </c>
      <c r="B91" s="3518" t="s">
        <v>1625</v>
      </c>
      <c r="C91" s="1123" t="s">
        <v>1626</v>
      </c>
      <c r="D91" s="1124"/>
      <c r="E91" s="1124"/>
      <c r="F91" s="1124"/>
      <c r="G91" s="1124"/>
      <c r="H91" s="1124"/>
      <c r="I91" s="1124"/>
      <c r="J91" s="1125"/>
      <c r="K91" s="1117"/>
      <c r="L91" s="1117"/>
      <c r="M91" s="1117"/>
      <c r="N91" s="1117"/>
    </row>
    <row r="92" spans="1:40">
      <c r="A92" s="3518"/>
      <c r="B92" s="3518"/>
      <c r="C92" s="3283" t="s">
        <v>875</v>
      </c>
      <c r="D92" s="3283" t="s">
        <v>876</v>
      </c>
      <c r="E92" s="3283" t="s">
        <v>877</v>
      </c>
      <c r="F92" s="3283" t="s">
        <v>878</v>
      </c>
      <c r="G92" s="3283" t="s">
        <v>879</v>
      </c>
      <c r="H92" s="3283" t="s">
        <v>880</v>
      </c>
      <c r="I92" s="3283" t="s">
        <v>881</v>
      </c>
      <c r="J92" s="3283" t="s">
        <v>882</v>
      </c>
      <c r="K92" s="3283" t="s">
        <v>883</v>
      </c>
      <c r="L92" s="3283" t="s">
        <v>884</v>
      </c>
      <c r="M92" s="3283" t="s">
        <v>885</v>
      </c>
      <c r="N92" s="3283" t="s">
        <v>886</v>
      </c>
    </row>
    <row r="93" spans="1:40">
      <c r="A93" s="352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6"/>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27"/>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25" t="s">
        <v>1628</v>
      </c>
      <c r="B101" s="1130" t="s">
        <v>874</v>
      </c>
      <c r="C101" s="1131">
        <f>$G$3</f>
        <v>2.8</v>
      </c>
      <c r="D101" s="1131">
        <f t="shared" ref="D101:N101" si="31">$G$3</f>
        <v>2.8</v>
      </c>
      <c r="E101" s="1131">
        <f t="shared" si="31"/>
        <v>2.8</v>
      </c>
      <c r="F101" s="1131">
        <f t="shared" si="31"/>
        <v>2.8</v>
      </c>
      <c r="G101" s="1131">
        <f t="shared" si="31"/>
        <v>2.8</v>
      </c>
      <c r="H101" s="1131">
        <f t="shared" si="31"/>
        <v>2.8</v>
      </c>
      <c r="I101" s="1131">
        <f t="shared" si="31"/>
        <v>2.8</v>
      </c>
      <c r="J101" s="1131">
        <f t="shared" si="31"/>
        <v>2.8</v>
      </c>
      <c r="K101" s="1131">
        <f t="shared" si="31"/>
        <v>2.8</v>
      </c>
      <c r="L101" s="1131">
        <f t="shared" si="31"/>
        <v>2.8</v>
      </c>
      <c r="M101" s="1131">
        <f t="shared" si="31"/>
        <v>2.8</v>
      </c>
      <c r="N101" s="1131">
        <f t="shared" si="31"/>
        <v>2.8</v>
      </c>
    </row>
    <row r="102" spans="1:14">
      <c r="A102" s="3526"/>
      <c r="B102" s="1126">
        <v>1</v>
      </c>
      <c r="C102" s="1127">
        <f>1.9362/C101</f>
        <v>0.6915</v>
      </c>
      <c r="D102" s="1127">
        <f>1.9362/D101</f>
        <v>0.6915</v>
      </c>
      <c r="E102" s="1127">
        <f>1.8629/E101</f>
        <v>0.66532142857142862</v>
      </c>
      <c r="F102" s="1127">
        <f>1.8629/F101</f>
        <v>0.66532142857142862</v>
      </c>
      <c r="G102" s="1127">
        <f>1.8629/G101</f>
        <v>0.66532142857142862</v>
      </c>
      <c r="H102" s="1127">
        <f>1.8629/H101</f>
        <v>0.66532142857142862</v>
      </c>
      <c r="I102" s="1127">
        <f>1.8629/I101</f>
        <v>0.66532142857142862</v>
      </c>
      <c r="J102" s="1127">
        <f>1.942/J101</f>
        <v>0.69357142857142862</v>
      </c>
      <c r="K102" s="1127">
        <f>1.942/K101</f>
        <v>0.69357142857142862</v>
      </c>
      <c r="L102" s="1127">
        <f>1.942/L101</f>
        <v>0.69357142857142862</v>
      </c>
      <c r="M102" s="1127">
        <f>1.942/M101</f>
        <v>0.69357142857142862</v>
      </c>
      <c r="N102" s="1127">
        <f>1.942/N101</f>
        <v>0.69357142857142862</v>
      </c>
    </row>
    <row r="103" spans="1:14">
      <c r="A103" s="3526"/>
      <c r="B103" s="1126">
        <v>2</v>
      </c>
      <c r="C103" s="1127">
        <f>1.4198/C101</f>
        <v>0.50707142857142862</v>
      </c>
      <c r="D103" s="1127">
        <f>1.4198/D101</f>
        <v>0.50707142857142862</v>
      </c>
      <c r="E103" s="1127">
        <f>1.3372/E101</f>
        <v>0.47757142857142859</v>
      </c>
      <c r="F103" s="1127">
        <f>1.3372/F101</f>
        <v>0.47757142857142859</v>
      </c>
      <c r="G103" s="1127">
        <f>1.3372/G101</f>
        <v>0.47757142857142859</v>
      </c>
      <c r="H103" s="1127">
        <f>1.3372/H101</f>
        <v>0.47757142857142859</v>
      </c>
      <c r="I103" s="1127">
        <f>1.3372/I101</f>
        <v>0.47757142857142859</v>
      </c>
      <c r="J103" s="1127">
        <f>1.2799/J101</f>
        <v>0.45710714285714288</v>
      </c>
      <c r="K103" s="1127">
        <f>1.2799/K101</f>
        <v>0.45710714285714288</v>
      </c>
      <c r="L103" s="1127">
        <f>1.2799/L101</f>
        <v>0.45710714285714288</v>
      </c>
      <c r="M103" s="1127">
        <f>1.2799/M101</f>
        <v>0.45710714285714288</v>
      </c>
      <c r="N103" s="1127">
        <f>1.2799/N101</f>
        <v>0.45710714285714288</v>
      </c>
    </row>
    <row r="104" spans="1:14">
      <c r="A104" s="3526"/>
      <c r="B104" s="1126">
        <v>3</v>
      </c>
      <c r="C104" s="1127">
        <f>1.1594/C101</f>
        <v>0.41407142857142859</v>
      </c>
      <c r="D104" s="1127">
        <f>1.1594/D101</f>
        <v>0.41407142857142859</v>
      </c>
      <c r="E104" s="1127">
        <f>1.0788/E101</f>
        <v>0.38528571428571429</v>
      </c>
      <c r="F104" s="1127">
        <f>1.0788/F101</f>
        <v>0.38528571428571429</v>
      </c>
      <c r="G104" s="1127">
        <f>1.0788/G101</f>
        <v>0.38528571428571429</v>
      </c>
      <c r="H104" s="1127">
        <f>1.0788/H101</f>
        <v>0.38528571428571429</v>
      </c>
      <c r="I104" s="1127">
        <f>1.0788/I101</f>
        <v>0.38528571428571429</v>
      </c>
      <c r="J104" s="1127">
        <f>1.0072/J101</f>
        <v>0.35971428571428576</v>
      </c>
      <c r="K104" s="1127">
        <f>1.0072/K101</f>
        <v>0.35971428571428576</v>
      </c>
      <c r="L104" s="1127">
        <f>1.0072/L101</f>
        <v>0.35971428571428576</v>
      </c>
      <c r="M104" s="1127">
        <f>1.0072/M101</f>
        <v>0.35971428571428576</v>
      </c>
      <c r="N104" s="1127">
        <f>1.0072/N101</f>
        <v>0.35971428571428576</v>
      </c>
    </row>
    <row r="105" spans="1:14">
      <c r="A105" s="3526"/>
      <c r="B105" s="1126">
        <v>4</v>
      </c>
      <c r="C105" s="1127">
        <f>0.9622/C101</f>
        <v>0.34364285714285719</v>
      </c>
      <c r="D105" s="1127">
        <f>0.9622/D101</f>
        <v>0.34364285714285719</v>
      </c>
      <c r="E105" s="1127">
        <f>0.8656/E101</f>
        <v>0.30914285714285716</v>
      </c>
      <c r="F105" s="1127">
        <f>0.8656/F101</f>
        <v>0.30914285714285716</v>
      </c>
      <c r="G105" s="1127">
        <f>0.8656/G101</f>
        <v>0.30914285714285716</v>
      </c>
      <c r="H105" s="1127">
        <f>0.8656/H101</f>
        <v>0.30914285714285716</v>
      </c>
      <c r="I105" s="1127">
        <f>0.8656/I101</f>
        <v>0.30914285714285716</v>
      </c>
      <c r="J105" s="1127">
        <f>0.7525/J101</f>
        <v>0.26874999999999999</v>
      </c>
      <c r="K105" s="1127">
        <f>0.7525/K101</f>
        <v>0.26874999999999999</v>
      </c>
      <c r="L105" s="1127">
        <f>0.7525/L101</f>
        <v>0.26874999999999999</v>
      </c>
      <c r="M105" s="1127">
        <f>0.7525/M101</f>
        <v>0.26874999999999999</v>
      </c>
      <c r="N105" s="1127">
        <f>0.7525/N101</f>
        <v>0.26874999999999999</v>
      </c>
    </row>
    <row r="106" spans="1:14">
      <c r="A106" s="3526"/>
      <c r="B106" s="1126">
        <v>5</v>
      </c>
      <c r="C106" s="1127">
        <f>0.8417/C101</f>
        <v>0.30060714285714285</v>
      </c>
      <c r="D106" s="1127">
        <f>0.8417/D101</f>
        <v>0.30060714285714285</v>
      </c>
      <c r="E106" s="1127">
        <f>0.7371/E101</f>
        <v>0.26324999999999998</v>
      </c>
      <c r="F106" s="1127">
        <f>0.7371/F101</f>
        <v>0.26324999999999998</v>
      </c>
      <c r="G106" s="1127">
        <f>0.7371/G101</f>
        <v>0.26324999999999998</v>
      </c>
      <c r="H106" s="1127">
        <f>0.7371/H101</f>
        <v>0.26324999999999998</v>
      </c>
      <c r="I106" s="1127">
        <f>0.7371/I101</f>
        <v>0.26324999999999998</v>
      </c>
      <c r="J106" s="1127">
        <f>0.5659/J101</f>
        <v>0.20210714285714285</v>
      </c>
      <c r="K106" s="1127">
        <f>0.5659/K101</f>
        <v>0.20210714285714285</v>
      </c>
      <c r="L106" s="1127">
        <f>0.5659/L101</f>
        <v>0.20210714285714285</v>
      </c>
      <c r="M106" s="1127">
        <f>0.5659/M101</f>
        <v>0.20210714285714285</v>
      </c>
      <c r="N106" s="1127">
        <f>0.5659/N101</f>
        <v>0.20210714285714285</v>
      </c>
    </row>
    <row r="107" spans="1:14">
      <c r="A107" s="3526"/>
      <c r="B107" s="1126">
        <v>6</v>
      </c>
      <c r="C107" s="1127">
        <f>0.7608/C101</f>
        <v>0.27171428571428574</v>
      </c>
      <c r="D107" s="1127">
        <f>0.7608/D101</f>
        <v>0.27171428571428574</v>
      </c>
      <c r="E107" s="1127">
        <f>0.6482/E101</f>
        <v>0.23150000000000001</v>
      </c>
      <c r="F107" s="1127">
        <f>0.6482/F101</f>
        <v>0.23150000000000001</v>
      </c>
      <c r="G107" s="1127">
        <f>0.6482/G101</f>
        <v>0.23150000000000001</v>
      </c>
      <c r="H107" s="1127">
        <f>0.6482/H101</f>
        <v>0.23150000000000001</v>
      </c>
      <c r="I107" s="1127">
        <f>0.6482/I101</f>
        <v>0.23150000000000001</v>
      </c>
      <c r="J107" s="1127">
        <f>0.4525/J101</f>
        <v>0.16160714285714287</v>
      </c>
      <c r="K107" s="1127">
        <f>0.4525/K101</f>
        <v>0.16160714285714287</v>
      </c>
      <c r="L107" s="1127">
        <f>0.4525/L101</f>
        <v>0.16160714285714287</v>
      </c>
      <c r="M107" s="1127">
        <f>0.4525/M101</f>
        <v>0.16160714285714287</v>
      </c>
      <c r="N107" s="1127">
        <f>0.4525/N101</f>
        <v>0.16160714285714287</v>
      </c>
    </row>
    <row r="108" spans="1:14">
      <c r="A108" s="3526"/>
      <c r="B108" s="3528"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27"/>
      <c r="B109" s="3529"/>
      <c r="C109" s="1129">
        <f>(-0.163*(C108^2)-0.59*C108+7617)*(10^(-4))/C101</f>
        <v>0.27203571428571433</v>
      </c>
      <c r="D109" s="1129">
        <f>(-0.163*(D108^2)-0.59*D108+7617)*(10^(-4))/D101</f>
        <v>0.27203571428571433</v>
      </c>
      <c r="E109" s="1129">
        <f>(-0.161*(E108^2)-7.509*E108+6533)*(10^(-4))/E101</f>
        <v>0.2333214285714286</v>
      </c>
      <c r="F109" s="1129">
        <f>(-0.161*(F108^2)-7.509*F108+6533)*(10^(-4))/F101</f>
        <v>0.2333214285714286</v>
      </c>
      <c r="G109" s="1129">
        <f>(-0.161*(G108^2)-7.509*G108+6533)*(10^(-4))/G101</f>
        <v>0.2333214285714286</v>
      </c>
      <c r="H109" s="1129">
        <f>(-0.161*(H108^2)-7.509*H108+6533)*(10^(-4))/H101</f>
        <v>0.2333214285714286</v>
      </c>
      <c r="I109" s="1129">
        <f>(-0.161*(I108^2)-7.509*I108+6533)*(10^(-4))/I101</f>
        <v>0.2333214285714286</v>
      </c>
      <c r="J109" s="1129">
        <f>(-0.214*(J108^2)-21.991*J108+4665)*(10^(-4))/J101</f>
        <v>0.16660714285714287</v>
      </c>
      <c r="K109" s="1129">
        <f>(-0.214*(K108^2)-21.991*K108+4665)*(10^(-4))/K101</f>
        <v>0.16660714285714287</v>
      </c>
      <c r="L109" s="1129">
        <f>(-0.214*(L108^2)-21.991*L108+4665)*(10^(-4))/L101</f>
        <v>0.16660714285714287</v>
      </c>
      <c r="M109" s="1129">
        <f>(-0.214*(M108^2)-21.991*M108+4665)*(10^(-4))/M101</f>
        <v>0.16660714285714287</v>
      </c>
      <c r="N109" s="1129">
        <f>(-0.214*(N108^2)-21.991*N108+4665)*(10^(-4))/N101</f>
        <v>0.16660714285714287</v>
      </c>
    </row>
    <row r="110" spans="1:14">
      <c r="A110" s="3511" t="s">
        <v>1630</v>
      </c>
      <c r="B110" s="3511"/>
      <c r="C110" s="3511"/>
      <c r="D110" s="3511"/>
      <c r="E110" s="3511"/>
      <c r="F110" s="3511"/>
      <c r="G110" s="3511"/>
      <c r="H110" s="3511"/>
      <c r="I110" s="3511"/>
      <c r="J110" s="3511"/>
      <c r="K110" s="3281"/>
      <c r="L110" s="3281"/>
      <c r="M110" s="3281"/>
      <c r="N110" s="3281"/>
    </row>
    <row r="112" spans="1:14" ht="12.75" thickBot="1"/>
    <row r="113" spans="1:13" ht="25.5" thickBot="1">
      <c r="A113" s="1003" t="s">
        <v>887</v>
      </c>
      <c r="B113" s="2306">
        <f>G3</f>
        <v>2.8</v>
      </c>
      <c r="C113" s="1004" t="s">
        <v>888</v>
      </c>
      <c r="D113" s="1005">
        <f>SUMPRODUCT((A115:A118=F113)*(B114:M114=H113)*B115:M118)</f>
        <v>0.73019999999999996</v>
      </c>
      <c r="E113" s="1006" t="s">
        <v>889</v>
      </c>
      <c r="F113" s="1007" t="str">
        <f>E2</f>
        <v>办公</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0.90720000000000001</v>
      </c>
      <c r="C115" s="1017">
        <f>B115</f>
        <v>0.90720000000000001</v>
      </c>
      <c r="D115" s="1017">
        <f>ROUND(0.8331-0.0109*B113,4)</f>
        <v>0.80259999999999998</v>
      </c>
      <c r="E115" s="1017">
        <f>D115</f>
        <v>0.80259999999999998</v>
      </c>
      <c r="F115" s="1017">
        <f>E115</f>
        <v>0.80259999999999998</v>
      </c>
      <c r="G115" s="1017">
        <f>F115</f>
        <v>0.80259999999999998</v>
      </c>
      <c r="H115" s="1017">
        <f>G115</f>
        <v>0.80259999999999998</v>
      </c>
      <c r="I115" s="1017">
        <f>ROUND(0.689-0.0155*B113,4)</f>
        <v>0.64559999999999995</v>
      </c>
      <c r="J115" s="1017">
        <f t="shared" ref="J115:M118" si="33">I115</f>
        <v>0.64559999999999995</v>
      </c>
      <c r="K115" s="1017">
        <f t="shared" si="33"/>
        <v>0.64559999999999995</v>
      </c>
      <c r="L115" s="1017">
        <f t="shared" si="33"/>
        <v>0.64559999999999995</v>
      </c>
      <c r="M115" s="1018">
        <f t="shared" si="33"/>
        <v>0.64559999999999995</v>
      </c>
    </row>
    <row r="116" spans="1:13" ht="12.75">
      <c r="A116" s="1016" t="s">
        <v>892</v>
      </c>
      <c r="B116" s="1017">
        <f>ROUND(0.949-0.012*B113,4)</f>
        <v>0.91539999999999999</v>
      </c>
      <c r="C116" s="1017">
        <f>B116</f>
        <v>0.91539999999999999</v>
      </c>
      <c r="D116" s="1017">
        <f>ROUND(0.8567-0.013*B113,4)</f>
        <v>0.82030000000000003</v>
      </c>
      <c r="E116" s="1017">
        <f t="shared" ref="E116:H117" si="34">D116</f>
        <v>0.82030000000000003</v>
      </c>
      <c r="F116" s="1017">
        <f t="shared" si="34"/>
        <v>0.82030000000000003</v>
      </c>
      <c r="G116" s="1017">
        <f t="shared" si="34"/>
        <v>0.82030000000000003</v>
      </c>
      <c r="H116" s="1017">
        <f t="shared" si="34"/>
        <v>0.82030000000000003</v>
      </c>
      <c r="I116" s="1017">
        <f>ROUND(0.7694-0.014*B113,4)</f>
        <v>0.73019999999999996</v>
      </c>
      <c r="J116" s="1017">
        <f t="shared" si="33"/>
        <v>0.73019999999999996</v>
      </c>
      <c r="K116" s="1017">
        <f t="shared" si="33"/>
        <v>0.73019999999999996</v>
      </c>
      <c r="L116" s="1017">
        <f t="shared" si="33"/>
        <v>0.73019999999999996</v>
      </c>
      <c r="M116" s="1018">
        <f t="shared" si="33"/>
        <v>0.73019999999999996</v>
      </c>
    </row>
    <row r="117" spans="1:13" ht="12.75">
      <c r="A117" s="1019" t="s">
        <v>893</v>
      </c>
      <c r="B117" s="1017">
        <f>ROUND(0.8808-0.006*B113,4)</f>
        <v>0.86399999999999999</v>
      </c>
      <c r="C117" s="1017">
        <f>B117</f>
        <v>0.86399999999999999</v>
      </c>
      <c r="D117" s="1017">
        <f>ROUND(0.8748-0.008*B113,4)</f>
        <v>0.85240000000000005</v>
      </c>
      <c r="E117" s="1017">
        <f t="shared" si="34"/>
        <v>0.85240000000000005</v>
      </c>
      <c r="F117" s="1017">
        <f t="shared" si="34"/>
        <v>0.85240000000000005</v>
      </c>
      <c r="G117" s="1017">
        <f t="shared" si="34"/>
        <v>0.85240000000000005</v>
      </c>
      <c r="H117" s="1017">
        <f t="shared" si="34"/>
        <v>0.85240000000000005</v>
      </c>
      <c r="I117" s="1017">
        <f>ROUND(0.7412-0.0095*B113,4)</f>
        <v>0.71460000000000001</v>
      </c>
      <c r="J117" s="1017">
        <f t="shared" si="33"/>
        <v>0.71460000000000001</v>
      </c>
      <c r="K117" s="1017">
        <f t="shared" si="33"/>
        <v>0.71460000000000001</v>
      </c>
      <c r="L117" s="1017">
        <f t="shared" si="33"/>
        <v>0.71460000000000001</v>
      </c>
      <c r="M117" s="1018">
        <f t="shared" si="33"/>
        <v>0.71460000000000001</v>
      </c>
    </row>
    <row r="118" spans="1:13" ht="13.5" thickBot="1">
      <c r="A118" s="1020" t="s">
        <v>894</v>
      </c>
      <c r="B118" s="1021">
        <f>ROUND(0.7275-0.01*B113,4)</f>
        <v>0.69950000000000001</v>
      </c>
      <c r="C118" s="1021">
        <f>B118</f>
        <v>0.69950000000000001</v>
      </c>
      <c r="D118" s="1021">
        <f>ROUND(0.7043-0.012*B113,4)</f>
        <v>0.67069999999999996</v>
      </c>
      <c r="E118" s="1021">
        <f>D118</f>
        <v>0.67069999999999996</v>
      </c>
      <c r="F118" s="1021">
        <f>E118</f>
        <v>0.67069999999999996</v>
      </c>
      <c r="G118" s="1021">
        <f>ROUND(0.6299-0.0122*B113,4)</f>
        <v>0.59570000000000001</v>
      </c>
      <c r="H118" s="1021">
        <f>G118</f>
        <v>0.59570000000000001</v>
      </c>
      <c r="I118" s="1021">
        <f>ROUND(0.5667-0.0136*B113,4)</f>
        <v>0.52859999999999996</v>
      </c>
      <c r="J118" s="1021">
        <f t="shared" si="33"/>
        <v>0.52859999999999996</v>
      </c>
      <c r="K118" s="1021">
        <f t="shared" si="33"/>
        <v>0.52859999999999996</v>
      </c>
      <c r="L118" s="1021">
        <f t="shared" si="33"/>
        <v>0.52859999999999996</v>
      </c>
      <c r="M118" s="1022">
        <f t="shared" si="33"/>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9" t="s">
        <v>2557</v>
      </c>
      <c r="C1" s="3539"/>
      <c r="D1" s="3539"/>
      <c r="E1" s="3539"/>
      <c r="F1" s="3539"/>
      <c r="G1" s="3538" t="s">
        <v>2558</v>
      </c>
      <c r="H1" s="3538"/>
      <c r="I1" s="3538"/>
      <c r="J1" s="3538"/>
      <c r="K1" s="3538"/>
      <c r="L1" s="3538"/>
      <c r="N1" s="3538" t="s">
        <v>2559</v>
      </c>
      <c r="O1" s="3538"/>
      <c r="P1" s="3538"/>
      <c r="Q1" s="3538"/>
      <c r="S1" s="3538" t="s">
        <v>2560</v>
      </c>
      <c r="T1" s="3538"/>
      <c r="U1" s="3538"/>
      <c r="V1" s="3538"/>
      <c r="X1" s="3537" t="s">
        <v>2620</v>
      </c>
      <c r="Y1" s="3538"/>
      <c r="Z1" s="3538"/>
      <c r="AA1" s="3538"/>
      <c r="AB1" s="3538"/>
      <c r="AD1" s="3537" t="s">
        <v>2624</v>
      </c>
      <c r="AE1" s="3538"/>
      <c r="AF1" s="3538"/>
      <c r="AG1" s="3538"/>
      <c r="AH1" s="3538"/>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541">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541"/>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541"/>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547"/>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3546">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541"/>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541"/>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547"/>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546">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541"/>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541"/>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542"/>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540">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541"/>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541"/>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542"/>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540">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541"/>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541"/>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542"/>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543">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544"/>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544"/>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545"/>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540">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541"/>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541"/>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542"/>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540">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541">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541">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542">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540">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541">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541">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542">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540">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541">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541">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542">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540">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541">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541">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542">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540">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541">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541">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542">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540">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541">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541">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542">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540">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541">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541">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542">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540">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541">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541">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542">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540">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541">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541">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542">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540">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541">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541">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542">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3214.29平方米。根据《建设工程规划许可证》[]、《出让合同》[]，估价对象规划建筑面积为9000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根据《国有土地使用证》[]，估价对象（分摊）出让国有建设用地使用权面积为3214.29平方米。根据《建设工程规划许可证》[]、《出让合同》[]，估价对象规划建筑面积为9000平方米。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本次估价对象为出让国有建设用地使用权，《国有土地使用证》[]证载土地终止日期为商业2090年1月1日、办公2090年1月1日。截至估价期日，出让国有建设用地使用权剩余土地使用年限为。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9" t="s">
        <v>2445</v>
      </c>
      <c r="C8" s="1740">
        <f ca="1">ROUND(F8*F10*F9*(1-F11)/10000,0)</f>
        <v>0</v>
      </c>
      <c r="D8" s="1737" t="s">
        <v>2516</v>
      </c>
      <c r="E8" s="61" t="s">
        <v>631</v>
      </c>
      <c r="F8" s="775">
        <f ca="1">INDIRECT("'数据-取费表'!u"&amp;$G$1)</f>
        <v>0</v>
      </c>
      <c r="G8" s="1527"/>
      <c r="H8" s="2357" t="s">
        <v>1815</v>
      </c>
      <c r="I8" s="3549" t="s">
        <v>2445</v>
      </c>
      <c r="J8" s="773">
        <f ca="1">ROUND(M8*M10*M9*(1-M11)/10000,0)</f>
        <v>0</v>
      </c>
      <c r="K8" s="339" t="s">
        <v>2516</v>
      </c>
      <c r="L8" s="774" t="s">
        <v>1729</v>
      </c>
      <c r="M8" s="775">
        <f ca="1">INDIRECT("'数据-取费表'!z"&amp;$G$1)</f>
        <v>0</v>
      </c>
    </row>
    <row r="9" spans="1:25" ht="18" customHeight="1">
      <c r="A9" s="2353"/>
      <c r="B9" s="3550"/>
      <c r="C9" s="1741"/>
      <c r="D9" s="1738"/>
      <c r="E9" s="61" t="s">
        <v>632</v>
      </c>
      <c r="F9" s="775">
        <f ca="1">IF(INDIRECT("'数据-取费表'!ah"&amp;$G$1)="",INDIRECT("'数据-取费表'!k"&amp;$G$1),INDIRECT("'数据-取费表'!ah"&amp;$G$1))</f>
        <v>0</v>
      </c>
      <c r="G9" s="1527"/>
      <c r="H9" s="2342"/>
      <c r="I9" s="3550"/>
      <c r="J9" s="778"/>
      <c r="K9" s="779"/>
      <c r="L9" s="774" t="s">
        <v>1730</v>
      </c>
      <c r="M9" s="775">
        <f ca="1">F9</f>
        <v>0</v>
      </c>
    </row>
    <row r="10" spans="1:25" ht="18" customHeight="1">
      <c r="A10" s="2346"/>
      <c r="B10" s="3551"/>
      <c r="C10" s="1741"/>
      <c r="D10" s="1738"/>
      <c r="E10" s="61" t="s">
        <v>633</v>
      </c>
      <c r="F10" s="775">
        <f ca="1">INDIRECT("'数据-取费表'!ai"&amp;$G$1)</f>
        <v>0</v>
      </c>
      <c r="G10" s="1527"/>
      <c r="H10" s="2342"/>
      <c r="I10" s="3551"/>
      <c r="J10" s="778"/>
      <c r="K10" s="779"/>
      <c r="L10" s="774" t="s">
        <v>1731</v>
      </c>
      <c r="M10" s="775">
        <f ca="1">INDIRECT("'数据-取费表'!ai"&amp;$G$1)</f>
        <v>0</v>
      </c>
    </row>
    <row r="11" spans="1:25" ht="18" customHeight="1">
      <c r="A11" s="776"/>
      <c r="B11" s="3552"/>
      <c r="C11" s="1741"/>
      <c r="D11" s="1738"/>
      <c r="E11" s="61" t="s">
        <v>634</v>
      </c>
      <c r="F11" s="784">
        <f ca="1">INDIRECT("'数据-取费表'!w"&amp;$G$1)</f>
        <v>0</v>
      </c>
      <c r="G11" s="1527"/>
      <c r="H11" s="2358"/>
      <c r="I11" s="355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1E-3</v>
      </c>
      <c r="D26" s="2423"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48"/>
      <c r="J36" s="1962"/>
      <c r="K36" s="1963"/>
      <c r="L36" s="1962"/>
      <c r="M36" s="1962"/>
    </row>
    <row r="37" spans="1:18" ht="18" customHeight="1">
      <c r="A37" s="804"/>
      <c r="B37" s="783"/>
      <c r="C37" s="69"/>
      <c r="D37" s="805"/>
      <c r="E37" s="774" t="s">
        <v>668</v>
      </c>
      <c r="F37" s="775">
        <f ca="1">INDIRECT("'数据-取费表'!r"&amp;$G$1)</f>
        <v>0</v>
      </c>
      <c r="G37" s="1945"/>
      <c r="H37" s="1948"/>
      <c r="I37" s="354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-2</v>
      </c>
      <c r="K54" s="3553"/>
      <c r="L54" s="3554"/>
      <c r="O54" s="2256" t="s">
        <v>2373</v>
      </c>
      <c r="P54" s="2254" t="s">
        <v>2374</v>
      </c>
      <c r="Q54" s="2255">
        <f ca="1">J54</f>
        <v>-2</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49" t="s">
        <v>2445</v>
      </c>
      <c r="C6" s="773">
        <f ca="1">ROUND(F6*F8*F7*(1-F9)/10000,0)</f>
        <v>0</v>
      </c>
      <c r="D6" s="2350" t="s">
        <v>2444</v>
      </c>
      <c r="E6" s="774" t="s">
        <v>1729</v>
      </c>
      <c r="F6" s="775">
        <f ca="1">INDIRECT("'数据-取费表'!u"&amp;$G$1)</f>
        <v>0</v>
      </c>
      <c r="G6" s="1945"/>
      <c r="H6" s="2357" t="s">
        <v>2450</v>
      </c>
      <c r="I6" s="3549" t="s">
        <v>2445</v>
      </c>
      <c r="J6" s="773">
        <f ca="1">ROUND(M6*M8*M7*(1-M9)/10000,0)</f>
        <v>0</v>
      </c>
      <c r="K6" s="339" t="s">
        <v>1728</v>
      </c>
      <c r="L6" s="774" t="s">
        <v>1729</v>
      </c>
      <c r="M6" s="775">
        <f ca="1">INDIRECT("'数据-取费表'!z"&amp;$G$1)</f>
        <v>0</v>
      </c>
    </row>
    <row r="7" spans="1:33" ht="18" customHeight="1">
      <c r="A7" s="2353"/>
      <c r="B7" s="3550"/>
      <c r="C7" s="778"/>
      <c r="D7" s="779"/>
      <c r="E7" s="774" t="s">
        <v>1730</v>
      </c>
      <c r="F7" s="775">
        <f ca="1">IF(INDIRECT("'数据-取费表'!ah"&amp;$G$1)="",INDIRECT("'数据-取费表'!k"&amp;$G$1),INDIRECT("'数据-取费表'!ah"&amp;$G$1))</f>
        <v>0</v>
      </c>
      <c r="G7" s="1945"/>
      <c r="H7" s="2342"/>
      <c r="I7" s="3550"/>
      <c r="J7" s="778"/>
      <c r="K7" s="779"/>
      <c r="L7" s="774" t="s">
        <v>1730</v>
      </c>
      <c r="M7" s="775">
        <f ca="1">F7</f>
        <v>0</v>
      </c>
    </row>
    <row r="8" spans="1:33" ht="18" customHeight="1">
      <c r="A8" s="2346"/>
      <c r="B8" s="3551"/>
      <c r="C8" s="778"/>
      <c r="D8" s="779"/>
      <c r="E8" s="774" t="s">
        <v>1731</v>
      </c>
      <c r="F8" s="775">
        <f ca="1">INDIRECT("'数据-取费表'!ai"&amp;$G$1)</f>
        <v>0</v>
      </c>
      <c r="G8" s="1945"/>
      <c r="H8" s="2342"/>
      <c r="I8" s="3551"/>
      <c r="J8" s="778"/>
      <c r="K8" s="779"/>
      <c r="L8" s="774" t="s">
        <v>1731</v>
      </c>
      <c r="M8" s="775">
        <f ca="1">INDIRECT("'数据-取费表'!ai"&amp;$G$1)</f>
        <v>0</v>
      </c>
    </row>
    <row r="9" spans="1:33" ht="18" customHeight="1">
      <c r="A9" s="776"/>
      <c r="B9" s="3552"/>
      <c r="C9" s="778"/>
      <c r="D9" s="779"/>
      <c r="E9" s="774" t="s">
        <v>1732</v>
      </c>
      <c r="F9" s="784">
        <f ca="1">INDIRECT("'数据-取费表'!w"&amp;$G$1)</f>
        <v>0</v>
      </c>
      <c r="G9" s="1945"/>
      <c r="H9" s="2358"/>
      <c r="I9" s="3551"/>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2938</v>
      </c>
      <c r="E10" s="2351" t="s">
        <v>2446</v>
      </c>
      <c r="F10" s="2465"/>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复利计息。建造成本、管理费用、销售费用产生的利息。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1E-3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0</v>
      </c>
      <c r="K53" s="3555" t="s">
        <v>2931</v>
      </c>
      <c r="L53" s="3556"/>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73" t="s">
        <v>2453</v>
      </c>
      <c r="B1" s="3574"/>
      <c r="C1" s="3575"/>
      <c r="D1" s="3576">
        <f>SUM(I10,I15,I20,I21,I23)</f>
        <v>0</v>
      </c>
      <c r="E1" s="3576"/>
      <c r="F1" s="3576"/>
      <c r="G1" s="3576"/>
      <c r="H1" s="3576"/>
      <c r="I1" s="3577"/>
    </row>
    <row r="2" spans="1:9">
      <c r="A2" s="3563" t="s">
        <v>2454</v>
      </c>
      <c r="B2" s="3564" t="s">
        <v>2455</v>
      </c>
      <c r="C2" s="3564"/>
      <c r="D2" s="2360" t="s">
        <v>2456</v>
      </c>
      <c r="E2" s="2360" t="s">
        <v>2457</v>
      </c>
      <c r="F2" s="2360" t="s">
        <v>2458</v>
      </c>
      <c r="G2" s="2360" t="s">
        <v>2459</v>
      </c>
      <c r="H2" s="2360" t="s">
        <v>2460</v>
      </c>
      <c r="I2" s="2361" t="s">
        <v>2461</v>
      </c>
    </row>
    <row r="3" spans="1:9">
      <c r="A3" s="3563"/>
      <c r="B3" s="3564" t="s">
        <v>2462</v>
      </c>
      <c r="C3" s="3564"/>
      <c r="D3" s="2362"/>
      <c r="E3" s="2360"/>
      <c r="F3" s="2363"/>
      <c r="G3" s="2363"/>
      <c r="H3" s="2364"/>
      <c r="I3" s="2365">
        <f>ROUND(D3*E3*F3*G3*H3/10000,0)</f>
        <v>0</v>
      </c>
    </row>
    <row r="4" spans="1:9">
      <c r="A4" s="3563"/>
      <c r="B4" s="3564" t="s">
        <v>2463</v>
      </c>
      <c r="C4" s="3564"/>
      <c r="D4" s="2362"/>
      <c r="E4" s="2360"/>
      <c r="F4" s="2363"/>
      <c r="G4" s="2363"/>
      <c r="H4" s="2364"/>
      <c r="I4" s="2365">
        <f t="shared" ref="I4:I9" si="0">ROUND(D4*E4*F4*G4*H4/10000,0)</f>
        <v>0</v>
      </c>
    </row>
    <row r="5" spans="1:9">
      <c r="A5" s="3563"/>
      <c r="B5" s="3564" t="s">
        <v>2464</v>
      </c>
      <c r="C5" s="3564"/>
      <c r="D5" s="2362"/>
      <c r="E5" s="2360"/>
      <c r="F5" s="2363"/>
      <c r="G5" s="2363"/>
      <c r="H5" s="2364"/>
      <c r="I5" s="2365">
        <f t="shared" si="0"/>
        <v>0</v>
      </c>
    </row>
    <row r="6" spans="1:9">
      <c r="A6" s="3563"/>
      <c r="B6" s="3564" t="s">
        <v>2465</v>
      </c>
      <c r="C6" s="3564"/>
      <c r="D6" s="2362"/>
      <c r="E6" s="2360"/>
      <c r="F6" s="2363"/>
      <c r="G6" s="2363"/>
      <c r="H6" s="2364"/>
      <c r="I6" s="2365">
        <f t="shared" si="0"/>
        <v>0</v>
      </c>
    </row>
    <row r="7" spans="1:9">
      <c r="A7" s="3563"/>
      <c r="B7" s="3564" t="s">
        <v>2466</v>
      </c>
      <c r="C7" s="3564"/>
      <c r="D7" s="2362"/>
      <c r="E7" s="2360"/>
      <c r="F7" s="2363"/>
      <c r="G7" s="2363"/>
      <c r="H7" s="2364"/>
      <c r="I7" s="2365">
        <f t="shared" si="0"/>
        <v>0</v>
      </c>
    </row>
    <row r="8" spans="1:9">
      <c r="A8" s="3563"/>
      <c r="B8" s="3564" t="s">
        <v>2467</v>
      </c>
      <c r="C8" s="3564"/>
      <c r="D8" s="2362"/>
      <c r="E8" s="2360"/>
      <c r="F8" s="2363"/>
      <c r="G8" s="2363"/>
      <c r="H8" s="2364"/>
      <c r="I8" s="2365">
        <f t="shared" si="0"/>
        <v>0</v>
      </c>
    </row>
    <row r="9" spans="1:9">
      <c r="A9" s="3563"/>
      <c r="B9" s="3564" t="s">
        <v>2468</v>
      </c>
      <c r="C9" s="3564"/>
      <c r="D9" s="2362"/>
      <c r="E9" s="2360"/>
      <c r="F9" s="2363"/>
      <c r="G9" s="2363"/>
      <c r="H9" s="2364"/>
      <c r="I9" s="2365">
        <f t="shared" si="0"/>
        <v>0</v>
      </c>
    </row>
    <row r="10" spans="1:9">
      <c r="A10" s="3563"/>
      <c r="B10" s="3565" t="s">
        <v>2469</v>
      </c>
      <c r="C10" s="3565"/>
      <c r="D10" s="2366">
        <v>527</v>
      </c>
      <c r="E10" s="2366" t="e">
        <f>ROUND(D1*10000/D10/H9,0)</f>
        <v>#DIV/0!</v>
      </c>
      <c r="F10" s="2367"/>
      <c r="G10" s="2367"/>
      <c r="H10" s="2368"/>
      <c r="I10" s="2369">
        <f>SUM(I3:I9)</f>
        <v>0</v>
      </c>
    </row>
    <row r="11" spans="1:9" ht="14.25">
      <c r="A11" s="3563" t="s">
        <v>2470</v>
      </c>
      <c r="B11" s="3564" t="s">
        <v>2471</v>
      </c>
      <c r="C11" s="3564"/>
      <c r="D11" s="2362" t="s">
        <v>2472</v>
      </c>
      <c r="E11" s="2362" t="s">
        <v>2473</v>
      </c>
      <c r="F11" s="2363" t="s">
        <v>2474</v>
      </c>
      <c r="G11" s="2363" t="s">
        <v>2475</v>
      </c>
      <c r="H11" s="2370" t="s">
        <v>2476</v>
      </c>
      <c r="I11" s="2361" t="s">
        <v>2477</v>
      </c>
    </row>
    <row r="12" spans="1:9">
      <c r="A12" s="3563"/>
      <c r="B12" s="3564" t="s">
        <v>2478</v>
      </c>
      <c r="C12" s="3564"/>
      <c r="D12" s="2362"/>
      <c r="E12" s="2362"/>
      <c r="F12" s="2363"/>
      <c r="G12" s="2364"/>
      <c r="H12" s="2371"/>
      <c r="I12" s="2361">
        <f>ROUND(D12*E12*F12*G12/10000,0)</f>
        <v>0</v>
      </c>
    </row>
    <row r="13" spans="1:9">
      <c r="A13" s="3563"/>
      <c r="B13" s="3564" t="s">
        <v>2479</v>
      </c>
      <c r="C13" s="3564"/>
      <c r="D13" s="2362"/>
      <c r="E13" s="2362"/>
      <c r="F13" s="2363"/>
      <c r="G13" s="2364"/>
      <c r="H13" s="2371"/>
      <c r="I13" s="2361">
        <f>ROUND(D13*E13*F13*G13/10000,0)</f>
        <v>0</v>
      </c>
    </row>
    <row r="14" spans="1:9">
      <c r="A14" s="3563"/>
      <c r="B14" s="3564" t="s">
        <v>2480</v>
      </c>
      <c r="C14" s="3564"/>
      <c r="D14" s="2362"/>
      <c r="E14" s="2362"/>
      <c r="F14" s="2363"/>
      <c r="G14" s="2364"/>
      <c r="H14" s="2371"/>
      <c r="I14" s="2361">
        <f>ROUND(D14*E14*F14*G14/10000,0)</f>
        <v>0</v>
      </c>
    </row>
    <row r="15" spans="1:9">
      <c r="A15" s="3563"/>
      <c r="B15" s="3565" t="s">
        <v>2469</v>
      </c>
      <c r="C15" s="3565"/>
      <c r="D15" s="2366"/>
      <c r="E15" s="2366">
        <f>SUM(E12:E14)</f>
        <v>0</v>
      </c>
      <c r="F15" s="2367"/>
      <c r="G15" s="2364"/>
      <c r="H15" s="2371"/>
      <c r="I15" s="2372">
        <f>SUM(I12:I14)</f>
        <v>0</v>
      </c>
    </row>
    <row r="16" spans="1:9" ht="24">
      <c r="A16" s="3563" t="s">
        <v>2481</v>
      </c>
      <c r="B16" s="3564" t="s">
        <v>2482</v>
      </c>
      <c r="C16" s="3564"/>
      <c r="D16" s="2362" t="s">
        <v>2483</v>
      </c>
      <c r="E16" s="2373" t="s">
        <v>2484</v>
      </c>
      <c r="F16" s="2363" t="s">
        <v>2485</v>
      </c>
      <c r="G16" s="2364" t="s">
        <v>2475</v>
      </c>
      <c r="H16" s="2370" t="s">
        <v>2476</v>
      </c>
      <c r="I16" s="2361" t="s">
        <v>2477</v>
      </c>
    </row>
    <row r="17" spans="1:9" ht="14.25">
      <c r="A17" s="3563"/>
      <c r="B17" s="3564" t="s">
        <v>2486</v>
      </c>
      <c r="C17" s="3564"/>
      <c r="D17" s="2362"/>
      <c r="E17" s="2362"/>
      <c r="F17" s="2363"/>
      <c r="G17" s="2364"/>
      <c r="H17" s="2374"/>
      <c r="I17" s="2375">
        <f>ROUND(D17*E17*F17*G17/10000,0)</f>
        <v>0</v>
      </c>
    </row>
    <row r="18" spans="1:9" ht="14.25">
      <c r="A18" s="3563"/>
      <c r="B18" s="3564" t="s">
        <v>2487</v>
      </c>
      <c r="C18" s="3564"/>
      <c r="D18" s="2362"/>
      <c r="E18" s="2362"/>
      <c r="F18" s="2363"/>
      <c r="G18" s="2364"/>
      <c r="H18" s="2374"/>
      <c r="I18" s="2375">
        <f>ROUND(D18*E18*F18*G18/10000,0)</f>
        <v>0</v>
      </c>
    </row>
    <row r="19" spans="1:9" ht="14.25">
      <c r="A19" s="3563"/>
      <c r="B19" s="3564" t="s">
        <v>2488</v>
      </c>
      <c r="C19" s="3564"/>
      <c r="D19" s="2362"/>
      <c r="E19" s="2362"/>
      <c r="F19" s="2363"/>
      <c r="G19" s="2364"/>
      <c r="H19" s="2374"/>
      <c r="I19" s="2375">
        <f>ROUND(D19*E19*F19*G19/10000,0)</f>
        <v>0</v>
      </c>
    </row>
    <row r="20" spans="1:9">
      <c r="A20" s="3563"/>
      <c r="B20" s="3565" t="s">
        <v>2469</v>
      </c>
      <c r="C20" s="3565"/>
      <c r="D20" s="2366">
        <f>SUM(D17:D19)</f>
        <v>0</v>
      </c>
      <c r="E20" s="2366"/>
      <c r="F20" s="2367"/>
      <c r="G20" s="2364"/>
      <c r="H20" s="2371"/>
      <c r="I20" s="2372">
        <f>SUM(I17:I19)</f>
        <v>0</v>
      </c>
    </row>
    <row r="21" spans="1:9">
      <c r="A21" s="3563" t="s">
        <v>2489</v>
      </c>
      <c r="B21" s="3566"/>
      <c r="C21" s="3566"/>
      <c r="D21" s="3566"/>
      <c r="E21" s="3566"/>
      <c r="F21" s="3566"/>
      <c r="G21" s="3566"/>
      <c r="H21" s="2376">
        <v>0.1</v>
      </c>
      <c r="I21" s="2369">
        <f>ROUND(I10*H21,0)</f>
        <v>0</v>
      </c>
    </row>
    <row r="22" spans="1:9" ht="14.25">
      <c r="A22" s="3567" t="s">
        <v>2490</v>
      </c>
      <c r="B22" s="3568"/>
      <c r="C22" s="3569"/>
      <c r="D22" s="2377" t="s">
        <v>2491</v>
      </c>
      <c r="E22" s="2377" t="s">
        <v>2492</v>
      </c>
      <c r="F22" s="2378" t="s">
        <v>2493</v>
      </c>
      <c r="G22" s="2378" t="s">
        <v>2494</v>
      </c>
      <c r="H22" s="2370" t="s">
        <v>2495</v>
      </c>
      <c r="I22" s="2361" t="s">
        <v>2496</v>
      </c>
    </row>
    <row r="23" spans="1:9" ht="14.25" thickBot="1">
      <c r="A23" s="3570"/>
      <c r="B23" s="3571"/>
      <c r="C23" s="3572"/>
      <c r="D23" s="2379"/>
      <c r="E23" s="2379"/>
      <c r="F23" s="2379"/>
      <c r="G23" s="2380"/>
      <c r="H23" s="2381"/>
      <c r="I23" s="2382">
        <f>ROUND(E23*D23*F23*(1-G23)/10000,0)</f>
        <v>0</v>
      </c>
    </row>
    <row r="26" spans="1:9">
      <c r="A26" s="2383" t="s">
        <v>2497</v>
      </c>
      <c r="B26" s="2383"/>
      <c r="C26" s="2383"/>
      <c r="D26" s="2383"/>
      <c r="E26" s="3560">
        <f>C27-C30-C31-C32</f>
        <v>0</v>
      </c>
      <c r="F26" s="3560"/>
      <c r="G26" s="3560"/>
      <c r="H26" s="2756" t="s">
        <v>2822</v>
      </c>
    </row>
    <row r="27" spans="1:9">
      <c r="A27" s="2384">
        <v>1</v>
      </c>
      <c r="B27" s="2385" t="s">
        <v>2498</v>
      </c>
      <c r="C27" s="2385"/>
      <c r="D27" s="2385"/>
      <c r="E27" s="3561"/>
      <c r="F27" s="3561"/>
      <c r="G27" s="3561"/>
    </row>
    <row r="28" spans="1:9">
      <c r="A28" s="2386" t="s">
        <v>2499</v>
      </c>
      <c r="B28" s="2385" t="s">
        <v>2500</v>
      </c>
      <c r="C28" s="2385"/>
      <c r="D28" s="2385"/>
      <c r="E28" s="3561"/>
      <c r="F28" s="3561"/>
      <c r="G28" s="356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2"/>
      <c r="F32" s="3562"/>
      <c r="G32" s="3562"/>
    </row>
    <row r="33" spans="1:7" hidden="1">
      <c r="A33" s="3557" t="s">
        <v>2508</v>
      </c>
      <c r="B33" s="3558"/>
      <c r="C33" s="3558"/>
      <c r="D33" s="3559"/>
      <c r="E33" s="3560"/>
      <c r="F33" s="3560"/>
      <c r="G33" s="3560"/>
    </row>
    <row r="34" spans="1:7" hidden="1">
      <c r="A34" s="2388">
        <v>1</v>
      </c>
      <c r="B34" s="2385" t="s">
        <v>2509</v>
      </c>
      <c r="C34" s="2385"/>
      <c r="D34" s="2385"/>
      <c r="E34" s="3561"/>
      <c r="F34" s="3561"/>
      <c r="G34" s="3561"/>
    </row>
    <row r="35" spans="1:7" hidden="1">
      <c r="A35" s="2388">
        <v>2</v>
      </c>
      <c r="B35" s="2385" t="s">
        <v>2510</v>
      </c>
      <c r="C35" s="2385"/>
      <c r="D35" s="2385"/>
      <c r="E35" s="3561"/>
      <c r="F35" s="3561"/>
      <c r="G35" s="3561"/>
    </row>
    <row r="36" spans="1:7" hidden="1">
      <c r="A36" s="2388">
        <v>3</v>
      </c>
      <c r="B36" s="2385" t="s">
        <v>2511</v>
      </c>
      <c r="C36" s="2385"/>
      <c r="D36" s="2385"/>
      <c r="E36" s="3561"/>
      <c r="F36" s="3561"/>
      <c r="G36" s="3561"/>
    </row>
    <row r="37" spans="1:7" hidden="1">
      <c r="A37" s="2388">
        <v>4</v>
      </c>
      <c r="B37" s="2385" t="s">
        <v>2512</v>
      </c>
      <c r="C37" s="2385"/>
      <c r="D37" s="2385"/>
      <c r="E37" s="3561"/>
      <c r="F37" s="3561"/>
      <c r="G37" s="3561"/>
    </row>
    <row r="38" spans="1:7" hidden="1">
      <c r="A38" s="3557" t="s">
        <v>2513</v>
      </c>
      <c r="B38" s="3558"/>
      <c r="C38" s="3558"/>
      <c r="D38" s="3559"/>
      <c r="E38" s="3560"/>
      <c r="F38" s="3560"/>
      <c r="G38" s="35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7" sqref="K37"/>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1"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180</v>
      </c>
      <c r="D13" s="3271">
        <f>'数据-汇总表'!E6</f>
        <v>9000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0.88600000000000001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80" t="s">
        <v>516</v>
      </c>
      <c r="D4" s="3481"/>
      <c r="E4" s="3505" t="s">
        <v>517</v>
      </c>
      <c r="F4" s="3506"/>
      <c r="G4" s="3480" t="s">
        <v>518</v>
      </c>
      <c r="H4" s="3481"/>
      <c r="I4" s="3480" t="s">
        <v>519</v>
      </c>
      <c r="J4" s="3481"/>
      <c r="K4" s="842" t="s">
        <v>520</v>
      </c>
      <c r="L4" s="2015"/>
      <c r="M4" s="2016"/>
      <c r="N4" s="2016"/>
      <c r="O4" s="2016"/>
      <c r="P4" s="3482" t="s">
        <v>521</v>
      </c>
      <c r="Q4" s="3483"/>
      <c r="R4" s="3468" t="s">
        <v>517</v>
      </c>
      <c r="S4" s="3469"/>
      <c r="T4" s="3468" t="s">
        <v>518</v>
      </c>
      <c r="U4" s="3469"/>
      <c r="V4" s="3488" t="s">
        <v>519</v>
      </c>
      <c r="W4" s="3488"/>
      <c r="X4" s="1502"/>
      <c r="Y4" s="3468" t="s">
        <v>521</v>
      </c>
      <c r="Z4" s="3469"/>
      <c r="AA4" s="3463" t="s">
        <v>517</v>
      </c>
      <c r="AB4" s="3463" t="s">
        <v>518</v>
      </c>
      <c r="AC4" s="3463" t="s">
        <v>519</v>
      </c>
    </row>
    <row r="5" spans="1:29" ht="15">
      <c r="A5" s="509"/>
      <c r="B5" s="510"/>
      <c r="C5" s="3491" t="s">
        <v>2897</v>
      </c>
      <c r="D5" s="3492"/>
      <c r="E5" s="3507" t="s">
        <v>2898</v>
      </c>
      <c r="F5" s="3508"/>
      <c r="G5" s="3491" t="s">
        <v>2899</v>
      </c>
      <c r="H5" s="3492"/>
      <c r="I5" s="3491" t="s">
        <v>2900</v>
      </c>
      <c r="J5" s="3492"/>
      <c r="K5" s="843"/>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843"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66" t="s">
        <v>524</v>
      </c>
      <c r="Q7" s="3475"/>
      <c r="R7" s="1503" t="s">
        <v>13</v>
      </c>
      <c r="S7" s="1504">
        <f t="shared" ref="S7:S15" si="0">F7</f>
        <v>0</v>
      </c>
      <c r="T7" s="1503" t="s">
        <v>13</v>
      </c>
      <c r="U7" s="1504">
        <f t="shared" ref="U7:U15" si="1">H7</f>
        <v>0</v>
      </c>
      <c r="V7" s="1503" t="s">
        <v>13</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66" t="s">
        <v>527</v>
      </c>
      <c r="Q8" s="3467"/>
      <c r="R8" s="1503" t="s">
        <v>13</v>
      </c>
      <c r="S8" s="1504">
        <f t="shared" si="0"/>
        <v>0</v>
      </c>
      <c r="T8" s="1503" t="s">
        <v>13</v>
      </c>
      <c r="U8" s="1504">
        <f t="shared" si="1"/>
        <v>0</v>
      </c>
      <c r="V8" s="1503" t="s">
        <v>13</v>
      </c>
      <c r="W8" s="1504">
        <f t="shared" si="2"/>
        <v>0</v>
      </c>
      <c r="X8" s="1505"/>
      <c r="Y8" s="3466" t="s">
        <v>527</v>
      </c>
      <c r="Z8" s="3467"/>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74"/>
      <c r="Q11" s="1134" t="str">
        <f t="shared" si="6"/>
        <v>容积率</v>
      </c>
      <c r="R11" s="1503" t="s">
        <v>11</v>
      </c>
      <c r="S11" s="1504" t="e">
        <f t="shared" si="0"/>
        <v>#N/A</v>
      </c>
      <c r="T11" s="1503" t="s">
        <v>11</v>
      </c>
      <c r="U11" s="1504" t="e">
        <f t="shared" si="1"/>
        <v>#N/A</v>
      </c>
      <c r="V11" s="1503" t="s">
        <v>11</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74"/>
      <c r="Q12" s="1134">
        <f t="shared" si="6"/>
        <v>111</v>
      </c>
      <c r="R12" s="1503" t="s">
        <v>11</v>
      </c>
      <c r="S12" s="1504">
        <f t="shared" si="0"/>
        <v>100</v>
      </c>
      <c r="T12" s="1503" t="s">
        <v>11</v>
      </c>
      <c r="U12" s="1504">
        <f t="shared" si="1"/>
        <v>100</v>
      </c>
      <c r="V12" s="1503" t="s">
        <v>11</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74"/>
      <c r="Q13" s="1134">
        <f t="shared" si="6"/>
        <v>111</v>
      </c>
      <c r="R13" s="1503" t="s">
        <v>11</v>
      </c>
      <c r="S13" s="1504">
        <f t="shared" si="0"/>
        <v>100</v>
      </c>
      <c r="T13" s="1503" t="s">
        <v>11</v>
      </c>
      <c r="U13" s="1504">
        <f t="shared" si="1"/>
        <v>100</v>
      </c>
      <c r="V13" s="1503" t="s">
        <v>11</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74"/>
      <c r="Q14" s="1134">
        <f t="shared" si="6"/>
        <v>111</v>
      </c>
      <c r="R14" s="1503" t="s">
        <v>11</v>
      </c>
      <c r="S14" s="1504">
        <f t="shared" si="0"/>
        <v>100</v>
      </c>
      <c r="T14" s="1503" t="s">
        <v>11</v>
      </c>
      <c r="U14" s="1504">
        <f t="shared" si="1"/>
        <v>100</v>
      </c>
      <c r="V14" s="1503" t="s">
        <v>11</v>
      </c>
      <c r="W14" s="1504">
        <f t="shared" si="2"/>
        <v>100</v>
      </c>
      <c r="X14" s="1505"/>
      <c r="Y14" s="342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76" t="s">
        <v>534</v>
      </c>
      <c r="Q15" s="1507" t="str">
        <f t="shared" si="6"/>
        <v>居住社区成熟度</v>
      </c>
      <c r="R15" s="1508" t="s">
        <v>11</v>
      </c>
      <c r="S15" s="1509">
        <f t="shared" si="0"/>
        <v>100</v>
      </c>
      <c r="T15" s="1508" t="s">
        <v>11</v>
      </c>
      <c r="U15" s="1509">
        <f t="shared" si="1"/>
        <v>100</v>
      </c>
      <c r="V15" s="1508" t="s">
        <v>11</v>
      </c>
      <c r="W15" s="1509">
        <f t="shared" si="2"/>
        <v>100</v>
      </c>
      <c r="X15" s="1502"/>
      <c r="Y15" s="347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77"/>
      <c r="Q16" s="1507"/>
      <c r="R16" s="1508"/>
      <c r="S16" s="1509"/>
      <c r="T16" s="1508"/>
      <c r="U16" s="1509"/>
      <c r="V16" s="1508"/>
      <c r="W16" s="1509"/>
      <c r="X16" s="1502"/>
      <c r="Y16" s="347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77"/>
      <c r="Q17" s="1507" t="str">
        <f>B17</f>
        <v>交通便捷度</v>
      </c>
      <c r="R17" s="1508" t="s">
        <v>11</v>
      </c>
      <c r="S17" s="1509">
        <f>F17</f>
        <v>100</v>
      </c>
      <c r="T17" s="1508" t="s">
        <v>11</v>
      </c>
      <c r="U17" s="1509">
        <f>H17</f>
        <v>100</v>
      </c>
      <c r="V17" s="1508" t="s">
        <v>11</v>
      </c>
      <c r="W17" s="1509">
        <f>J17</f>
        <v>100</v>
      </c>
      <c r="X17" s="1502"/>
      <c r="Y17" s="34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77"/>
      <c r="Q18" s="1507"/>
      <c r="R18" s="1508"/>
      <c r="S18" s="1509"/>
      <c r="T18" s="1508"/>
      <c r="U18" s="1509"/>
      <c r="V18" s="1508"/>
      <c r="W18" s="1509"/>
      <c r="X18" s="1502"/>
      <c r="Y18" s="347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77"/>
      <c r="Q19" s="1507" t="str">
        <f>B19</f>
        <v>公共配套设施</v>
      </c>
      <c r="R19" s="1508" t="s">
        <v>11</v>
      </c>
      <c r="S19" s="1509">
        <f>F19</f>
        <v>100</v>
      </c>
      <c r="T19" s="1508" t="s">
        <v>11</v>
      </c>
      <c r="U19" s="1509">
        <f>H19</f>
        <v>100</v>
      </c>
      <c r="V19" s="1508" t="s">
        <v>11</v>
      </c>
      <c r="W19" s="1509">
        <f>J19</f>
        <v>100</v>
      </c>
      <c r="X19" s="1502"/>
      <c r="Y19" s="347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77"/>
      <c r="Q21" s="2429" t="str">
        <f>B21</f>
        <v>基础设施水平</v>
      </c>
      <c r="R21" s="1508" t="s">
        <v>11</v>
      </c>
      <c r="S21" s="1509">
        <f>F21</f>
        <v>100</v>
      </c>
      <c r="T21" s="1508" t="s">
        <v>11</v>
      </c>
      <c r="U21" s="1509">
        <f>H21</f>
        <v>100</v>
      </c>
      <c r="V21" s="1508" t="s">
        <v>11</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77"/>
      <c r="Q22" s="2429"/>
      <c r="R22" s="1508"/>
      <c r="S22" s="1509"/>
      <c r="T22" s="1508"/>
      <c r="U22" s="1509"/>
      <c r="V22" s="1508"/>
      <c r="W22" s="1509"/>
      <c r="X22" s="2431"/>
      <c r="Y22" s="3477"/>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77"/>
      <c r="Q23" s="1507" t="str">
        <f>B23</f>
        <v>自然及人文环境</v>
      </c>
      <c r="R23" s="1508" t="s">
        <v>11</v>
      </c>
      <c r="S23" s="1509">
        <f>F23</f>
        <v>100</v>
      </c>
      <c r="T23" s="1508" t="s">
        <v>11</v>
      </c>
      <c r="U23" s="1509">
        <f>H23</f>
        <v>100</v>
      </c>
      <c r="V23" s="1508" t="s">
        <v>11</v>
      </c>
      <c r="W23" s="1509">
        <f>J23</f>
        <v>100</v>
      </c>
      <c r="X23" s="1502"/>
      <c r="Y23" s="347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77"/>
      <c r="Q24" s="1507"/>
      <c r="R24" s="1508"/>
      <c r="S24" s="1509"/>
      <c r="T24" s="1508"/>
      <c r="U24" s="1509"/>
      <c r="V24" s="1508"/>
      <c r="W24" s="1509"/>
      <c r="X24" s="1502"/>
      <c r="Y24" s="3477"/>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77"/>
      <c r="Q25" s="1507" t="str">
        <f t="shared" ref="Q25:Q46" si="11">B25</f>
        <v>楼层-1</v>
      </c>
      <c r="R25" s="1508" t="s">
        <v>11</v>
      </c>
      <c r="S25" s="1509">
        <f>F25</f>
        <v>100</v>
      </c>
      <c r="T25" s="1508" t="s">
        <v>11</v>
      </c>
      <c r="U25" s="1509">
        <f>H25</f>
        <v>100</v>
      </c>
      <c r="V25" s="1508" t="s">
        <v>11</v>
      </c>
      <c r="W25" s="1509">
        <f>J25</f>
        <v>100</v>
      </c>
      <c r="X25" s="1502"/>
      <c r="Y25" s="347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77"/>
      <c r="Q26" s="1507" t="str">
        <f t="shared" si="11"/>
        <v>朝向</v>
      </c>
      <c r="R26" s="1508" t="s">
        <v>11</v>
      </c>
      <c r="S26" s="1509">
        <f>F26</f>
        <v>100</v>
      </c>
      <c r="T26" s="1508" t="s">
        <v>11</v>
      </c>
      <c r="U26" s="1509">
        <f>H26</f>
        <v>100</v>
      </c>
      <c r="V26" s="1508" t="s">
        <v>11</v>
      </c>
      <c r="W26" s="1509">
        <f>J26</f>
        <v>100</v>
      </c>
      <c r="X26" s="1502"/>
      <c r="Y26" s="347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77"/>
      <c r="Q27" s="1134" t="str">
        <f t="shared" si="11"/>
        <v>道路级别</v>
      </c>
      <c r="R27" s="1503" t="s">
        <v>11</v>
      </c>
      <c r="S27" s="1504">
        <f>F27</f>
        <v>100</v>
      </c>
      <c r="T27" s="1503" t="s">
        <v>11</v>
      </c>
      <c r="U27" s="1504">
        <f>H27</f>
        <v>100</v>
      </c>
      <c r="V27" s="1503" t="s">
        <v>11</v>
      </c>
      <c r="W27" s="1504">
        <f>J27</f>
        <v>100</v>
      </c>
      <c r="X27" s="1505"/>
      <c r="Y27" s="347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77"/>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77"/>
      <c r="Q29" s="1507">
        <f t="shared" si="11"/>
        <v>111</v>
      </c>
      <c r="R29" s="1508" t="s">
        <v>11</v>
      </c>
      <c r="S29" s="1509">
        <f t="shared" si="12"/>
        <v>100</v>
      </c>
      <c r="T29" s="1508" t="s">
        <v>11</v>
      </c>
      <c r="U29" s="1509">
        <f t="shared" si="13"/>
        <v>100</v>
      </c>
      <c r="V29" s="1508" t="s">
        <v>11</v>
      </c>
      <c r="W29" s="1509">
        <f t="shared" si="14"/>
        <v>100</v>
      </c>
      <c r="X29" s="1502"/>
      <c r="Y29" s="347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77"/>
      <c r="Q30" s="1507">
        <f t="shared" si="11"/>
        <v>111</v>
      </c>
      <c r="R30" s="1508" t="s">
        <v>11</v>
      </c>
      <c r="S30" s="1509">
        <f t="shared" si="12"/>
        <v>100</v>
      </c>
      <c r="T30" s="1508" t="s">
        <v>11</v>
      </c>
      <c r="U30" s="1509">
        <f t="shared" si="13"/>
        <v>100</v>
      </c>
      <c r="V30" s="1508" t="s">
        <v>11</v>
      </c>
      <c r="W30" s="1509">
        <f t="shared" si="14"/>
        <v>100</v>
      </c>
      <c r="X30" s="1502"/>
      <c r="Y30" s="3477"/>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77"/>
      <c r="Q31" s="1507">
        <f t="shared" si="11"/>
        <v>111</v>
      </c>
      <c r="R31" s="1508" t="s">
        <v>11</v>
      </c>
      <c r="S31" s="1509">
        <f t="shared" si="12"/>
        <v>100</v>
      </c>
      <c r="T31" s="1508" t="s">
        <v>11</v>
      </c>
      <c r="U31" s="1509">
        <f t="shared" si="13"/>
        <v>100</v>
      </c>
      <c r="V31" s="1508" t="s">
        <v>11</v>
      </c>
      <c r="W31" s="1509">
        <f t="shared" si="14"/>
        <v>100</v>
      </c>
      <c r="X31" s="1502"/>
      <c r="Y31" s="3477"/>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78" t="s">
        <v>544</v>
      </c>
      <c r="Q32" s="1507" t="str">
        <f t="shared" si="11"/>
        <v>建筑类型</v>
      </c>
      <c r="R32" s="1508" t="s">
        <v>11</v>
      </c>
      <c r="S32" s="1509">
        <f t="shared" si="12"/>
        <v>100</v>
      </c>
      <c r="T32" s="1508" t="s">
        <v>11</v>
      </c>
      <c r="U32" s="1509">
        <f t="shared" si="13"/>
        <v>100</v>
      </c>
      <c r="V32" s="1508" t="s">
        <v>11</v>
      </c>
      <c r="W32" s="1509">
        <f t="shared" si="14"/>
        <v>100</v>
      </c>
      <c r="X32" s="1502"/>
      <c r="Y32" s="347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79"/>
      <c r="Q33" s="1536" t="str">
        <f t="shared" si="11"/>
        <v>项目建筑规模</v>
      </c>
      <c r="R33" s="1512" t="s">
        <v>11</v>
      </c>
      <c r="S33" s="1513" t="e">
        <f t="shared" si="12"/>
        <v>#N/A</v>
      </c>
      <c r="T33" s="1512" t="s">
        <v>11</v>
      </c>
      <c r="U33" s="1513" t="e">
        <f t="shared" si="13"/>
        <v>#N/A</v>
      </c>
      <c r="V33" s="1512" t="s">
        <v>11</v>
      </c>
      <c r="W33" s="1513" t="e">
        <f t="shared" si="14"/>
        <v>#N/A</v>
      </c>
      <c r="X33" s="1514"/>
      <c r="Y33" s="347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79"/>
      <c r="Q34" s="1507" t="str">
        <f t="shared" si="11"/>
        <v>建筑结构</v>
      </c>
      <c r="R34" s="1508" t="s">
        <v>11</v>
      </c>
      <c r="S34" s="1509">
        <f t="shared" si="12"/>
        <v>100</v>
      </c>
      <c r="T34" s="1508" t="s">
        <v>11</v>
      </c>
      <c r="U34" s="1509">
        <f t="shared" si="13"/>
        <v>100</v>
      </c>
      <c r="V34" s="1508" t="s">
        <v>11</v>
      </c>
      <c r="W34" s="1509">
        <f t="shared" si="14"/>
        <v>100</v>
      </c>
      <c r="X34" s="1502"/>
      <c r="Y34" s="347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79"/>
      <c r="Q35" s="1507" t="str">
        <f t="shared" si="11"/>
        <v>建筑品质</v>
      </c>
      <c r="R35" s="1508" t="s">
        <v>11</v>
      </c>
      <c r="S35" s="1509">
        <f t="shared" si="12"/>
        <v>100</v>
      </c>
      <c r="T35" s="1508" t="s">
        <v>11</v>
      </c>
      <c r="U35" s="1509">
        <f t="shared" si="13"/>
        <v>100</v>
      </c>
      <c r="V35" s="1508" t="s">
        <v>11</v>
      </c>
      <c r="W35" s="1509">
        <f t="shared" si="14"/>
        <v>100</v>
      </c>
      <c r="X35" s="1502"/>
      <c r="Y35" s="347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79"/>
      <c r="Q36" s="1507" t="str">
        <f t="shared" si="11"/>
        <v>公共部分装修</v>
      </c>
      <c r="R36" s="1508" t="s">
        <v>11</v>
      </c>
      <c r="S36" s="1509">
        <f t="shared" si="12"/>
        <v>100</v>
      </c>
      <c r="T36" s="1508" t="s">
        <v>11</v>
      </c>
      <c r="U36" s="1509">
        <f t="shared" si="13"/>
        <v>100</v>
      </c>
      <c r="V36" s="1508" t="s">
        <v>11</v>
      </c>
      <c r="W36" s="1509">
        <f t="shared" si="14"/>
        <v>100</v>
      </c>
      <c r="X36" s="1502"/>
      <c r="Y36" s="347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79"/>
      <c r="Q37" s="1134" t="str">
        <f t="shared" si="11"/>
        <v>成新度</v>
      </c>
      <c r="R37" s="1503" t="s">
        <v>11</v>
      </c>
      <c r="S37" s="1504" t="e">
        <f t="shared" si="12"/>
        <v>#N/A</v>
      </c>
      <c r="T37" s="1503" t="s">
        <v>11</v>
      </c>
      <c r="U37" s="1504" t="e">
        <f t="shared" si="13"/>
        <v>#N/A</v>
      </c>
      <c r="V37" s="1503" t="s">
        <v>11</v>
      </c>
      <c r="W37" s="1504" t="e">
        <f t="shared" si="14"/>
        <v>#N/A</v>
      </c>
      <c r="X37" s="1505"/>
      <c r="Y37" s="347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79" t="s">
        <v>544</v>
      </c>
      <c r="Q38" s="1507" t="str">
        <f t="shared" si="11"/>
        <v>物业管理</v>
      </c>
      <c r="R38" s="1508" t="s">
        <v>11</v>
      </c>
      <c r="S38" s="1509">
        <f t="shared" si="12"/>
        <v>100</v>
      </c>
      <c r="T38" s="1508" t="s">
        <v>11</v>
      </c>
      <c r="U38" s="1509">
        <f t="shared" si="13"/>
        <v>100</v>
      </c>
      <c r="V38" s="1508" t="s">
        <v>11</v>
      </c>
      <c r="W38" s="1509">
        <f t="shared" si="14"/>
        <v>100</v>
      </c>
      <c r="X38" s="1502"/>
      <c r="Y38" s="3479"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79"/>
      <c r="Q39" s="1507" t="str">
        <f t="shared" si="11"/>
        <v>市政基础设施</v>
      </c>
      <c r="R39" s="1508" t="s">
        <v>11</v>
      </c>
      <c r="S39" s="1509">
        <f t="shared" si="12"/>
        <v>100</v>
      </c>
      <c r="T39" s="1508" t="s">
        <v>11</v>
      </c>
      <c r="U39" s="1509">
        <f t="shared" si="13"/>
        <v>100</v>
      </c>
      <c r="V39" s="1508" t="s">
        <v>11</v>
      </c>
      <c r="W39" s="1509">
        <f t="shared" si="14"/>
        <v>100</v>
      </c>
      <c r="X39" s="1502"/>
      <c r="Y39" s="347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79"/>
      <c r="Q40" s="1507" t="str">
        <f t="shared" si="11"/>
        <v>房型</v>
      </c>
      <c r="R40" s="1508" t="s">
        <v>11</v>
      </c>
      <c r="S40" s="1509">
        <f t="shared" si="12"/>
        <v>100</v>
      </c>
      <c r="T40" s="1508" t="s">
        <v>11</v>
      </c>
      <c r="U40" s="1509">
        <f t="shared" si="13"/>
        <v>100</v>
      </c>
      <c r="V40" s="1508" t="s">
        <v>11</v>
      </c>
      <c r="W40" s="1509">
        <f t="shared" si="14"/>
        <v>100</v>
      </c>
      <c r="X40" s="1502"/>
      <c r="Y40" s="3479"/>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79"/>
      <c r="Q41" s="1536" t="str">
        <f t="shared" si="11"/>
        <v>单套/主力户型建筑面积</v>
      </c>
      <c r="R41" s="1512" t="s">
        <v>11</v>
      </c>
      <c r="S41" s="1513">
        <f t="shared" si="12"/>
        <v>100</v>
      </c>
      <c r="T41" s="1512" t="s">
        <v>11</v>
      </c>
      <c r="U41" s="1513">
        <f t="shared" si="13"/>
        <v>100</v>
      </c>
      <c r="V41" s="1512" t="s">
        <v>11</v>
      </c>
      <c r="W41" s="1513">
        <f t="shared" si="14"/>
        <v>100</v>
      </c>
      <c r="X41" s="1514"/>
      <c r="Y41" s="347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79"/>
      <c r="Q42" s="1507" t="str">
        <f t="shared" si="11"/>
        <v>内部装修</v>
      </c>
      <c r="R42" s="1508" t="s">
        <v>11</v>
      </c>
      <c r="S42" s="1509">
        <f t="shared" si="12"/>
        <v>100</v>
      </c>
      <c r="T42" s="1508" t="s">
        <v>11</v>
      </c>
      <c r="U42" s="1509">
        <f t="shared" si="13"/>
        <v>100</v>
      </c>
      <c r="V42" s="1508" t="s">
        <v>11</v>
      </c>
      <c r="W42" s="1509">
        <f t="shared" si="14"/>
        <v>100</v>
      </c>
      <c r="X42" s="1502"/>
      <c r="Y42" s="3479"/>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79"/>
      <c r="Q43" s="1507" t="str">
        <f t="shared" si="11"/>
        <v>内部装修维护情况</v>
      </c>
      <c r="R43" s="1508" t="s">
        <v>11</v>
      </c>
      <c r="S43" s="1509">
        <f t="shared" si="12"/>
        <v>100</v>
      </c>
      <c r="T43" s="1508" t="s">
        <v>11</v>
      </c>
      <c r="U43" s="1509">
        <f t="shared" si="13"/>
        <v>100</v>
      </c>
      <c r="V43" s="1508" t="s">
        <v>11</v>
      </c>
      <c r="W43" s="1509">
        <f t="shared" si="14"/>
        <v>100</v>
      </c>
      <c r="X43" s="1502"/>
      <c r="Y43" s="347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79"/>
      <c r="Q44" s="1134">
        <f t="shared" si="11"/>
        <v>111</v>
      </c>
      <c r="R44" s="1503" t="s">
        <v>11</v>
      </c>
      <c r="S44" s="1504">
        <f t="shared" si="12"/>
        <v>100</v>
      </c>
      <c r="T44" s="1503" t="s">
        <v>11</v>
      </c>
      <c r="U44" s="1504">
        <f t="shared" si="13"/>
        <v>100</v>
      </c>
      <c r="V44" s="1503" t="s">
        <v>11</v>
      </c>
      <c r="W44" s="1504">
        <f t="shared" si="14"/>
        <v>100</v>
      </c>
      <c r="X44" s="1505"/>
      <c r="Y44" s="347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79"/>
      <c r="Q45" s="1507">
        <f t="shared" si="11"/>
        <v>111</v>
      </c>
      <c r="R45" s="1508" t="s">
        <v>11</v>
      </c>
      <c r="S45" s="1509">
        <f t="shared" si="12"/>
        <v>100</v>
      </c>
      <c r="T45" s="1508" t="s">
        <v>11</v>
      </c>
      <c r="U45" s="1509">
        <f t="shared" si="13"/>
        <v>100</v>
      </c>
      <c r="V45" s="1508" t="s">
        <v>11</v>
      </c>
      <c r="W45" s="1509">
        <f t="shared" si="14"/>
        <v>100</v>
      </c>
      <c r="X45" s="1502"/>
      <c r="Y45" s="3479"/>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80"/>
      <c r="Q46" s="1507">
        <f t="shared" si="11"/>
        <v>111</v>
      </c>
      <c r="R46" s="1508" t="s">
        <v>10</v>
      </c>
      <c r="S46" s="1509">
        <f t="shared" si="12"/>
        <v>100</v>
      </c>
      <c r="T46" s="1508" t="s">
        <v>10</v>
      </c>
      <c r="U46" s="1509">
        <f t="shared" si="13"/>
        <v>100</v>
      </c>
      <c r="V46" s="1508" t="s">
        <v>10</v>
      </c>
      <c r="W46" s="1509">
        <f t="shared" si="14"/>
        <v>100</v>
      </c>
      <c r="X46" s="1502"/>
      <c r="Y46" s="3580"/>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74" t="str">
        <f>A47</f>
        <v>成交单价（元/平方米）</v>
      </c>
      <c r="Q47" s="3474"/>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3474" t="str">
        <f>A48</f>
        <v>比较价格（元/平方米）</v>
      </c>
      <c r="Q48" s="3474"/>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495" t="str">
        <f>A49</f>
        <v>估价对象XX用房的比较价格（楼面单价，元/平方米）</v>
      </c>
      <c r="Q49" s="3496"/>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0" t="s">
        <v>516</v>
      </c>
      <c r="D4" s="3481"/>
      <c r="E4" s="3505" t="s">
        <v>517</v>
      </c>
      <c r="F4" s="3506"/>
      <c r="G4" s="3480" t="s">
        <v>518</v>
      </c>
      <c r="H4" s="3481"/>
      <c r="I4" s="3480" t="s">
        <v>519</v>
      </c>
      <c r="J4" s="3481"/>
      <c r="K4" s="508" t="s">
        <v>520</v>
      </c>
      <c r="L4" s="2015"/>
      <c r="M4" s="2016"/>
      <c r="N4" s="2016"/>
      <c r="O4" s="2016"/>
      <c r="P4" s="3482" t="s">
        <v>521</v>
      </c>
      <c r="Q4" s="3483"/>
      <c r="R4" s="3468" t="s">
        <v>517</v>
      </c>
      <c r="S4" s="3469"/>
      <c r="T4" s="3468" t="s">
        <v>518</v>
      </c>
      <c r="U4" s="3469"/>
      <c r="V4" s="3488" t="s">
        <v>519</v>
      </c>
      <c r="W4" s="3488"/>
      <c r="X4" s="1502"/>
      <c r="Y4" s="3468" t="s">
        <v>521</v>
      </c>
      <c r="Z4" s="3469"/>
      <c r="AA4" s="3463" t="s">
        <v>517</v>
      </c>
      <c r="AB4" s="3488" t="s">
        <v>518</v>
      </c>
      <c r="AC4" s="3463" t="s">
        <v>519</v>
      </c>
    </row>
    <row r="5" spans="1:29" ht="15">
      <c r="A5" s="509"/>
      <c r="B5" s="510"/>
      <c r="C5" s="3491" t="s">
        <v>2897</v>
      </c>
      <c r="D5" s="3492"/>
      <c r="E5" s="3507" t="s">
        <v>2898</v>
      </c>
      <c r="F5" s="3508"/>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88"/>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88"/>
      <c r="AC6" s="3465"/>
    </row>
    <row r="7" spans="1:29" s="1203" customFormat="1" ht="15.75" thickBot="1">
      <c r="A7" s="2629"/>
      <c r="B7" s="2636" t="s">
        <v>523</v>
      </c>
      <c r="C7" s="513">
        <f>'数据-取费表'!B2</f>
        <v>44269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66" t="s">
        <v>524</v>
      </c>
      <c r="Q7" s="3475"/>
      <c r="R7" s="1503" t="s">
        <v>8</v>
      </c>
      <c r="S7" s="1504">
        <f t="shared" ref="S7:S15" si="0">F7</f>
        <v>0</v>
      </c>
      <c r="T7" s="1503" t="s">
        <v>8</v>
      </c>
      <c r="U7" s="1504">
        <f t="shared" ref="U7:U15" si="1">H7</f>
        <v>0</v>
      </c>
      <c r="V7" s="1503" t="s">
        <v>8</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74"/>
      <c r="Q11" s="1134" t="str">
        <f t="shared" si="6"/>
        <v>容积率</v>
      </c>
      <c r="R11" s="1503" t="s">
        <v>8</v>
      </c>
      <c r="S11" s="1504" t="e">
        <f t="shared" si="0"/>
        <v>#N/A</v>
      </c>
      <c r="T11" s="1503" t="s">
        <v>8</v>
      </c>
      <c r="U11" s="1504" t="e">
        <f t="shared" si="1"/>
        <v>#N/A</v>
      </c>
      <c r="V11" s="1503" t="s">
        <v>8</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76" t="s">
        <v>534</v>
      </c>
      <c r="Q15" s="1507" t="str">
        <f t="shared" si="6"/>
        <v>商业繁华度</v>
      </c>
      <c r="R15" s="1508" t="s">
        <v>8</v>
      </c>
      <c r="S15" s="1509">
        <f t="shared" si="0"/>
        <v>100</v>
      </c>
      <c r="T15" s="1508" t="s">
        <v>8</v>
      </c>
      <c r="U15" s="1509">
        <f t="shared" si="1"/>
        <v>100</v>
      </c>
      <c r="V15" s="1508" t="s">
        <v>8</v>
      </c>
      <c r="W15" s="1509">
        <f t="shared" si="2"/>
        <v>100</v>
      </c>
      <c r="X15" s="1502"/>
      <c r="Y15" s="347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7"/>
      <c r="Q16" s="1507"/>
      <c r="R16" s="1508"/>
      <c r="S16" s="1509"/>
      <c r="T16" s="1508"/>
      <c r="U16" s="1509"/>
      <c r="V16" s="1508"/>
      <c r="W16" s="1509"/>
      <c r="X16" s="1502"/>
      <c r="Y16" s="347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77"/>
      <c r="Q17" s="1507" t="str">
        <f>B17</f>
        <v>交通便捷度</v>
      </c>
      <c r="R17" s="1508" t="s">
        <v>8</v>
      </c>
      <c r="S17" s="1509">
        <f>F17</f>
        <v>100</v>
      </c>
      <c r="T17" s="1508" t="s">
        <v>8</v>
      </c>
      <c r="U17" s="1509">
        <f>H17</f>
        <v>100</v>
      </c>
      <c r="V17" s="1508" t="s">
        <v>8</v>
      </c>
      <c r="W17" s="1509">
        <f>J17</f>
        <v>100</v>
      </c>
      <c r="X17" s="1502"/>
      <c r="Y17" s="34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7"/>
      <c r="Q18" s="1507"/>
      <c r="R18" s="1508"/>
      <c r="S18" s="1509"/>
      <c r="T18" s="1508"/>
      <c r="U18" s="1509"/>
      <c r="V18" s="1508"/>
      <c r="W18" s="1509"/>
      <c r="X18" s="1502"/>
      <c r="Y18" s="347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77"/>
      <c r="Q19" s="1507" t="str">
        <f>B19</f>
        <v>公共配套设施</v>
      </c>
      <c r="R19" s="1508" t="s">
        <v>8</v>
      </c>
      <c r="S19" s="1509">
        <f>F19</f>
        <v>100</v>
      </c>
      <c r="T19" s="1508" t="s">
        <v>8</v>
      </c>
      <c r="U19" s="1509">
        <f>H19</f>
        <v>100</v>
      </c>
      <c r="V19" s="1508" t="s">
        <v>8</v>
      </c>
      <c r="W19" s="1509">
        <f>J19</f>
        <v>100</v>
      </c>
      <c r="X19" s="1502"/>
      <c r="Y19" s="347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77"/>
      <c r="Q21" s="2429" t="str">
        <f>B21</f>
        <v>基础设施水平</v>
      </c>
      <c r="R21" s="1508" t="s">
        <v>8</v>
      </c>
      <c r="S21" s="1509">
        <f>F21</f>
        <v>100</v>
      </c>
      <c r="T21" s="1508" t="s">
        <v>8</v>
      </c>
      <c r="U21" s="1509">
        <f>H21</f>
        <v>100</v>
      </c>
      <c r="V21" s="1508" t="s">
        <v>8</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77"/>
      <c r="Q22" s="2429"/>
      <c r="R22" s="1508"/>
      <c r="S22" s="1509"/>
      <c r="T22" s="1508"/>
      <c r="U22" s="1509"/>
      <c r="V22" s="1508"/>
      <c r="W22" s="1509"/>
      <c r="X22" s="2431"/>
      <c r="Y22" s="3477"/>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77"/>
      <c r="Q23" s="1507" t="str">
        <f>B23</f>
        <v>自然及人文环境</v>
      </c>
      <c r="R23" s="1508" t="s">
        <v>8</v>
      </c>
      <c r="S23" s="1509">
        <f>F23</f>
        <v>100</v>
      </c>
      <c r="T23" s="1508" t="s">
        <v>8</v>
      </c>
      <c r="U23" s="1509">
        <f>H23</f>
        <v>100</v>
      </c>
      <c r="V23" s="1508" t="s">
        <v>8</v>
      </c>
      <c r="W23" s="1509">
        <f>J23</f>
        <v>100</v>
      </c>
      <c r="X23" s="1502"/>
      <c r="Y23" s="347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77"/>
      <c r="Q24" s="1507"/>
      <c r="R24" s="1508"/>
      <c r="S24" s="1509"/>
      <c r="T24" s="1508"/>
      <c r="U24" s="1509"/>
      <c r="V24" s="1508"/>
      <c r="W24" s="1509"/>
      <c r="X24" s="1502"/>
      <c r="Y24" s="347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77"/>
      <c r="Q25" s="1507" t="str">
        <f t="shared" ref="Q25:Q46" si="11">B25</f>
        <v>临街状况</v>
      </c>
      <c r="R25" s="1508" t="s">
        <v>8</v>
      </c>
      <c r="S25" s="1509">
        <f>F25</f>
        <v>100</v>
      </c>
      <c r="T25" s="1508" t="s">
        <v>8</v>
      </c>
      <c r="U25" s="1509">
        <f>H25</f>
        <v>100</v>
      </c>
      <c r="V25" s="1508" t="s">
        <v>8</v>
      </c>
      <c r="W25" s="1509">
        <f>J25</f>
        <v>100</v>
      </c>
      <c r="X25" s="1502"/>
      <c r="Y25" s="347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77"/>
      <c r="Q26" s="1507" t="str">
        <f t="shared" si="11"/>
        <v>平面位置/可视性</v>
      </c>
      <c r="R26" s="1508" t="s">
        <v>8</v>
      </c>
      <c r="S26" s="1509">
        <f>F26</f>
        <v>100</v>
      </c>
      <c r="T26" s="1508" t="s">
        <v>8</v>
      </c>
      <c r="U26" s="1509">
        <f>H26</f>
        <v>100</v>
      </c>
      <c r="V26" s="1508" t="s">
        <v>8</v>
      </c>
      <c r="W26" s="1509">
        <f>J26</f>
        <v>100</v>
      </c>
      <c r="X26" s="1502"/>
      <c r="Y26" s="347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77"/>
      <c r="Q27" s="1134" t="str">
        <f t="shared" si="11"/>
        <v>人流量</v>
      </c>
      <c r="R27" s="1503" t="s">
        <v>8</v>
      </c>
      <c r="S27" s="1504">
        <f>F27</f>
        <v>100</v>
      </c>
      <c r="T27" s="1503" t="s">
        <v>8</v>
      </c>
      <c r="U27" s="1504">
        <f>H27</f>
        <v>100</v>
      </c>
      <c r="V27" s="1503" t="s">
        <v>8</v>
      </c>
      <c r="W27" s="1504">
        <f>J27</f>
        <v>100</v>
      </c>
      <c r="X27" s="1505"/>
      <c r="Y27" s="347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7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77"/>
      <c r="Q29" s="1507">
        <f t="shared" si="11"/>
        <v>111</v>
      </c>
      <c r="R29" s="1508" t="s">
        <v>8</v>
      </c>
      <c r="S29" s="1509">
        <f t="shared" si="12"/>
        <v>100</v>
      </c>
      <c r="T29" s="1508" t="s">
        <v>8</v>
      </c>
      <c r="U29" s="1509">
        <f t="shared" si="13"/>
        <v>100</v>
      </c>
      <c r="V29" s="1508" t="s">
        <v>8</v>
      </c>
      <c r="W29" s="1509">
        <f t="shared" si="14"/>
        <v>100</v>
      </c>
      <c r="X29" s="1502"/>
      <c r="Y29" s="347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77"/>
      <c r="Q30" s="1507">
        <f t="shared" si="11"/>
        <v>111</v>
      </c>
      <c r="R30" s="1508" t="s">
        <v>8</v>
      </c>
      <c r="S30" s="1509">
        <f t="shared" si="12"/>
        <v>100</v>
      </c>
      <c r="T30" s="1508" t="s">
        <v>8</v>
      </c>
      <c r="U30" s="1509">
        <f t="shared" si="13"/>
        <v>100</v>
      </c>
      <c r="V30" s="1508" t="s">
        <v>8</v>
      </c>
      <c r="W30" s="1509">
        <f t="shared" si="14"/>
        <v>100</v>
      </c>
      <c r="X30" s="1502"/>
      <c r="Y30" s="3477"/>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77"/>
      <c r="Q31" s="1507">
        <f t="shared" si="11"/>
        <v>111</v>
      </c>
      <c r="R31" s="1508" t="s">
        <v>8</v>
      </c>
      <c r="S31" s="1509">
        <f t="shared" si="12"/>
        <v>100</v>
      </c>
      <c r="T31" s="1508" t="s">
        <v>8</v>
      </c>
      <c r="U31" s="1509">
        <f t="shared" si="13"/>
        <v>100</v>
      </c>
      <c r="V31" s="1508" t="s">
        <v>8</v>
      </c>
      <c r="W31" s="1509">
        <f t="shared" si="14"/>
        <v>100</v>
      </c>
      <c r="X31" s="1502"/>
      <c r="Y31" s="3477"/>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78" t="s">
        <v>544</v>
      </c>
      <c r="Q32" s="1507" t="str">
        <f t="shared" si="11"/>
        <v>商业类型</v>
      </c>
      <c r="R32" s="1508" t="s">
        <v>8</v>
      </c>
      <c r="S32" s="1509">
        <f t="shared" si="12"/>
        <v>100</v>
      </c>
      <c r="T32" s="1508" t="s">
        <v>8</v>
      </c>
      <c r="U32" s="1509">
        <f t="shared" si="13"/>
        <v>100</v>
      </c>
      <c r="V32" s="1508" t="s">
        <v>8</v>
      </c>
      <c r="W32" s="1509">
        <f t="shared" si="14"/>
        <v>100</v>
      </c>
      <c r="X32" s="1502"/>
      <c r="Y32" s="347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79"/>
      <c r="Q33" s="1536" t="str">
        <f t="shared" si="11"/>
        <v>项目建筑规模</v>
      </c>
      <c r="R33" s="1512" t="s">
        <v>8</v>
      </c>
      <c r="S33" s="1513" t="e">
        <f t="shared" si="12"/>
        <v>#N/A</v>
      </c>
      <c r="T33" s="1512" t="s">
        <v>8</v>
      </c>
      <c r="U33" s="1513" t="e">
        <f t="shared" si="13"/>
        <v>#N/A</v>
      </c>
      <c r="V33" s="1512" t="s">
        <v>8</v>
      </c>
      <c r="W33" s="1513" t="e">
        <f t="shared" si="14"/>
        <v>#N/A</v>
      </c>
      <c r="X33" s="1514"/>
      <c r="Y33" s="347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79"/>
      <c r="Q34" s="1507" t="str">
        <f t="shared" si="11"/>
        <v>建筑结构</v>
      </c>
      <c r="R34" s="1508" t="s">
        <v>8</v>
      </c>
      <c r="S34" s="1509">
        <f t="shared" si="12"/>
        <v>100</v>
      </c>
      <c r="T34" s="1508" t="s">
        <v>8</v>
      </c>
      <c r="U34" s="1509">
        <f t="shared" si="13"/>
        <v>100</v>
      </c>
      <c r="V34" s="1508" t="s">
        <v>8</v>
      </c>
      <c r="W34" s="1509">
        <f t="shared" si="14"/>
        <v>100</v>
      </c>
      <c r="X34" s="1502"/>
      <c r="Y34" s="347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79"/>
      <c r="Q35" s="1507" t="str">
        <f t="shared" si="11"/>
        <v>公共部分装修</v>
      </c>
      <c r="R35" s="1508" t="s">
        <v>8</v>
      </c>
      <c r="S35" s="1509">
        <f t="shared" si="12"/>
        <v>100</v>
      </c>
      <c r="T35" s="1508" t="s">
        <v>8</v>
      </c>
      <c r="U35" s="1509">
        <f t="shared" si="13"/>
        <v>100</v>
      </c>
      <c r="V35" s="1508" t="s">
        <v>8</v>
      </c>
      <c r="W35" s="1509">
        <f t="shared" si="14"/>
        <v>100</v>
      </c>
      <c r="X35" s="1502"/>
      <c r="Y35" s="347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79"/>
      <c r="Q36" s="1507" t="str">
        <f t="shared" si="11"/>
        <v>成新度</v>
      </c>
      <c r="R36" s="1508" t="s">
        <v>8</v>
      </c>
      <c r="S36" s="1509" t="e">
        <f t="shared" si="12"/>
        <v>#N/A</v>
      </c>
      <c r="T36" s="1508" t="s">
        <v>8</v>
      </c>
      <c r="U36" s="1509" t="e">
        <f t="shared" si="13"/>
        <v>#N/A</v>
      </c>
      <c r="V36" s="1508" t="s">
        <v>8</v>
      </c>
      <c r="W36" s="1509" t="e">
        <f t="shared" si="14"/>
        <v>#N/A</v>
      </c>
      <c r="X36" s="1502"/>
      <c r="Y36" s="3479"/>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79"/>
      <c r="Q37" s="1134" t="str">
        <f t="shared" si="11"/>
        <v>市政基础设施</v>
      </c>
      <c r="R37" s="1503" t="s">
        <v>8</v>
      </c>
      <c r="S37" s="1504">
        <f t="shared" si="12"/>
        <v>100</v>
      </c>
      <c r="T37" s="1503" t="s">
        <v>8</v>
      </c>
      <c r="U37" s="1504">
        <f t="shared" si="13"/>
        <v>100</v>
      </c>
      <c r="V37" s="1503" t="s">
        <v>8</v>
      </c>
      <c r="W37" s="1504">
        <f t="shared" si="14"/>
        <v>100</v>
      </c>
      <c r="X37" s="1505"/>
      <c r="Y37" s="347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79" t="s">
        <v>760</v>
      </c>
      <c r="Q38" s="1507" t="str">
        <f t="shared" si="11"/>
        <v>业态</v>
      </c>
      <c r="R38" s="1508" t="s">
        <v>8</v>
      </c>
      <c r="S38" s="1509">
        <f t="shared" si="12"/>
        <v>100</v>
      </c>
      <c r="T38" s="1508" t="s">
        <v>8</v>
      </c>
      <c r="U38" s="1509">
        <f t="shared" si="13"/>
        <v>100</v>
      </c>
      <c r="V38" s="1508" t="s">
        <v>8</v>
      </c>
      <c r="W38" s="1509">
        <f t="shared" si="14"/>
        <v>100</v>
      </c>
      <c r="X38" s="1502"/>
      <c r="Y38" s="347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9"/>
      <c r="Q39" s="1507" t="str">
        <f t="shared" si="11"/>
        <v>层高</v>
      </c>
      <c r="R39" s="1508" t="s">
        <v>8</v>
      </c>
      <c r="S39" s="1509">
        <f t="shared" si="12"/>
        <v>100</v>
      </c>
      <c r="T39" s="1508" t="s">
        <v>8</v>
      </c>
      <c r="U39" s="1509">
        <f t="shared" si="13"/>
        <v>100</v>
      </c>
      <c r="V39" s="1508" t="s">
        <v>8</v>
      </c>
      <c r="W39" s="1509">
        <f t="shared" si="14"/>
        <v>100</v>
      </c>
      <c r="X39" s="1502"/>
      <c r="Y39" s="347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79"/>
      <c r="Q40" s="1507" t="str">
        <f t="shared" si="11"/>
        <v>单套建筑面积</v>
      </c>
      <c r="R40" s="1508" t="s">
        <v>8</v>
      </c>
      <c r="S40" s="1509">
        <f t="shared" si="12"/>
        <v>100</v>
      </c>
      <c r="T40" s="1508" t="s">
        <v>8</v>
      </c>
      <c r="U40" s="1509">
        <f t="shared" si="13"/>
        <v>100</v>
      </c>
      <c r="V40" s="1508" t="s">
        <v>8</v>
      </c>
      <c r="W40" s="1509">
        <f t="shared" si="14"/>
        <v>100</v>
      </c>
      <c r="X40" s="1502"/>
      <c r="Y40" s="347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79"/>
      <c r="Q41" s="1536" t="str">
        <f t="shared" si="11"/>
        <v>进深比</v>
      </c>
      <c r="R41" s="1512" t="s">
        <v>8</v>
      </c>
      <c r="S41" s="1513">
        <f t="shared" si="12"/>
        <v>100</v>
      </c>
      <c r="T41" s="1512" t="s">
        <v>8</v>
      </c>
      <c r="U41" s="1513">
        <f t="shared" si="13"/>
        <v>100</v>
      </c>
      <c r="V41" s="1512" t="s">
        <v>8</v>
      </c>
      <c r="W41" s="1513">
        <f t="shared" si="14"/>
        <v>100</v>
      </c>
      <c r="X41" s="1514"/>
      <c r="Y41" s="347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79"/>
      <c r="Q42" s="1507" t="str">
        <f t="shared" si="11"/>
        <v>内部装修</v>
      </c>
      <c r="R42" s="1508" t="s">
        <v>8</v>
      </c>
      <c r="S42" s="1509">
        <f t="shared" si="12"/>
        <v>100</v>
      </c>
      <c r="T42" s="1508" t="s">
        <v>8</v>
      </c>
      <c r="U42" s="1509">
        <f t="shared" si="13"/>
        <v>100</v>
      </c>
      <c r="V42" s="1508" t="s">
        <v>8</v>
      </c>
      <c r="W42" s="1509">
        <f t="shared" si="14"/>
        <v>100</v>
      </c>
      <c r="X42" s="1502"/>
      <c r="Y42" s="3479"/>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79"/>
      <c r="Q43" s="1507" t="str">
        <f t="shared" si="11"/>
        <v>内部装修维护情况</v>
      </c>
      <c r="R43" s="1508" t="s">
        <v>8</v>
      </c>
      <c r="S43" s="1509">
        <f t="shared" si="12"/>
        <v>100</v>
      </c>
      <c r="T43" s="1508" t="s">
        <v>8</v>
      </c>
      <c r="U43" s="1509">
        <f t="shared" si="13"/>
        <v>100</v>
      </c>
      <c r="V43" s="1508" t="s">
        <v>8</v>
      </c>
      <c r="W43" s="1509">
        <f t="shared" si="14"/>
        <v>100</v>
      </c>
      <c r="X43" s="1502"/>
      <c r="Y43" s="347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79"/>
      <c r="Q44" s="1134">
        <f t="shared" si="11"/>
        <v>111</v>
      </c>
      <c r="R44" s="1503" t="s">
        <v>8</v>
      </c>
      <c r="S44" s="1504">
        <f t="shared" si="12"/>
        <v>100</v>
      </c>
      <c r="T44" s="1503" t="s">
        <v>8</v>
      </c>
      <c r="U44" s="1504">
        <f t="shared" si="13"/>
        <v>100</v>
      </c>
      <c r="V44" s="1503" t="s">
        <v>8</v>
      </c>
      <c r="W44" s="1504">
        <f t="shared" si="14"/>
        <v>100</v>
      </c>
      <c r="X44" s="1505"/>
      <c r="Y44" s="347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79"/>
      <c r="Q45" s="1507">
        <f t="shared" si="11"/>
        <v>111</v>
      </c>
      <c r="R45" s="1508" t="s">
        <v>8</v>
      </c>
      <c r="S45" s="1509">
        <f t="shared" si="12"/>
        <v>100</v>
      </c>
      <c r="T45" s="1508" t="s">
        <v>8</v>
      </c>
      <c r="U45" s="1509">
        <f t="shared" si="13"/>
        <v>100</v>
      </c>
      <c r="V45" s="1508" t="s">
        <v>8</v>
      </c>
      <c r="W45" s="1509">
        <f t="shared" si="14"/>
        <v>100</v>
      </c>
      <c r="X45" s="1502"/>
      <c r="Y45" s="3479"/>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80"/>
      <c r="Q46" s="1507">
        <f t="shared" si="11"/>
        <v>111</v>
      </c>
      <c r="R46" s="1508" t="s">
        <v>8</v>
      </c>
      <c r="S46" s="1509">
        <f t="shared" si="12"/>
        <v>100</v>
      </c>
      <c r="T46" s="1508" t="s">
        <v>8</v>
      </c>
      <c r="U46" s="1509">
        <f t="shared" si="13"/>
        <v>100</v>
      </c>
      <c r="V46" s="1508" t="s">
        <v>8</v>
      </c>
      <c r="W46" s="1509">
        <f t="shared" si="14"/>
        <v>100</v>
      </c>
      <c r="X46" s="1502"/>
      <c r="Y46" s="3580"/>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74" t="str">
        <f>A47</f>
        <v>成交单价（元/平方米）</v>
      </c>
      <c r="Q47" s="3474"/>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74" t="str">
        <f>A48</f>
        <v>比较价格（元/平方米）</v>
      </c>
      <c r="Q48" s="3474"/>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495" t="str">
        <f>A49</f>
        <v>估价对象XX用房的比较价格（楼面单价，元/平方米）</v>
      </c>
      <c r="Q49" s="3496"/>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80" t="s">
        <v>516</v>
      </c>
      <c r="D4" s="3481"/>
      <c r="E4" s="3505" t="s">
        <v>517</v>
      </c>
      <c r="F4" s="3506"/>
      <c r="G4" s="3480" t="s">
        <v>518</v>
      </c>
      <c r="H4" s="3481"/>
      <c r="I4" s="3480" t="s">
        <v>519</v>
      </c>
      <c r="J4" s="3481"/>
      <c r="K4" s="508" t="s">
        <v>520</v>
      </c>
      <c r="L4" s="2015"/>
      <c r="M4" s="2016"/>
      <c r="N4" s="2016"/>
      <c r="O4" s="2016"/>
      <c r="P4" s="3581" t="s">
        <v>521</v>
      </c>
      <c r="Q4" s="3483"/>
      <c r="R4" s="3468" t="s">
        <v>517</v>
      </c>
      <c r="S4" s="3469"/>
      <c r="T4" s="3468" t="s">
        <v>518</v>
      </c>
      <c r="U4" s="3469"/>
      <c r="V4" s="3488" t="s">
        <v>519</v>
      </c>
      <c r="W4" s="3488"/>
      <c r="X4" s="1502"/>
      <c r="Y4" s="3468" t="s">
        <v>521</v>
      </c>
      <c r="Z4" s="3469"/>
      <c r="AA4" s="3463" t="s">
        <v>517</v>
      </c>
      <c r="AB4" s="3463" t="s">
        <v>518</v>
      </c>
      <c r="AC4" s="3463" t="s">
        <v>519</v>
      </c>
    </row>
    <row r="5" spans="1:29" ht="15">
      <c r="A5" s="509"/>
      <c r="B5" s="510"/>
      <c r="C5" s="3491" t="s">
        <v>2897</v>
      </c>
      <c r="D5" s="3492"/>
      <c r="E5" s="3507" t="s">
        <v>2898</v>
      </c>
      <c r="F5" s="3508"/>
      <c r="G5" s="3491" t="s">
        <v>2899</v>
      </c>
      <c r="H5" s="3492"/>
      <c r="I5" s="3491" t="s">
        <v>2900</v>
      </c>
      <c r="J5" s="3492"/>
      <c r="K5" s="508"/>
      <c r="L5" s="2015"/>
      <c r="M5" s="2016"/>
      <c r="N5" s="2016"/>
      <c r="O5" s="2016"/>
      <c r="P5" s="3582"/>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583"/>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75" t="s">
        <v>524</v>
      </c>
      <c r="Q7" s="3475"/>
      <c r="R7" s="1503" t="s">
        <v>8</v>
      </c>
      <c r="S7" s="1504">
        <f t="shared" ref="S7:S15" si="0">F7</f>
        <v>0</v>
      </c>
      <c r="T7" s="1503" t="s">
        <v>8</v>
      </c>
      <c r="U7" s="1504">
        <f t="shared" ref="U7:U15" si="1">H7</f>
        <v>0</v>
      </c>
      <c r="V7" s="1503" t="s">
        <v>8</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75" t="s">
        <v>527</v>
      </c>
      <c r="Q8" s="3467"/>
      <c r="R8" s="1503" t="s">
        <v>8</v>
      </c>
      <c r="S8" s="1504">
        <f t="shared" si="0"/>
        <v>0</v>
      </c>
      <c r="T8" s="1503" t="s">
        <v>8</v>
      </c>
      <c r="U8" s="1504">
        <f t="shared" si="1"/>
        <v>0</v>
      </c>
      <c r="V8" s="1503" t="s">
        <v>8</v>
      </c>
      <c r="W8" s="1504">
        <f t="shared" si="2"/>
        <v>0</v>
      </c>
      <c r="X8" s="1505"/>
      <c r="Y8" s="3466" t="s">
        <v>527</v>
      </c>
      <c r="Z8" s="3467"/>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74"/>
      <c r="Q11" s="1134" t="str">
        <f t="shared" si="6"/>
        <v>容积率</v>
      </c>
      <c r="R11" s="1503" t="s">
        <v>8</v>
      </c>
      <c r="S11" s="1504" t="e">
        <f t="shared" si="0"/>
        <v>#N/A</v>
      </c>
      <c r="T11" s="1503" t="s">
        <v>8</v>
      </c>
      <c r="U11" s="1504" t="e">
        <f t="shared" si="1"/>
        <v>#N/A</v>
      </c>
      <c r="V11" s="1503" t="s">
        <v>8</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76" t="s">
        <v>534</v>
      </c>
      <c r="Q15" s="1507" t="str">
        <f t="shared" si="6"/>
        <v>办公集聚程度</v>
      </c>
      <c r="R15" s="1508" t="s">
        <v>8</v>
      </c>
      <c r="S15" s="1509">
        <f t="shared" si="0"/>
        <v>100</v>
      </c>
      <c r="T15" s="1508" t="s">
        <v>8</v>
      </c>
      <c r="U15" s="1509">
        <f t="shared" si="1"/>
        <v>100</v>
      </c>
      <c r="V15" s="1508" t="s">
        <v>8</v>
      </c>
      <c r="W15" s="1509">
        <f t="shared" si="2"/>
        <v>100</v>
      </c>
      <c r="X15" s="1502"/>
      <c r="Y15" s="347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77"/>
      <c r="Q16" s="1507"/>
      <c r="R16" s="1508"/>
      <c r="S16" s="1509"/>
      <c r="T16" s="1508"/>
      <c r="U16" s="1509"/>
      <c r="V16" s="1508"/>
      <c r="W16" s="1509"/>
      <c r="X16" s="1502"/>
      <c r="Y16" s="3477"/>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77"/>
      <c r="Q17" s="1507" t="str">
        <f>B17</f>
        <v>交通便捷度</v>
      </c>
      <c r="R17" s="1508" t="s">
        <v>8</v>
      </c>
      <c r="S17" s="1509">
        <f>F17</f>
        <v>100</v>
      </c>
      <c r="T17" s="1508" t="s">
        <v>8</v>
      </c>
      <c r="U17" s="1509">
        <f>H17</f>
        <v>100</v>
      </c>
      <c r="V17" s="1508" t="s">
        <v>8</v>
      </c>
      <c r="W17" s="1509">
        <f>J17</f>
        <v>100</v>
      </c>
      <c r="X17" s="1502"/>
      <c r="Y17" s="347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77"/>
      <c r="Q18" s="1507"/>
      <c r="R18" s="1508"/>
      <c r="S18" s="1509"/>
      <c r="T18" s="1508"/>
      <c r="U18" s="1509"/>
      <c r="V18" s="1508"/>
      <c r="W18" s="1509"/>
      <c r="X18" s="1502"/>
      <c r="Y18" s="3477"/>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77"/>
      <c r="Q19" s="1507" t="str">
        <f>B19</f>
        <v>公共配套设施</v>
      </c>
      <c r="R19" s="1508" t="s">
        <v>8</v>
      </c>
      <c r="S19" s="1509">
        <f>F19</f>
        <v>100</v>
      </c>
      <c r="T19" s="1508" t="s">
        <v>8</v>
      </c>
      <c r="U19" s="1509">
        <f>H19</f>
        <v>100</v>
      </c>
      <c r="V19" s="1508" t="s">
        <v>8</v>
      </c>
      <c r="W19" s="1509">
        <f>J19</f>
        <v>100</v>
      </c>
      <c r="X19" s="1502"/>
      <c r="Y19" s="347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77"/>
      <c r="Q20" s="1507"/>
      <c r="R20" s="1508"/>
      <c r="S20" s="1509"/>
      <c r="T20" s="1508"/>
      <c r="U20" s="1509"/>
      <c r="V20" s="1508"/>
      <c r="W20" s="1509"/>
      <c r="X20" s="1502"/>
      <c r="Y20" s="3477"/>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77"/>
      <c r="Q21" s="2429" t="str">
        <f>B21</f>
        <v>基础设施水平</v>
      </c>
      <c r="R21" s="1508" t="s">
        <v>8</v>
      </c>
      <c r="S21" s="1509">
        <f>F21</f>
        <v>100</v>
      </c>
      <c r="T21" s="1508" t="s">
        <v>8</v>
      </c>
      <c r="U21" s="1509">
        <f>H21</f>
        <v>100</v>
      </c>
      <c r="V21" s="1508" t="s">
        <v>8</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77"/>
      <c r="Q22" s="2429"/>
      <c r="R22" s="1508"/>
      <c r="S22" s="1509"/>
      <c r="T22" s="1508"/>
      <c r="U22" s="1509"/>
      <c r="V22" s="1508"/>
      <c r="W22" s="1509"/>
      <c r="X22" s="2431"/>
      <c r="Y22" s="3477"/>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77"/>
      <c r="Q23" s="1507" t="str">
        <f>B23</f>
        <v>环境质量</v>
      </c>
      <c r="R23" s="1508" t="s">
        <v>8</v>
      </c>
      <c r="S23" s="1509">
        <f>F23</f>
        <v>100</v>
      </c>
      <c r="T23" s="1508" t="s">
        <v>8</v>
      </c>
      <c r="U23" s="1509">
        <f>H23</f>
        <v>100</v>
      </c>
      <c r="V23" s="1508" t="s">
        <v>8</v>
      </c>
      <c r="W23" s="1509">
        <f>J23</f>
        <v>100</v>
      </c>
      <c r="X23" s="1502"/>
      <c r="Y23" s="347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77"/>
      <c r="Q24" s="1507"/>
      <c r="R24" s="1508"/>
      <c r="S24" s="1509"/>
      <c r="T24" s="1508"/>
      <c r="U24" s="1509"/>
      <c r="V24" s="1508"/>
      <c r="W24" s="1509"/>
      <c r="X24" s="1502"/>
      <c r="Y24" s="347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77"/>
      <c r="Q25" s="1507" t="str">
        <f>B25</f>
        <v>毗邻道路的类型与等级</v>
      </c>
      <c r="R25" s="1508" t="s">
        <v>8</v>
      </c>
      <c r="S25" s="1509">
        <f>F25</f>
        <v>100</v>
      </c>
      <c r="T25" s="1508" t="s">
        <v>8</v>
      </c>
      <c r="U25" s="1509">
        <f>H25</f>
        <v>100</v>
      </c>
      <c r="V25" s="1508" t="s">
        <v>8</v>
      </c>
      <c r="W25" s="1509">
        <f>J25</f>
        <v>100</v>
      </c>
      <c r="X25" s="1502"/>
      <c r="Y25" s="347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77"/>
      <c r="Q26" s="1507"/>
      <c r="R26" s="1508"/>
      <c r="S26" s="1509"/>
      <c r="T26" s="1508"/>
      <c r="U26" s="1509"/>
      <c r="V26" s="1508"/>
      <c r="W26" s="1509"/>
      <c r="X26" s="1502"/>
      <c r="Y26" s="347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77"/>
      <c r="Q27" s="1507" t="str">
        <f t="shared" ref="Q27:Q47" si="11">B27</f>
        <v>楼层</v>
      </c>
      <c r="R27" s="1508" t="s">
        <v>8</v>
      </c>
      <c r="S27" s="1509">
        <f>F27</f>
        <v>100</v>
      </c>
      <c r="T27" s="1508" t="s">
        <v>8</v>
      </c>
      <c r="U27" s="1509">
        <f>H27</f>
        <v>100</v>
      </c>
      <c r="V27" s="1508" t="s">
        <v>8</v>
      </c>
      <c r="W27" s="1509">
        <f>J27</f>
        <v>100</v>
      </c>
      <c r="X27" s="1502"/>
      <c r="Y27" s="347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77"/>
      <c r="Q28" s="1134" t="str">
        <f t="shared" si="11"/>
        <v>朝向</v>
      </c>
      <c r="R28" s="1503" t="s">
        <v>8</v>
      </c>
      <c r="S28" s="1504">
        <f>F28</f>
        <v>100</v>
      </c>
      <c r="T28" s="1503" t="s">
        <v>8</v>
      </c>
      <c r="U28" s="1504">
        <f>H28</f>
        <v>100</v>
      </c>
      <c r="V28" s="1503" t="s">
        <v>8</v>
      </c>
      <c r="W28" s="1504">
        <f>J28</f>
        <v>100</v>
      </c>
      <c r="X28" s="1505"/>
      <c r="Y28" s="347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77"/>
      <c r="Q29" s="1507">
        <f t="shared" si="11"/>
        <v>111</v>
      </c>
      <c r="R29" s="1508" t="s">
        <v>8</v>
      </c>
      <c r="S29" s="1509">
        <f t="shared" ref="S29:S47" si="12">F29</f>
        <v>100</v>
      </c>
      <c r="T29" s="1508" t="s">
        <v>8</v>
      </c>
      <c r="U29" s="1509">
        <f t="shared" ref="U29:U47" si="13">H29</f>
        <v>100</v>
      </c>
      <c r="V29" s="1508" t="s">
        <v>8</v>
      </c>
      <c r="W29" s="1509">
        <f t="shared" ref="W29:W47" si="14">J29</f>
        <v>100</v>
      </c>
      <c r="X29" s="1502"/>
      <c r="Y29" s="347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77"/>
      <c r="Q30" s="1507">
        <f t="shared" si="11"/>
        <v>111</v>
      </c>
      <c r="R30" s="1508" t="s">
        <v>8</v>
      </c>
      <c r="S30" s="1509">
        <f t="shared" si="12"/>
        <v>100</v>
      </c>
      <c r="T30" s="1508" t="s">
        <v>8</v>
      </c>
      <c r="U30" s="1509">
        <f t="shared" si="13"/>
        <v>100</v>
      </c>
      <c r="V30" s="1508" t="s">
        <v>8</v>
      </c>
      <c r="W30" s="1509">
        <f t="shared" si="14"/>
        <v>100</v>
      </c>
      <c r="X30" s="1502"/>
      <c r="Y30" s="347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77"/>
      <c r="Q31" s="1507">
        <f t="shared" si="11"/>
        <v>111</v>
      </c>
      <c r="R31" s="1508" t="s">
        <v>8</v>
      </c>
      <c r="S31" s="1509">
        <f t="shared" si="12"/>
        <v>100</v>
      </c>
      <c r="T31" s="1508" t="s">
        <v>8</v>
      </c>
      <c r="U31" s="1509">
        <f t="shared" si="13"/>
        <v>100</v>
      </c>
      <c r="V31" s="1508" t="s">
        <v>8</v>
      </c>
      <c r="W31" s="1509">
        <f t="shared" si="14"/>
        <v>100</v>
      </c>
      <c r="X31" s="1502"/>
      <c r="Y31" s="3477"/>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77"/>
      <c r="Q32" s="1507">
        <f t="shared" si="11"/>
        <v>111</v>
      </c>
      <c r="R32" s="1508" t="s">
        <v>8</v>
      </c>
      <c r="S32" s="1509">
        <f t="shared" si="12"/>
        <v>100</v>
      </c>
      <c r="T32" s="1508" t="s">
        <v>8</v>
      </c>
      <c r="U32" s="1509">
        <f t="shared" si="13"/>
        <v>100</v>
      </c>
      <c r="V32" s="1508" t="s">
        <v>8</v>
      </c>
      <c r="W32" s="1509">
        <f t="shared" si="14"/>
        <v>100</v>
      </c>
      <c r="X32" s="1502"/>
      <c r="Y32" s="3477"/>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78" t="s">
        <v>544</v>
      </c>
      <c r="Q33" s="1507" t="str">
        <f t="shared" si="11"/>
        <v>建筑类型</v>
      </c>
      <c r="R33" s="1508" t="s">
        <v>8</v>
      </c>
      <c r="S33" s="1509">
        <f t="shared" si="12"/>
        <v>100</v>
      </c>
      <c r="T33" s="1508" t="s">
        <v>8</v>
      </c>
      <c r="U33" s="1509">
        <f t="shared" si="13"/>
        <v>100</v>
      </c>
      <c r="V33" s="1508" t="s">
        <v>8</v>
      </c>
      <c r="W33" s="1509">
        <f t="shared" si="14"/>
        <v>100</v>
      </c>
      <c r="X33" s="1502"/>
      <c r="Y33" s="347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79"/>
      <c r="Q34" s="1536" t="str">
        <f t="shared" si="11"/>
        <v>项目建筑规模</v>
      </c>
      <c r="R34" s="1512" t="s">
        <v>8</v>
      </c>
      <c r="S34" s="1513" t="e">
        <f t="shared" si="12"/>
        <v>#N/A</v>
      </c>
      <c r="T34" s="1512" t="s">
        <v>8</v>
      </c>
      <c r="U34" s="1513" t="e">
        <f t="shared" si="13"/>
        <v>#N/A</v>
      </c>
      <c r="V34" s="1512" t="s">
        <v>8</v>
      </c>
      <c r="W34" s="1513" t="e">
        <f t="shared" si="14"/>
        <v>#N/A</v>
      </c>
      <c r="X34" s="1514"/>
      <c r="Y34" s="347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79"/>
      <c r="Q35" s="1507" t="str">
        <f t="shared" si="11"/>
        <v>建筑结构</v>
      </c>
      <c r="R35" s="1508" t="s">
        <v>8</v>
      </c>
      <c r="S35" s="1509">
        <f t="shared" si="12"/>
        <v>100</v>
      </c>
      <c r="T35" s="1508" t="s">
        <v>8</v>
      </c>
      <c r="U35" s="1509">
        <f t="shared" si="13"/>
        <v>100</v>
      </c>
      <c r="V35" s="1508" t="s">
        <v>8</v>
      </c>
      <c r="W35" s="1509">
        <f t="shared" si="14"/>
        <v>100</v>
      </c>
      <c r="X35" s="1502"/>
      <c r="Y35" s="347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79"/>
      <c r="Q36" s="1507" t="str">
        <f t="shared" si="11"/>
        <v>公共部分装修</v>
      </c>
      <c r="R36" s="1508" t="s">
        <v>8</v>
      </c>
      <c r="S36" s="1509">
        <f t="shared" si="12"/>
        <v>100</v>
      </c>
      <c r="T36" s="1508" t="s">
        <v>8</v>
      </c>
      <c r="U36" s="1509">
        <f t="shared" si="13"/>
        <v>100</v>
      </c>
      <c r="V36" s="1508" t="s">
        <v>8</v>
      </c>
      <c r="W36" s="1509">
        <f t="shared" si="14"/>
        <v>100</v>
      </c>
      <c r="X36" s="1502"/>
      <c r="Y36" s="347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79"/>
      <c r="Q37" s="1507" t="str">
        <f t="shared" si="11"/>
        <v>成新度</v>
      </c>
      <c r="R37" s="1508" t="s">
        <v>8</v>
      </c>
      <c r="S37" s="1509" t="e">
        <f t="shared" si="12"/>
        <v>#N/A</v>
      </c>
      <c r="T37" s="1508" t="s">
        <v>8</v>
      </c>
      <c r="U37" s="1509" t="e">
        <f t="shared" si="13"/>
        <v>#N/A</v>
      </c>
      <c r="V37" s="1508" t="s">
        <v>8</v>
      </c>
      <c r="W37" s="1509" t="e">
        <f t="shared" si="14"/>
        <v>#N/A</v>
      </c>
      <c r="X37" s="1502"/>
      <c r="Y37" s="347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79"/>
      <c r="Q38" s="1134" t="str">
        <f t="shared" si="11"/>
        <v>写字楼等级</v>
      </c>
      <c r="R38" s="1503" t="s">
        <v>8</v>
      </c>
      <c r="S38" s="1504">
        <f t="shared" si="12"/>
        <v>100</v>
      </c>
      <c r="T38" s="1503" t="s">
        <v>8</v>
      </c>
      <c r="U38" s="1504">
        <f t="shared" si="13"/>
        <v>100</v>
      </c>
      <c r="V38" s="1503" t="s">
        <v>8</v>
      </c>
      <c r="W38" s="1504">
        <f t="shared" si="14"/>
        <v>100</v>
      </c>
      <c r="X38" s="1505"/>
      <c r="Y38" s="347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79" t="s">
        <v>544</v>
      </c>
      <c r="Q39" s="1507" t="str">
        <f t="shared" si="11"/>
        <v>物业管理</v>
      </c>
      <c r="R39" s="1508" t="s">
        <v>8</v>
      </c>
      <c r="S39" s="1509">
        <f t="shared" si="12"/>
        <v>100</v>
      </c>
      <c r="T39" s="1508" t="s">
        <v>8</v>
      </c>
      <c r="U39" s="1509">
        <f t="shared" si="13"/>
        <v>100</v>
      </c>
      <c r="V39" s="1508" t="s">
        <v>8</v>
      </c>
      <c r="W39" s="1509">
        <f t="shared" si="14"/>
        <v>100</v>
      </c>
      <c r="X39" s="1502"/>
      <c r="Y39" s="3479"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79"/>
      <c r="Q40" s="1507" t="str">
        <f t="shared" si="11"/>
        <v>市政基础设施</v>
      </c>
      <c r="R40" s="1508" t="s">
        <v>8</v>
      </c>
      <c r="S40" s="1509">
        <f t="shared" si="12"/>
        <v>100</v>
      </c>
      <c r="T40" s="1508" t="s">
        <v>8</v>
      </c>
      <c r="U40" s="1509">
        <f t="shared" si="13"/>
        <v>100</v>
      </c>
      <c r="V40" s="1508" t="s">
        <v>8</v>
      </c>
      <c r="W40" s="1509">
        <f t="shared" si="14"/>
        <v>100</v>
      </c>
      <c r="X40" s="1502"/>
      <c r="Y40" s="347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79"/>
      <c r="Q41" s="1507" t="str">
        <f t="shared" si="11"/>
        <v>层高</v>
      </c>
      <c r="R41" s="1508" t="s">
        <v>8</v>
      </c>
      <c r="S41" s="1509">
        <f t="shared" si="12"/>
        <v>100</v>
      </c>
      <c r="T41" s="1508" t="s">
        <v>8</v>
      </c>
      <c r="U41" s="1509">
        <f t="shared" si="13"/>
        <v>100</v>
      </c>
      <c r="V41" s="1508" t="s">
        <v>8</v>
      </c>
      <c r="W41" s="1509">
        <f t="shared" si="14"/>
        <v>100</v>
      </c>
      <c r="X41" s="1502"/>
      <c r="Y41" s="347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79"/>
      <c r="Q42" s="1536" t="str">
        <f t="shared" si="11"/>
        <v>单套建筑面积</v>
      </c>
      <c r="R42" s="1512" t="s">
        <v>8</v>
      </c>
      <c r="S42" s="1513">
        <f t="shared" si="12"/>
        <v>100</v>
      </c>
      <c r="T42" s="1512" t="s">
        <v>8</v>
      </c>
      <c r="U42" s="1513">
        <f t="shared" si="13"/>
        <v>100</v>
      </c>
      <c r="V42" s="1512" t="s">
        <v>8</v>
      </c>
      <c r="W42" s="1513">
        <f t="shared" si="14"/>
        <v>100</v>
      </c>
      <c r="X42" s="1514"/>
      <c r="Y42" s="347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79"/>
      <c r="Q43" s="1507" t="str">
        <f t="shared" si="11"/>
        <v>内部装修</v>
      </c>
      <c r="R43" s="1508" t="s">
        <v>8</v>
      </c>
      <c r="S43" s="1509">
        <f t="shared" si="12"/>
        <v>100</v>
      </c>
      <c r="T43" s="1508" t="s">
        <v>8</v>
      </c>
      <c r="U43" s="1509">
        <f t="shared" si="13"/>
        <v>100</v>
      </c>
      <c r="V43" s="1508" t="s">
        <v>8</v>
      </c>
      <c r="W43" s="1509">
        <f t="shared" si="14"/>
        <v>100</v>
      </c>
      <c r="X43" s="1502"/>
      <c r="Y43" s="3479"/>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79"/>
      <c r="Q44" s="1507" t="str">
        <f t="shared" si="11"/>
        <v>内部装修维护情况</v>
      </c>
      <c r="R44" s="1508" t="s">
        <v>8</v>
      </c>
      <c r="S44" s="1509">
        <f t="shared" si="12"/>
        <v>100</v>
      </c>
      <c r="T44" s="1508" t="s">
        <v>8</v>
      </c>
      <c r="U44" s="1509">
        <f t="shared" si="13"/>
        <v>100</v>
      </c>
      <c r="V44" s="1508" t="s">
        <v>8</v>
      </c>
      <c r="W44" s="1509">
        <f t="shared" si="14"/>
        <v>100</v>
      </c>
      <c r="X44" s="1502"/>
      <c r="Y44" s="347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79"/>
      <c r="Q45" s="1134">
        <f t="shared" si="11"/>
        <v>111</v>
      </c>
      <c r="R45" s="1503" t="s">
        <v>8</v>
      </c>
      <c r="S45" s="1504">
        <f t="shared" si="12"/>
        <v>100</v>
      </c>
      <c r="T45" s="1503" t="s">
        <v>8</v>
      </c>
      <c r="U45" s="1504">
        <f t="shared" si="13"/>
        <v>100</v>
      </c>
      <c r="V45" s="1503" t="s">
        <v>8</v>
      </c>
      <c r="W45" s="1504">
        <f t="shared" si="14"/>
        <v>100</v>
      </c>
      <c r="X45" s="1505"/>
      <c r="Y45" s="347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79"/>
      <c r="Q46" s="1507">
        <f t="shared" si="11"/>
        <v>111</v>
      </c>
      <c r="R46" s="1508" t="s">
        <v>8</v>
      </c>
      <c r="S46" s="1509">
        <f t="shared" si="12"/>
        <v>100</v>
      </c>
      <c r="T46" s="1508" t="s">
        <v>8</v>
      </c>
      <c r="U46" s="1509">
        <f t="shared" si="13"/>
        <v>100</v>
      </c>
      <c r="V46" s="1508" t="s">
        <v>8</v>
      </c>
      <c r="W46" s="1509">
        <f t="shared" si="14"/>
        <v>100</v>
      </c>
      <c r="X46" s="1502"/>
      <c r="Y46" s="3479"/>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80"/>
      <c r="Q47" s="1507">
        <f t="shared" si="11"/>
        <v>111</v>
      </c>
      <c r="R47" s="1508" t="s">
        <v>8</v>
      </c>
      <c r="S47" s="1509">
        <f t="shared" si="12"/>
        <v>100</v>
      </c>
      <c r="T47" s="1508" t="s">
        <v>8</v>
      </c>
      <c r="U47" s="1509">
        <f t="shared" si="13"/>
        <v>100</v>
      </c>
      <c r="V47" s="1508" t="s">
        <v>8</v>
      </c>
      <c r="W47" s="1509">
        <f t="shared" si="14"/>
        <v>100</v>
      </c>
      <c r="X47" s="1502"/>
      <c r="Y47" s="3580"/>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96" t="str">
        <f>A48</f>
        <v>成交单价（元/平方米）</v>
      </c>
      <c r="Q48" s="3474"/>
      <c r="R48" s="3579">
        <f>E48</f>
        <v>0</v>
      </c>
      <c r="S48" s="3579"/>
      <c r="T48" s="3579">
        <f>G48</f>
        <v>0</v>
      </c>
      <c r="U48" s="3579"/>
      <c r="V48" s="3579">
        <f>I48</f>
        <v>0</v>
      </c>
      <c r="W48" s="3579"/>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496" t="str">
        <f>A49</f>
        <v>比较价格（元/平方米）</v>
      </c>
      <c r="Q49" s="3474"/>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584" t="str">
        <f>A50</f>
        <v>估价对象XX用房的比较价格（楼面单价，元/平方米）</v>
      </c>
      <c r="Q50" s="3496"/>
      <c r="R50" s="3578" t="e">
        <f>IF(F1="售价",ROUND(IF(D49="简单平均",AVERAGE(R49:V49),R49*F49+T49*H49+V49*J49),0),ROUND(IF(D49="简单平均",AVERAGE(R49:V49),R49*F49+T49*H49+V49*J49),1))</f>
        <v>#DIV/0!</v>
      </c>
      <c r="S50" s="3578"/>
      <c r="T50" s="3578"/>
      <c r="U50" s="3578"/>
      <c r="V50" s="3578"/>
      <c r="W50" s="3578"/>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80" t="s">
        <v>516</v>
      </c>
      <c r="D4" s="3481"/>
      <c r="E4" s="3505" t="s">
        <v>517</v>
      </c>
      <c r="F4" s="3506"/>
      <c r="G4" s="3480" t="s">
        <v>518</v>
      </c>
      <c r="H4" s="3481"/>
      <c r="I4" s="3480" t="s">
        <v>519</v>
      </c>
      <c r="J4" s="3481"/>
      <c r="K4" s="508" t="s">
        <v>520</v>
      </c>
      <c r="L4" s="2015"/>
      <c r="M4" s="2016"/>
      <c r="N4" s="2016"/>
      <c r="O4" s="2016"/>
      <c r="P4" s="3482" t="s">
        <v>521</v>
      </c>
      <c r="Q4" s="3483"/>
      <c r="R4" s="3468" t="s">
        <v>517</v>
      </c>
      <c r="S4" s="3469"/>
      <c r="T4" s="3468" t="s">
        <v>518</v>
      </c>
      <c r="U4" s="3469"/>
      <c r="V4" s="3488" t="s">
        <v>519</v>
      </c>
      <c r="W4" s="3488"/>
      <c r="X4" s="1502"/>
      <c r="Y4" s="3468" t="s">
        <v>521</v>
      </c>
      <c r="Z4" s="3469"/>
      <c r="AA4" s="3463" t="s">
        <v>517</v>
      </c>
      <c r="AB4" s="3464" t="s">
        <v>518</v>
      </c>
      <c r="AC4" s="3463" t="s">
        <v>519</v>
      </c>
    </row>
    <row r="5" spans="1:29" ht="15">
      <c r="A5" s="509"/>
      <c r="B5" s="510"/>
      <c r="C5" s="3491" t="s">
        <v>2897</v>
      </c>
      <c r="D5" s="3492"/>
      <c r="E5" s="3507" t="s">
        <v>2898</v>
      </c>
      <c r="F5" s="3508"/>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66" t="s">
        <v>524</v>
      </c>
      <c r="Q7" s="3475"/>
      <c r="R7" s="1503" t="s">
        <v>8</v>
      </c>
      <c r="S7" s="1504">
        <f t="shared" ref="S7:S15" si="0">F7</f>
        <v>0</v>
      </c>
      <c r="T7" s="1503" t="s">
        <v>8</v>
      </c>
      <c r="U7" s="1504">
        <f t="shared" ref="U7:U15" si="1">H7</f>
        <v>0</v>
      </c>
      <c r="V7" s="1503" t="s">
        <v>8</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74"/>
      <c r="Q11" s="1134" t="str">
        <f t="shared" si="6"/>
        <v>容积率</v>
      </c>
      <c r="R11" s="1503" t="s">
        <v>8</v>
      </c>
      <c r="S11" s="1504" t="e">
        <f t="shared" si="0"/>
        <v>#N/A</v>
      </c>
      <c r="T11" s="1503" t="s">
        <v>8</v>
      </c>
      <c r="U11" s="1504" t="e">
        <f t="shared" si="1"/>
        <v>#N/A</v>
      </c>
      <c r="V11" s="1503" t="s">
        <v>8</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76" t="s">
        <v>534</v>
      </c>
      <c r="Q15" s="1507" t="str">
        <f t="shared" si="6"/>
        <v>产业集聚程度</v>
      </c>
      <c r="R15" s="1508" t="s">
        <v>8</v>
      </c>
      <c r="S15" s="1509">
        <f t="shared" si="0"/>
        <v>100</v>
      </c>
      <c r="T15" s="1508" t="s">
        <v>8</v>
      </c>
      <c r="U15" s="1509">
        <f t="shared" si="1"/>
        <v>100</v>
      </c>
      <c r="V15" s="1508" t="s">
        <v>8</v>
      </c>
      <c r="W15" s="1509">
        <f t="shared" si="2"/>
        <v>100</v>
      </c>
      <c r="X15" s="1502"/>
      <c r="Y15" s="347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7"/>
      <c r="Q16" s="1507"/>
      <c r="R16" s="1508"/>
      <c r="S16" s="1509"/>
      <c r="T16" s="1508"/>
      <c r="U16" s="1509"/>
      <c r="V16" s="1508"/>
      <c r="W16" s="1509"/>
      <c r="X16" s="1502"/>
      <c r="Y16" s="3477"/>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77"/>
      <c r="Q17" s="1507" t="str">
        <f>B17</f>
        <v>交通便捷度</v>
      </c>
      <c r="R17" s="1508" t="s">
        <v>8</v>
      </c>
      <c r="S17" s="1509">
        <f>F17</f>
        <v>100</v>
      </c>
      <c r="T17" s="1508" t="s">
        <v>8</v>
      </c>
      <c r="U17" s="1509">
        <f>H17</f>
        <v>100</v>
      </c>
      <c r="V17" s="1508" t="s">
        <v>8</v>
      </c>
      <c r="W17" s="1509">
        <f>J17</f>
        <v>100</v>
      </c>
      <c r="X17" s="1502"/>
      <c r="Y17" s="34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7"/>
      <c r="Q18" s="1507"/>
      <c r="R18" s="1508"/>
      <c r="S18" s="1509"/>
      <c r="T18" s="1508"/>
      <c r="U18" s="1509"/>
      <c r="V18" s="1508"/>
      <c r="W18" s="1509"/>
      <c r="X18" s="1502"/>
      <c r="Y18" s="3477"/>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77"/>
      <c r="Q19" s="1507" t="str">
        <f>B19</f>
        <v>公共配套设施</v>
      </c>
      <c r="R19" s="1508" t="s">
        <v>8</v>
      </c>
      <c r="S19" s="1509">
        <f>F19</f>
        <v>100</v>
      </c>
      <c r="T19" s="1508" t="s">
        <v>8</v>
      </c>
      <c r="U19" s="1509">
        <f>H19</f>
        <v>100</v>
      </c>
      <c r="V19" s="1508" t="s">
        <v>8</v>
      </c>
      <c r="W19" s="1509">
        <f>J19</f>
        <v>100</v>
      </c>
      <c r="X19" s="1502"/>
      <c r="Y19" s="347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77"/>
      <c r="Q21" s="2429" t="str">
        <f>B21</f>
        <v>基础设施水平</v>
      </c>
      <c r="R21" s="1508" t="s">
        <v>8</v>
      </c>
      <c r="S21" s="1509">
        <f>F21</f>
        <v>100</v>
      </c>
      <c r="T21" s="1508" t="s">
        <v>8</v>
      </c>
      <c r="U21" s="1509">
        <f>H21</f>
        <v>100</v>
      </c>
      <c r="V21" s="1508" t="s">
        <v>8</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77"/>
      <c r="Q22" s="2429"/>
      <c r="R22" s="1508"/>
      <c r="S22" s="1509"/>
      <c r="T22" s="1508"/>
      <c r="U22" s="1509"/>
      <c r="V22" s="1508"/>
      <c r="W22" s="1509"/>
      <c r="X22" s="2431"/>
      <c r="Y22" s="3477"/>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77"/>
      <c r="Q23" s="1507" t="str">
        <f>B23</f>
        <v>环境质量</v>
      </c>
      <c r="R23" s="1508" t="s">
        <v>8</v>
      </c>
      <c r="S23" s="1509">
        <f>F23</f>
        <v>100</v>
      </c>
      <c r="T23" s="1508" t="s">
        <v>8</v>
      </c>
      <c r="U23" s="1509">
        <f>H23</f>
        <v>100</v>
      </c>
      <c r="V23" s="1508" t="s">
        <v>8</v>
      </c>
      <c r="W23" s="1509">
        <f>J23</f>
        <v>100</v>
      </c>
      <c r="X23" s="1502"/>
      <c r="Y23" s="347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77"/>
      <c r="Q24" s="1507"/>
      <c r="R24" s="1508"/>
      <c r="S24" s="1509"/>
      <c r="T24" s="1508"/>
      <c r="U24" s="1509"/>
      <c r="V24" s="1508"/>
      <c r="W24" s="1509"/>
      <c r="X24" s="1502"/>
      <c r="Y24" s="347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77"/>
      <c r="Q25" s="1507">
        <f>B25</f>
        <v>111</v>
      </c>
      <c r="R25" s="1508" t="s">
        <v>8</v>
      </c>
      <c r="S25" s="1509">
        <f>F25</f>
        <v>100</v>
      </c>
      <c r="T25" s="1508" t="s">
        <v>8</v>
      </c>
      <c r="U25" s="1509">
        <f>H25</f>
        <v>100</v>
      </c>
      <c r="V25" s="1508" t="s">
        <v>8</v>
      </c>
      <c r="W25" s="1509">
        <f>J25</f>
        <v>100</v>
      </c>
      <c r="X25" s="1502"/>
      <c r="Y25" s="347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77"/>
      <c r="Q26" s="1507">
        <f t="shared" ref="Q26:Q40" si="11">B26</f>
        <v>111</v>
      </c>
      <c r="R26" s="1508" t="s">
        <v>8</v>
      </c>
      <c r="S26" s="1509">
        <f>F26</f>
        <v>100</v>
      </c>
      <c r="T26" s="1508" t="s">
        <v>8</v>
      </c>
      <c r="U26" s="1509">
        <f>H26</f>
        <v>100</v>
      </c>
      <c r="V26" s="1508" t="s">
        <v>8</v>
      </c>
      <c r="W26" s="1509">
        <f>J26</f>
        <v>100</v>
      </c>
      <c r="X26" s="1502"/>
      <c r="Y26" s="347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77"/>
      <c r="Q27" s="1134">
        <f t="shared" si="11"/>
        <v>111</v>
      </c>
      <c r="R27" s="1503" t="s">
        <v>8</v>
      </c>
      <c r="S27" s="1504">
        <f>F27</f>
        <v>100</v>
      </c>
      <c r="T27" s="1503" t="s">
        <v>8</v>
      </c>
      <c r="U27" s="1504">
        <f>H27</f>
        <v>100</v>
      </c>
      <c r="V27" s="1503" t="s">
        <v>8</v>
      </c>
      <c r="W27" s="1504">
        <f>J27</f>
        <v>100</v>
      </c>
      <c r="X27" s="1505"/>
      <c r="Y27" s="347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77"/>
      <c r="Q28" s="1507">
        <f t="shared" si="11"/>
        <v>111</v>
      </c>
      <c r="R28" s="1508" t="s">
        <v>8</v>
      </c>
      <c r="S28" s="1509">
        <f t="shared" ref="S28:S40" si="12">F28</f>
        <v>100</v>
      </c>
      <c r="T28" s="1508" t="s">
        <v>8</v>
      </c>
      <c r="U28" s="1509">
        <f t="shared" ref="U28:U40" si="13">H28</f>
        <v>100</v>
      </c>
      <c r="V28" s="1508" t="s">
        <v>8</v>
      </c>
      <c r="W28" s="1509">
        <f t="shared" ref="W28:W40" si="14">J28</f>
        <v>100</v>
      </c>
      <c r="X28" s="1502"/>
      <c r="Y28" s="3477"/>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78" t="s">
        <v>544</v>
      </c>
      <c r="Q29" s="1507" t="str">
        <f t="shared" si="11"/>
        <v>建筑类型</v>
      </c>
      <c r="R29" s="1508" t="s">
        <v>8</v>
      </c>
      <c r="S29" s="1509">
        <f t="shared" si="12"/>
        <v>100</v>
      </c>
      <c r="T29" s="1508" t="s">
        <v>8</v>
      </c>
      <c r="U29" s="1509">
        <f t="shared" si="13"/>
        <v>100</v>
      </c>
      <c r="V29" s="1508" t="s">
        <v>8</v>
      </c>
      <c r="W29" s="1509">
        <f t="shared" si="14"/>
        <v>100</v>
      </c>
      <c r="X29" s="1502"/>
      <c r="Y29" s="347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79"/>
      <c r="Q30" s="1536" t="str">
        <f t="shared" si="11"/>
        <v>项目建筑规模</v>
      </c>
      <c r="R30" s="1512" t="s">
        <v>8</v>
      </c>
      <c r="S30" s="1513" t="e">
        <f t="shared" si="12"/>
        <v>#N/A</v>
      </c>
      <c r="T30" s="1512" t="s">
        <v>8</v>
      </c>
      <c r="U30" s="1513" t="e">
        <f t="shared" si="13"/>
        <v>#N/A</v>
      </c>
      <c r="V30" s="1512" t="s">
        <v>8</v>
      </c>
      <c r="W30" s="1513" t="e">
        <f t="shared" si="14"/>
        <v>#N/A</v>
      </c>
      <c r="X30" s="1514"/>
      <c r="Y30" s="347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79"/>
      <c r="Q31" s="1507" t="str">
        <f t="shared" si="11"/>
        <v>建筑结构</v>
      </c>
      <c r="R31" s="1508" t="s">
        <v>8</v>
      </c>
      <c r="S31" s="1509">
        <f t="shared" si="12"/>
        <v>100</v>
      </c>
      <c r="T31" s="1508" t="s">
        <v>8</v>
      </c>
      <c r="U31" s="1509">
        <f t="shared" si="13"/>
        <v>100</v>
      </c>
      <c r="V31" s="1508" t="s">
        <v>8</v>
      </c>
      <c r="W31" s="1509">
        <f t="shared" si="14"/>
        <v>100</v>
      </c>
      <c r="X31" s="1502"/>
      <c r="Y31" s="347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79"/>
      <c r="Q32" s="1507" t="str">
        <f t="shared" si="11"/>
        <v>公共部分装修</v>
      </c>
      <c r="R32" s="1508" t="s">
        <v>8</v>
      </c>
      <c r="S32" s="1509">
        <f t="shared" si="12"/>
        <v>100</v>
      </c>
      <c r="T32" s="1508" t="s">
        <v>8</v>
      </c>
      <c r="U32" s="1509">
        <f t="shared" si="13"/>
        <v>100</v>
      </c>
      <c r="V32" s="1508" t="s">
        <v>8</v>
      </c>
      <c r="W32" s="1509">
        <f t="shared" si="14"/>
        <v>100</v>
      </c>
      <c r="X32" s="1502"/>
      <c r="Y32" s="347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79"/>
      <c r="Q33" s="1507" t="str">
        <f t="shared" si="11"/>
        <v>成新度</v>
      </c>
      <c r="R33" s="1508" t="s">
        <v>8</v>
      </c>
      <c r="S33" s="1509" t="e">
        <f t="shared" si="12"/>
        <v>#N/A</v>
      </c>
      <c r="T33" s="1508" t="s">
        <v>8</v>
      </c>
      <c r="U33" s="1509" t="e">
        <f t="shared" si="13"/>
        <v>#N/A</v>
      </c>
      <c r="V33" s="1508" t="s">
        <v>8</v>
      </c>
      <c r="W33" s="1509" t="e">
        <f t="shared" si="14"/>
        <v>#N/A</v>
      </c>
      <c r="X33" s="1502"/>
      <c r="Y33" s="347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79"/>
      <c r="Q34" s="1134" t="str">
        <f t="shared" si="11"/>
        <v>物业管理</v>
      </c>
      <c r="R34" s="1503" t="s">
        <v>8</v>
      </c>
      <c r="S34" s="1504">
        <f t="shared" si="12"/>
        <v>100</v>
      </c>
      <c r="T34" s="1503" t="s">
        <v>8</v>
      </c>
      <c r="U34" s="1504">
        <f t="shared" si="13"/>
        <v>100</v>
      </c>
      <c r="V34" s="1503" t="s">
        <v>8</v>
      </c>
      <c r="W34" s="1504">
        <f t="shared" si="14"/>
        <v>100</v>
      </c>
      <c r="X34" s="1505"/>
      <c r="Y34" s="3479"/>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79" t="s">
        <v>544</v>
      </c>
      <c r="Q35" s="1507" t="str">
        <f t="shared" si="11"/>
        <v>市政基础设施</v>
      </c>
      <c r="R35" s="1508" t="s">
        <v>8</v>
      </c>
      <c r="S35" s="1509">
        <f t="shared" si="12"/>
        <v>100</v>
      </c>
      <c r="T35" s="1508" t="s">
        <v>8</v>
      </c>
      <c r="U35" s="1509">
        <f t="shared" si="13"/>
        <v>100</v>
      </c>
      <c r="V35" s="1508" t="s">
        <v>8</v>
      </c>
      <c r="W35" s="1509">
        <f t="shared" si="14"/>
        <v>100</v>
      </c>
      <c r="X35" s="1502"/>
      <c r="Y35" s="347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79"/>
      <c r="Q36" s="1507" t="str">
        <f t="shared" si="11"/>
        <v>内部装修</v>
      </c>
      <c r="R36" s="1508" t="s">
        <v>8</v>
      </c>
      <c r="S36" s="1509">
        <f t="shared" si="12"/>
        <v>100</v>
      </c>
      <c r="T36" s="1508" t="s">
        <v>8</v>
      </c>
      <c r="U36" s="1509">
        <f t="shared" si="13"/>
        <v>100</v>
      </c>
      <c r="V36" s="1508" t="s">
        <v>8</v>
      </c>
      <c r="W36" s="1509">
        <f t="shared" si="14"/>
        <v>100</v>
      </c>
      <c r="X36" s="1502"/>
      <c r="Y36" s="347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79"/>
      <c r="Q37" s="1507" t="str">
        <f t="shared" si="11"/>
        <v>内部装修状况</v>
      </c>
      <c r="R37" s="1508" t="s">
        <v>8</v>
      </c>
      <c r="S37" s="1509">
        <f t="shared" si="12"/>
        <v>100</v>
      </c>
      <c r="T37" s="1508" t="s">
        <v>8</v>
      </c>
      <c r="U37" s="1509">
        <f t="shared" si="13"/>
        <v>100</v>
      </c>
      <c r="V37" s="1508" t="s">
        <v>8</v>
      </c>
      <c r="W37" s="1509">
        <f t="shared" si="14"/>
        <v>100</v>
      </c>
      <c r="X37" s="1502"/>
      <c r="Y37" s="347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79"/>
      <c r="Q38" s="1536">
        <f t="shared" si="11"/>
        <v>111</v>
      </c>
      <c r="R38" s="1512" t="s">
        <v>8</v>
      </c>
      <c r="S38" s="1513">
        <f t="shared" si="12"/>
        <v>100</v>
      </c>
      <c r="T38" s="1512" t="s">
        <v>8</v>
      </c>
      <c r="U38" s="1513">
        <f t="shared" si="13"/>
        <v>100</v>
      </c>
      <c r="V38" s="1512" t="s">
        <v>8</v>
      </c>
      <c r="W38" s="1513">
        <f t="shared" si="14"/>
        <v>100</v>
      </c>
      <c r="X38" s="1514"/>
      <c r="Y38" s="347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79"/>
      <c r="Q39" s="1507">
        <f t="shared" si="11"/>
        <v>111</v>
      </c>
      <c r="R39" s="1508" t="s">
        <v>8</v>
      </c>
      <c r="S39" s="1509">
        <f t="shared" si="12"/>
        <v>100</v>
      </c>
      <c r="T39" s="1508" t="s">
        <v>8</v>
      </c>
      <c r="U39" s="1509">
        <f t="shared" si="13"/>
        <v>100</v>
      </c>
      <c r="V39" s="1508" t="s">
        <v>8</v>
      </c>
      <c r="W39" s="1509">
        <f t="shared" si="14"/>
        <v>100</v>
      </c>
      <c r="X39" s="1502"/>
      <c r="Y39" s="3479"/>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80"/>
      <c r="Q40" s="1507">
        <f t="shared" si="11"/>
        <v>111</v>
      </c>
      <c r="R40" s="1508" t="s">
        <v>8</v>
      </c>
      <c r="S40" s="1509">
        <f t="shared" si="12"/>
        <v>100</v>
      </c>
      <c r="T40" s="1508" t="s">
        <v>8</v>
      </c>
      <c r="U40" s="1509">
        <f t="shared" si="13"/>
        <v>100</v>
      </c>
      <c r="V40" s="1508" t="s">
        <v>8</v>
      </c>
      <c r="W40" s="1509">
        <f t="shared" si="14"/>
        <v>100</v>
      </c>
      <c r="X40" s="1502"/>
      <c r="Y40" s="3580"/>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74" t="str">
        <f>A41</f>
        <v>成交单价（元/平方米）</v>
      </c>
      <c r="Q41" s="3474"/>
      <c r="R41" s="3579">
        <f>E41</f>
        <v>0</v>
      </c>
      <c r="S41" s="3579"/>
      <c r="T41" s="3579">
        <f>G41</f>
        <v>0</v>
      </c>
      <c r="U41" s="3579"/>
      <c r="V41" s="3579">
        <f>I41</f>
        <v>0</v>
      </c>
      <c r="W41" s="3579"/>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74" t="str">
        <f>A42</f>
        <v>比较价格（元/平方米）</v>
      </c>
      <c r="Q42" s="3474"/>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495" t="str">
        <f>A43</f>
        <v>估价对象XX用房的比较价格（楼面单价，元/平方米）</v>
      </c>
      <c r="Q43" s="3496"/>
      <c r="R43" s="3578" t="e">
        <f>IF(F1="售价",ROUND(IF(D42="简单平均",AVERAGE(R42:V42),R42*F42+T42*H42+V42*J42),0),ROUND(IF(D42="简单平均",AVERAGE(R42:V42),R42*F42+T42*H42+V42*J42),1))</f>
        <v>#DIV/0!</v>
      </c>
      <c r="S43" s="3578"/>
      <c r="T43" s="3578"/>
      <c r="U43" s="3578"/>
      <c r="V43" s="3578"/>
      <c r="W43" s="3578"/>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0" t="s">
        <v>792</v>
      </c>
      <c r="D4" s="3481"/>
      <c r="E4" s="3480" t="s">
        <v>793</v>
      </c>
      <c r="F4" s="3481"/>
      <c r="G4" s="3480" t="s">
        <v>794</v>
      </c>
      <c r="H4" s="3481"/>
      <c r="I4" s="3480" t="s">
        <v>795</v>
      </c>
      <c r="J4" s="3481"/>
      <c r="K4" s="508" t="s">
        <v>796</v>
      </c>
      <c r="L4" s="2015"/>
      <c r="M4" s="2016"/>
      <c r="N4" s="2016"/>
      <c r="O4" s="2016"/>
      <c r="P4" s="3482" t="s">
        <v>797</v>
      </c>
      <c r="Q4" s="3483"/>
      <c r="R4" s="3468" t="s">
        <v>793</v>
      </c>
      <c r="S4" s="3469"/>
      <c r="T4" s="3468" t="s">
        <v>794</v>
      </c>
      <c r="U4" s="3469"/>
      <c r="V4" s="3488" t="s">
        <v>795</v>
      </c>
      <c r="W4" s="3488"/>
      <c r="X4" s="1502"/>
      <c r="Y4" s="3468" t="s">
        <v>797</v>
      </c>
      <c r="Z4" s="3469"/>
      <c r="AA4" s="3463" t="s">
        <v>793</v>
      </c>
      <c r="AB4" s="3464" t="s">
        <v>794</v>
      </c>
      <c r="AC4" s="3463" t="s">
        <v>795</v>
      </c>
    </row>
    <row r="5" spans="1:29" ht="15">
      <c r="A5" s="509"/>
      <c r="B5" s="510"/>
      <c r="C5" s="3491" t="s">
        <v>2897</v>
      </c>
      <c r="D5" s="3492"/>
      <c r="E5" s="3491" t="s">
        <v>2898</v>
      </c>
      <c r="F5" s="3492"/>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493" t="s">
        <v>2901</v>
      </c>
      <c r="F6" s="3494"/>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66" t="s">
        <v>524</v>
      </c>
      <c r="Q7" s="3475"/>
      <c r="R7" s="1503" t="s">
        <v>8</v>
      </c>
      <c r="S7" s="1504">
        <f t="shared" ref="S7:S14" si="0">F7</f>
        <v>0</v>
      </c>
      <c r="T7" s="1503" t="s">
        <v>8</v>
      </c>
      <c r="U7" s="1504">
        <f t="shared" ref="U7:U14" si="1">H7</f>
        <v>0</v>
      </c>
      <c r="V7" s="1503" t="s">
        <v>8</v>
      </c>
      <c r="W7" s="1504">
        <f t="shared" ref="W7:W14"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74" t="s">
        <v>529</v>
      </c>
      <c r="Q9" s="1134" t="str">
        <f t="shared" ref="Q9:Q14" si="6">B9</f>
        <v>用途</v>
      </c>
      <c r="R9" s="1503" t="s">
        <v>8</v>
      </c>
      <c r="S9" s="1504">
        <f t="shared" si="0"/>
        <v>100</v>
      </c>
      <c r="T9" s="1503" t="s">
        <v>8</v>
      </c>
      <c r="U9" s="1504">
        <f t="shared" si="1"/>
        <v>100</v>
      </c>
      <c r="V9" s="1503" t="s">
        <v>8</v>
      </c>
      <c r="W9" s="1504">
        <f t="shared" si="2"/>
        <v>100</v>
      </c>
      <c r="X9" s="1505"/>
      <c r="Y9" s="342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74"/>
      <c r="Q11" s="1134">
        <f t="shared" si="6"/>
        <v>111</v>
      </c>
      <c r="R11" s="1503" t="s">
        <v>8</v>
      </c>
      <c r="S11" s="1504">
        <f t="shared" si="0"/>
        <v>100</v>
      </c>
      <c r="T11" s="1503" t="s">
        <v>8</v>
      </c>
      <c r="U11" s="1504">
        <f t="shared" si="1"/>
        <v>100</v>
      </c>
      <c r="V11" s="1503" t="s">
        <v>8</v>
      </c>
      <c r="W11" s="1504">
        <f t="shared" si="2"/>
        <v>100</v>
      </c>
      <c r="X11" s="1505"/>
      <c r="Y11" s="342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76" t="s">
        <v>534</v>
      </c>
      <c r="Q14" s="1507" t="str">
        <f t="shared" si="6"/>
        <v>交通便捷度</v>
      </c>
      <c r="R14" s="1508" t="s">
        <v>8</v>
      </c>
      <c r="S14" s="1509">
        <f t="shared" si="0"/>
        <v>100</v>
      </c>
      <c r="T14" s="1508" t="s">
        <v>8</v>
      </c>
      <c r="U14" s="1509">
        <f t="shared" si="1"/>
        <v>100</v>
      </c>
      <c r="V14" s="1508" t="s">
        <v>8</v>
      </c>
      <c r="W14" s="1509">
        <f t="shared" si="2"/>
        <v>100</v>
      </c>
      <c r="X14" s="1502"/>
      <c r="Y14" s="347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77"/>
      <c r="Q15" s="1507"/>
      <c r="R15" s="1508"/>
      <c r="S15" s="1509"/>
      <c r="T15" s="1508"/>
      <c r="U15" s="1509"/>
      <c r="V15" s="1508"/>
      <c r="W15" s="1509"/>
      <c r="X15" s="1502"/>
      <c r="Y15" s="3477"/>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77"/>
      <c r="Q16" s="1507" t="str">
        <f>B16</f>
        <v>公共配套设施</v>
      </c>
      <c r="R16" s="1508" t="s">
        <v>8</v>
      </c>
      <c r="S16" s="1509">
        <f>F16</f>
        <v>100</v>
      </c>
      <c r="T16" s="1508" t="s">
        <v>8</v>
      </c>
      <c r="U16" s="1509">
        <f>H16</f>
        <v>100</v>
      </c>
      <c r="V16" s="1508" t="s">
        <v>8</v>
      </c>
      <c r="W16" s="1509">
        <f>J16</f>
        <v>100</v>
      </c>
      <c r="X16" s="1502"/>
      <c r="Y16" s="347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77"/>
      <c r="Q17" s="1507"/>
      <c r="R17" s="1508"/>
      <c r="S17" s="1509"/>
      <c r="T17" s="1508"/>
      <c r="U17" s="1509"/>
      <c r="V17" s="1508"/>
      <c r="W17" s="1509"/>
      <c r="X17" s="1502"/>
      <c r="Y17" s="3477"/>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77"/>
      <c r="Q18" s="2429" t="str">
        <f>B18</f>
        <v>基础设施水平</v>
      </c>
      <c r="R18" s="1508" t="s">
        <v>8</v>
      </c>
      <c r="S18" s="1509">
        <f>F18</f>
        <v>100</v>
      </c>
      <c r="T18" s="1508" t="s">
        <v>8</v>
      </c>
      <c r="U18" s="1509">
        <f>H18</f>
        <v>100</v>
      </c>
      <c r="V18" s="1508" t="s">
        <v>8</v>
      </c>
      <c r="W18" s="1509">
        <f>J18</f>
        <v>100</v>
      </c>
      <c r="X18" s="2431"/>
      <c r="Y18" s="3477"/>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77"/>
      <c r="Q19" s="2429"/>
      <c r="R19" s="1508"/>
      <c r="S19" s="1509"/>
      <c r="T19" s="1508"/>
      <c r="U19" s="1509"/>
      <c r="V19" s="1508"/>
      <c r="W19" s="1509"/>
      <c r="X19" s="2431"/>
      <c r="Y19" s="3477"/>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77"/>
      <c r="Q20" s="1507" t="str">
        <f>B20</f>
        <v>自然及人文环境</v>
      </c>
      <c r="R20" s="1508" t="s">
        <v>8</v>
      </c>
      <c r="S20" s="1509">
        <f>F20</f>
        <v>100</v>
      </c>
      <c r="T20" s="1508" t="s">
        <v>8</v>
      </c>
      <c r="U20" s="1509">
        <f>H20</f>
        <v>100</v>
      </c>
      <c r="V20" s="1508" t="s">
        <v>8</v>
      </c>
      <c r="W20" s="1509">
        <f>J20</f>
        <v>100</v>
      </c>
      <c r="X20" s="1502"/>
      <c r="Y20" s="347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77"/>
      <c r="Q21" s="1507"/>
      <c r="R21" s="1508"/>
      <c r="S21" s="1509"/>
      <c r="T21" s="1508"/>
      <c r="U21" s="1509"/>
      <c r="V21" s="1508"/>
      <c r="W21" s="1509"/>
      <c r="X21" s="1502"/>
      <c r="Y21" s="347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77"/>
      <c r="Q22" s="1507" t="str">
        <f>B22</f>
        <v>楼层</v>
      </c>
      <c r="R22" s="1508" t="s">
        <v>8</v>
      </c>
      <c r="S22" s="1509">
        <f>F22</f>
        <v>100</v>
      </c>
      <c r="T22" s="1508" t="s">
        <v>8</v>
      </c>
      <c r="U22" s="1509">
        <f>H22</f>
        <v>100</v>
      </c>
      <c r="V22" s="1508" t="s">
        <v>8</v>
      </c>
      <c r="W22" s="1509">
        <f>J22</f>
        <v>100</v>
      </c>
      <c r="X22" s="1502"/>
      <c r="Y22" s="347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77"/>
      <c r="Q23" s="1507">
        <f>B23</f>
        <v>111</v>
      </c>
      <c r="R23" s="1508" t="s">
        <v>8</v>
      </c>
      <c r="S23" s="1509">
        <f>F23</f>
        <v>100</v>
      </c>
      <c r="T23" s="1508" t="s">
        <v>8</v>
      </c>
      <c r="U23" s="1509">
        <f>H23</f>
        <v>100</v>
      </c>
      <c r="V23" s="1508" t="s">
        <v>8</v>
      </c>
      <c r="W23" s="1509">
        <f>J23</f>
        <v>100</v>
      </c>
      <c r="X23" s="1502"/>
      <c r="Y23" s="347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77"/>
      <c r="Q24" s="1507">
        <f t="shared" ref="Q24:Q36" si="11">B24</f>
        <v>111</v>
      </c>
      <c r="R24" s="1508" t="s">
        <v>8</v>
      </c>
      <c r="S24" s="1509">
        <f>F24</f>
        <v>100</v>
      </c>
      <c r="T24" s="1508" t="s">
        <v>8</v>
      </c>
      <c r="U24" s="1509">
        <f>H24</f>
        <v>100</v>
      </c>
      <c r="V24" s="1508" t="s">
        <v>8</v>
      </c>
      <c r="W24" s="1509">
        <f>J24</f>
        <v>100</v>
      </c>
      <c r="X24" s="1502"/>
      <c r="Y24" s="347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77"/>
      <c r="Q25" s="1134">
        <f t="shared" si="11"/>
        <v>111</v>
      </c>
      <c r="R25" s="1503" t="s">
        <v>8</v>
      </c>
      <c r="S25" s="1504">
        <f>F25</f>
        <v>100</v>
      </c>
      <c r="T25" s="1503" t="s">
        <v>8</v>
      </c>
      <c r="U25" s="1504">
        <f>H25</f>
        <v>100</v>
      </c>
      <c r="V25" s="1503" t="s">
        <v>8</v>
      </c>
      <c r="W25" s="1504">
        <f>J25</f>
        <v>100</v>
      </c>
      <c r="X25" s="1505"/>
      <c r="Y25" s="3477"/>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7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7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79"/>
      <c r="Q27" s="1536" t="str">
        <f t="shared" si="11"/>
        <v>项目停车位配比</v>
      </c>
      <c r="R27" s="1512" t="s">
        <v>8</v>
      </c>
      <c r="S27" s="1513">
        <f t="shared" si="12"/>
        <v>100</v>
      </c>
      <c r="T27" s="1512" t="s">
        <v>8</v>
      </c>
      <c r="U27" s="1513">
        <f t="shared" si="13"/>
        <v>100</v>
      </c>
      <c r="V27" s="1512" t="s">
        <v>8</v>
      </c>
      <c r="W27" s="1513">
        <f t="shared" si="14"/>
        <v>100</v>
      </c>
      <c r="X27" s="1514"/>
      <c r="Y27" s="347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79"/>
      <c r="Q28" s="1507" t="str">
        <f t="shared" si="11"/>
        <v>公共部分装修</v>
      </c>
      <c r="R28" s="1508" t="s">
        <v>8</v>
      </c>
      <c r="S28" s="1509">
        <f t="shared" si="12"/>
        <v>100</v>
      </c>
      <c r="T28" s="1508" t="s">
        <v>8</v>
      </c>
      <c r="U28" s="1509">
        <f t="shared" si="13"/>
        <v>100</v>
      </c>
      <c r="V28" s="1508" t="s">
        <v>8</v>
      </c>
      <c r="W28" s="1509">
        <f t="shared" si="14"/>
        <v>100</v>
      </c>
      <c r="X28" s="1502"/>
      <c r="Y28" s="347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79"/>
      <c r="Q29" s="1507" t="str">
        <f t="shared" si="11"/>
        <v>成新率</v>
      </c>
      <c r="R29" s="1508" t="s">
        <v>8</v>
      </c>
      <c r="S29" s="1509" t="e">
        <f t="shared" si="12"/>
        <v>#N/A</v>
      </c>
      <c r="T29" s="1508" t="s">
        <v>8</v>
      </c>
      <c r="U29" s="1509" t="e">
        <f t="shared" si="13"/>
        <v>#N/A</v>
      </c>
      <c r="V29" s="1508" t="s">
        <v>8</v>
      </c>
      <c r="W29" s="1509" t="e">
        <f t="shared" si="14"/>
        <v>#N/A</v>
      </c>
      <c r="X29" s="1502"/>
      <c r="Y29" s="347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79"/>
      <c r="Q30" s="1507" t="str">
        <f t="shared" si="11"/>
        <v>物业等级</v>
      </c>
      <c r="R30" s="1508" t="s">
        <v>8</v>
      </c>
      <c r="S30" s="1509">
        <f t="shared" si="12"/>
        <v>100</v>
      </c>
      <c r="T30" s="1508" t="s">
        <v>8</v>
      </c>
      <c r="U30" s="1509">
        <f t="shared" si="13"/>
        <v>100</v>
      </c>
      <c r="V30" s="1508" t="s">
        <v>8</v>
      </c>
      <c r="W30" s="1509">
        <f t="shared" si="14"/>
        <v>100</v>
      </c>
      <c r="X30" s="1502"/>
      <c r="Y30" s="347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79"/>
      <c r="Q31" s="1134" t="str">
        <f t="shared" si="11"/>
        <v>停车位面积</v>
      </c>
      <c r="R31" s="1503" t="s">
        <v>8</v>
      </c>
      <c r="S31" s="1504" t="e">
        <f t="shared" si="12"/>
        <v>#N/A</v>
      </c>
      <c r="T31" s="1503" t="s">
        <v>8</v>
      </c>
      <c r="U31" s="1504" t="e">
        <f t="shared" si="13"/>
        <v>#N/A</v>
      </c>
      <c r="V31" s="1503" t="s">
        <v>8</v>
      </c>
      <c r="W31" s="1504" t="e">
        <f t="shared" si="14"/>
        <v>#N/A</v>
      </c>
      <c r="X31" s="1505"/>
      <c r="Y31" s="347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79" t="s">
        <v>544</v>
      </c>
      <c r="Q32" s="1507" t="str">
        <f t="shared" si="11"/>
        <v>车位类型</v>
      </c>
      <c r="R32" s="1508" t="s">
        <v>8</v>
      </c>
      <c r="S32" s="1509">
        <f t="shared" si="12"/>
        <v>100</v>
      </c>
      <c r="T32" s="1508" t="s">
        <v>8</v>
      </c>
      <c r="U32" s="1509">
        <f t="shared" si="13"/>
        <v>100</v>
      </c>
      <c r="V32" s="1508" t="s">
        <v>8</v>
      </c>
      <c r="W32" s="1509">
        <f t="shared" si="14"/>
        <v>100</v>
      </c>
      <c r="X32" s="1502"/>
      <c r="Y32" s="347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79"/>
      <c r="Q33" s="1507" t="str">
        <f t="shared" si="11"/>
        <v>是否直接入户</v>
      </c>
      <c r="R33" s="1508" t="s">
        <v>8</v>
      </c>
      <c r="S33" s="1509">
        <f t="shared" si="12"/>
        <v>100</v>
      </c>
      <c r="T33" s="1508" t="s">
        <v>8</v>
      </c>
      <c r="U33" s="1509">
        <f t="shared" si="13"/>
        <v>100</v>
      </c>
      <c r="V33" s="1508" t="s">
        <v>8</v>
      </c>
      <c r="W33" s="1509">
        <f t="shared" si="14"/>
        <v>100</v>
      </c>
      <c r="X33" s="1502"/>
      <c r="Y33" s="347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79"/>
      <c r="Q34" s="1507">
        <f t="shared" si="11"/>
        <v>111</v>
      </c>
      <c r="R34" s="1508" t="s">
        <v>8</v>
      </c>
      <c r="S34" s="1509">
        <f t="shared" si="12"/>
        <v>100</v>
      </c>
      <c r="T34" s="1508" t="s">
        <v>8</v>
      </c>
      <c r="U34" s="1509">
        <f t="shared" si="13"/>
        <v>100</v>
      </c>
      <c r="V34" s="1508" t="s">
        <v>8</v>
      </c>
      <c r="W34" s="1509">
        <f t="shared" si="14"/>
        <v>100</v>
      </c>
      <c r="X34" s="1502"/>
      <c r="Y34" s="347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79"/>
      <c r="Q35" s="1536">
        <f t="shared" si="11"/>
        <v>111</v>
      </c>
      <c r="R35" s="1512" t="s">
        <v>8</v>
      </c>
      <c r="S35" s="1513">
        <f t="shared" si="12"/>
        <v>100</v>
      </c>
      <c r="T35" s="1512" t="s">
        <v>8</v>
      </c>
      <c r="U35" s="1513">
        <f t="shared" si="13"/>
        <v>100</v>
      </c>
      <c r="V35" s="1512" t="s">
        <v>8</v>
      </c>
      <c r="W35" s="1513">
        <f t="shared" si="14"/>
        <v>100</v>
      </c>
      <c r="X35" s="1514"/>
      <c r="Y35" s="3479"/>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79"/>
      <c r="Q36" s="1507">
        <f t="shared" si="11"/>
        <v>111</v>
      </c>
      <c r="R36" s="1508" t="s">
        <v>8</v>
      </c>
      <c r="S36" s="1509">
        <f t="shared" si="12"/>
        <v>100</v>
      </c>
      <c r="T36" s="1508" t="s">
        <v>8</v>
      </c>
      <c r="U36" s="1509">
        <f t="shared" si="13"/>
        <v>100</v>
      </c>
      <c r="V36" s="1508" t="s">
        <v>8</v>
      </c>
      <c r="W36" s="1509">
        <f t="shared" si="14"/>
        <v>100</v>
      </c>
      <c r="X36" s="1502"/>
      <c r="Y36" s="3479"/>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74" t="str">
        <f>A37</f>
        <v>成交单价</v>
      </c>
      <c r="Q37" s="3474"/>
      <c r="R37" s="3579">
        <f>E37</f>
        <v>0</v>
      </c>
      <c r="S37" s="3579"/>
      <c r="T37" s="3579">
        <f>G37</f>
        <v>0</v>
      </c>
      <c r="U37" s="3579"/>
      <c r="V37" s="3579">
        <f>I37</f>
        <v>0</v>
      </c>
      <c r="W37" s="3579"/>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3474" t="str">
        <f>A38</f>
        <v>比较价格（元/平方米）</v>
      </c>
      <c r="Q38" s="3474"/>
      <c r="R38" s="3579" t="e">
        <f>IF(F1="售价",ROUND(PRODUCT(R37,AA7:AA36),0),ROUND(PRODUCT(R37,AA7:AA36),1))</f>
        <v>#DIV/0!</v>
      </c>
      <c r="S38" s="3579"/>
      <c r="T38" s="3579" t="e">
        <f>IF(F1="售价",ROUND(PRODUCT(T37,AB7:AB36),0),ROUND(PRODUCT(T37,AB7:AB36),1))</f>
        <v>#DIV/0!</v>
      </c>
      <c r="U38" s="3579"/>
      <c r="V38" s="3579" t="e">
        <f>IF(F1="售价",ROUND(PRODUCT(V37,AC7:AC36),0),ROUND(PRODUCT(V37,AC7:AC36),1))</f>
        <v>#DIV/0!</v>
      </c>
      <c r="W38" s="3579"/>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495" t="str">
        <f>A39</f>
        <v>估价对象XX用房的比较价格（楼面单价，元/平方米）</v>
      </c>
      <c r="Q39" s="3496"/>
      <c r="R39" s="3578" t="e">
        <f>IF(F1="售价",ROUND(IF(D38="简单平均",AVERAGE(R38:W38),R38*F38+T38*H38+V38*J38),0),ROUND(IF(D38="简单平均",AVERAGE(R38:V38),R38*F38+T38*H38+V38*J38),1))</f>
        <v>#DIV/0!</v>
      </c>
      <c r="S39" s="3578"/>
      <c r="T39" s="3578"/>
      <c r="U39" s="3578"/>
      <c r="V39" s="3578"/>
      <c r="W39" s="3578"/>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0" t="s">
        <v>792</v>
      </c>
      <c r="D4" s="3481"/>
      <c r="E4" s="3505" t="s">
        <v>793</v>
      </c>
      <c r="F4" s="3506"/>
      <c r="G4" s="3480" t="s">
        <v>794</v>
      </c>
      <c r="H4" s="3481"/>
      <c r="I4" s="3480" t="s">
        <v>795</v>
      </c>
      <c r="J4" s="3481"/>
      <c r="K4" s="508" t="s">
        <v>796</v>
      </c>
      <c r="L4" s="2015"/>
      <c r="M4" s="2016"/>
      <c r="N4" s="2016"/>
      <c r="O4" s="2016"/>
      <c r="P4" s="3482" t="s">
        <v>797</v>
      </c>
      <c r="Q4" s="3483"/>
      <c r="R4" s="3468" t="s">
        <v>793</v>
      </c>
      <c r="S4" s="3469"/>
      <c r="T4" s="3468" t="s">
        <v>794</v>
      </c>
      <c r="U4" s="3469"/>
      <c r="V4" s="3488" t="s">
        <v>795</v>
      </c>
      <c r="W4" s="3488"/>
      <c r="X4" s="1502"/>
      <c r="Y4" s="3468" t="s">
        <v>797</v>
      </c>
      <c r="Z4" s="3469"/>
      <c r="AA4" s="3463" t="s">
        <v>793</v>
      </c>
      <c r="AB4" s="3464" t="s">
        <v>794</v>
      </c>
      <c r="AC4" s="3463" t="s">
        <v>795</v>
      </c>
    </row>
    <row r="5" spans="1:29" ht="15">
      <c r="A5" s="509"/>
      <c r="B5" s="510"/>
      <c r="C5" s="3491" t="s">
        <v>2897</v>
      </c>
      <c r="D5" s="3492"/>
      <c r="E5" s="3507" t="s">
        <v>2898</v>
      </c>
      <c r="F5" s="3508"/>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66" t="s">
        <v>524</v>
      </c>
      <c r="Q7" s="3475"/>
      <c r="R7" s="1503" t="s">
        <v>8</v>
      </c>
      <c r="S7" s="1504">
        <f t="shared" ref="S7:S14" si="0">F7</f>
        <v>0</v>
      </c>
      <c r="T7" s="1503" t="s">
        <v>8</v>
      </c>
      <c r="U7" s="1504">
        <f t="shared" ref="U7:U14" si="1">H7</f>
        <v>0</v>
      </c>
      <c r="V7" s="1503" t="s">
        <v>8</v>
      </c>
      <c r="W7" s="1504">
        <f t="shared" ref="W7:W14"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74" t="s">
        <v>529</v>
      </c>
      <c r="Q9" s="1134" t="str">
        <f t="shared" ref="Q9:Q14" si="6">B9</f>
        <v>用途</v>
      </c>
      <c r="R9" s="1503" t="s">
        <v>8</v>
      </c>
      <c r="S9" s="1504">
        <f t="shared" si="0"/>
        <v>100</v>
      </c>
      <c r="T9" s="1503" t="s">
        <v>8</v>
      </c>
      <c r="U9" s="1504">
        <f t="shared" si="1"/>
        <v>100</v>
      </c>
      <c r="V9" s="1503" t="s">
        <v>8</v>
      </c>
      <c r="W9" s="1504">
        <f t="shared" si="2"/>
        <v>100</v>
      </c>
      <c r="X9" s="1505"/>
      <c r="Y9" s="342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74"/>
      <c r="Q11" s="1134">
        <f t="shared" si="6"/>
        <v>111</v>
      </c>
      <c r="R11" s="1503" t="s">
        <v>8</v>
      </c>
      <c r="S11" s="1504">
        <f t="shared" si="0"/>
        <v>100</v>
      </c>
      <c r="T11" s="1503" t="s">
        <v>8</v>
      </c>
      <c r="U11" s="1504">
        <f t="shared" si="1"/>
        <v>100</v>
      </c>
      <c r="V11" s="1503" t="s">
        <v>8</v>
      </c>
      <c r="W11" s="1504">
        <f t="shared" si="2"/>
        <v>100</v>
      </c>
      <c r="X11" s="1505"/>
      <c r="Y11" s="342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76" t="s">
        <v>534</v>
      </c>
      <c r="Q14" s="1507" t="str">
        <f t="shared" si="6"/>
        <v>交通便捷度</v>
      </c>
      <c r="R14" s="1508" t="s">
        <v>8</v>
      </c>
      <c r="S14" s="1509">
        <f t="shared" si="0"/>
        <v>100</v>
      </c>
      <c r="T14" s="1508" t="s">
        <v>8</v>
      </c>
      <c r="U14" s="1509">
        <f t="shared" si="1"/>
        <v>100</v>
      </c>
      <c r="V14" s="1508" t="s">
        <v>8</v>
      </c>
      <c r="W14" s="1509">
        <f t="shared" si="2"/>
        <v>100</v>
      </c>
      <c r="X14" s="1502"/>
      <c r="Y14" s="347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77"/>
      <c r="Q15" s="1507"/>
      <c r="R15" s="1508"/>
      <c r="S15" s="1509"/>
      <c r="T15" s="1508"/>
      <c r="U15" s="1509"/>
      <c r="V15" s="1508"/>
      <c r="W15" s="1509"/>
      <c r="X15" s="1502"/>
      <c r="Y15" s="3477"/>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77"/>
      <c r="Q16" s="1507" t="str">
        <f>B16</f>
        <v>公共配套设施</v>
      </c>
      <c r="R16" s="1508" t="s">
        <v>8</v>
      </c>
      <c r="S16" s="1509">
        <f>F16</f>
        <v>100</v>
      </c>
      <c r="T16" s="1508" t="s">
        <v>8</v>
      </c>
      <c r="U16" s="1509">
        <f>H16</f>
        <v>100</v>
      </c>
      <c r="V16" s="1508" t="s">
        <v>8</v>
      </c>
      <c r="W16" s="1509">
        <f>J16</f>
        <v>100</v>
      </c>
      <c r="X16" s="1502"/>
      <c r="Y16" s="347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77"/>
      <c r="Q17" s="1507"/>
      <c r="R17" s="1508"/>
      <c r="S17" s="1509"/>
      <c r="T17" s="1508"/>
      <c r="U17" s="1509"/>
      <c r="V17" s="1508"/>
      <c r="W17" s="1509"/>
      <c r="X17" s="1502"/>
      <c r="Y17" s="3477"/>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77"/>
      <c r="Q18" s="2429" t="str">
        <f>B18</f>
        <v>基础设施水平</v>
      </c>
      <c r="R18" s="1508" t="s">
        <v>8</v>
      </c>
      <c r="S18" s="1509">
        <f>F18</f>
        <v>100</v>
      </c>
      <c r="T18" s="1508" t="s">
        <v>8</v>
      </c>
      <c r="U18" s="1509">
        <f>H18</f>
        <v>100</v>
      </c>
      <c r="V18" s="1508" t="s">
        <v>8</v>
      </c>
      <c r="W18" s="1509">
        <f>J18</f>
        <v>100</v>
      </c>
      <c r="X18" s="2431"/>
      <c r="Y18" s="3477"/>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77"/>
      <c r="Q19" s="2429"/>
      <c r="R19" s="1508"/>
      <c r="S19" s="1509"/>
      <c r="T19" s="1508"/>
      <c r="U19" s="1509"/>
      <c r="V19" s="1508"/>
      <c r="W19" s="1509"/>
      <c r="X19" s="2431"/>
      <c r="Y19" s="3477"/>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77"/>
      <c r="Q20" s="1507" t="str">
        <f>B20</f>
        <v>自然及人文环境</v>
      </c>
      <c r="R20" s="1508" t="s">
        <v>8</v>
      </c>
      <c r="S20" s="1509">
        <f>F20</f>
        <v>100</v>
      </c>
      <c r="T20" s="1508" t="s">
        <v>8</v>
      </c>
      <c r="U20" s="1509">
        <f>H20</f>
        <v>100</v>
      </c>
      <c r="V20" s="1508" t="s">
        <v>8</v>
      </c>
      <c r="W20" s="1509">
        <f>J20</f>
        <v>100</v>
      </c>
      <c r="X20" s="1502"/>
      <c r="Y20" s="347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77"/>
      <c r="Q21" s="1507"/>
      <c r="R21" s="1508"/>
      <c r="S21" s="1509"/>
      <c r="T21" s="1508"/>
      <c r="U21" s="1509"/>
      <c r="V21" s="1508"/>
      <c r="W21" s="1509"/>
      <c r="X21" s="1502"/>
      <c r="Y21" s="347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77"/>
      <c r="Q22" s="1507" t="str">
        <f>B22</f>
        <v>楼层</v>
      </c>
      <c r="R22" s="1508" t="s">
        <v>8</v>
      </c>
      <c r="S22" s="1509">
        <f>F22</f>
        <v>100</v>
      </c>
      <c r="T22" s="1508" t="s">
        <v>8</v>
      </c>
      <c r="U22" s="1509">
        <f>H22</f>
        <v>100</v>
      </c>
      <c r="V22" s="1508" t="s">
        <v>8</v>
      </c>
      <c r="W22" s="1509">
        <f>J22</f>
        <v>100</v>
      </c>
      <c r="X22" s="1502"/>
      <c r="Y22" s="347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77"/>
      <c r="Q23" s="1507">
        <f>B23</f>
        <v>111</v>
      </c>
      <c r="R23" s="1508" t="s">
        <v>8</v>
      </c>
      <c r="S23" s="1509">
        <f>F23</f>
        <v>100</v>
      </c>
      <c r="T23" s="1508" t="s">
        <v>8</v>
      </c>
      <c r="U23" s="1509">
        <f>H23</f>
        <v>100</v>
      </c>
      <c r="V23" s="1508" t="s">
        <v>8</v>
      </c>
      <c r="W23" s="1509">
        <f>J23</f>
        <v>100</v>
      </c>
      <c r="X23" s="1502"/>
      <c r="Y23" s="347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77"/>
      <c r="Q24" s="1507">
        <f t="shared" ref="Q24:Q34" si="11">B24</f>
        <v>111</v>
      </c>
      <c r="R24" s="1508" t="s">
        <v>8</v>
      </c>
      <c r="S24" s="1509">
        <f>F24</f>
        <v>100</v>
      </c>
      <c r="T24" s="1508" t="s">
        <v>8</v>
      </c>
      <c r="U24" s="1509">
        <f>H24</f>
        <v>100</v>
      </c>
      <c r="V24" s="1508" t="s">
        <v>8</v>
      </c>
      <c r="W24" s="1509">
        <f>J24</f>
        <v>100</v>
      </c>
      <c r="X24" s="1502"/>
      <c r="Y24" s="347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77"/>
      <c r="Q25" s="1134">
        <f t="shared" si="11"/>
        <v>111</v>
      </c>
      <c r="R25" s="1503" t="s">
        <v>8</v>
      </c>
      <c r="S25" s="1504">
        <f>F25</f>
        <v>100</v>
      </c>
      <c r="T25" s="1503" t="s">
        <v>8</v>
      </c>
      <c r="U25" s="1504">
        <f>H25</f>
        <v>100</v>
      </c>
      <c r="V25" s="1503" t="s">
        <v>8</v>
      </c>
      <c r="W25" s="1504">
        <f>J25</f>
        <v>100</v>
      </c>
      <c r="X25" s="1505"/>
      <c r="Y25" s="3477"/>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7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7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79"/>
      <c r="Q27" s="1536" t="str">
        <f t="shared" si="11"/>
        <v>成新率</v>
      </c>
      <c r="R27" s="1512" t="s">
        <v>8</v>
      </c>
      <c r="S27" s="1513" t="e">
        <f t="shared" si="12"/>
        <v>#N/A</v>
      </c>
      <c r="T27" s="1512" t="s">
        <v>8</v>
      </c>
      <c r="U27" s="1513" t="e">
        <f t="shared" si="13"/>
        <v>#N/A</v>
      </c>
      <c r="V27" s="1512" t="s">
        <v>8</v>
      </c>
      <c r="W27" s="1513" t="e">
        <f t="shared" si="14"/>
        <v>#N/A</v>
      </c>
      <c r="X27" s="1514"/>
      <c r="Y27" s="347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79"/>
      <c r="Q28" s="1507" t="str">
        <f t="shared" si="11"/>
        <v>物业等级</v>
      </c>
      <c r="R28" s="1508" t="s">
        <v>8</v>
      </c>
      <c r="S28" s="1509">
        <f t="shared" si="12"/>
        <v>100</v>
      </c>
      <c r="T28" s="1508" t="s">
        <v>8</v>
      </c>
      <c r="U28" s="1509">
        <f t="shared" si="13"/>
        <v>100</v>
      </c>
      <c r="V28" s="1508" t="s">
        <v>8</v>
      </c>
      <c r="W28" s="1509">
        <f t="shared" si="14"/>
        <v>100</v>
      </c>
      <c r="X28" s="1502"/>
      <c r="Y28" s="347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79"/>
      <c r="Q29" s="1507" t="str">
        <f t="shared" si="11"/>
        <v>有无电梯</v>
      </c>
      <c r="R29" s="1508" t="s">
        <v>8</v>
      </c>
      <c r="S29" s="1509">
        <f t="shared" si="12"/>
        <v>100</v>
      </c>
      <c r="T29" s="1508" t="s">
        <v>8</v>
      </c>
      <c r="U29" s="1509">
        <f t="shared" si="13"/>
        <v>100</v>
      </c>
      <c r="V29" s="1508" t="s">
        <v>8</v>
      </c>
      <c r="W29" s="1509">
        <f t="shared" si="14"/>
        <v>100</v>
      </c>
      <c r="X29" s="1502"/>
      <c r="Y29" s="347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79"/>
      <c r="Q30" s="1507" t="str">
        <f t="shared" si="11"/>
        <v>建筑面积</v>
      </c>
      <c r="R30" s="1508" t="s">
        <v>8</v>
      </c>
      <c r="S30" s="1509" t="e">
        <f t="shared" si="12"/>
        <v>#N/A</v>
      </c>
      <c r="T30" s="1508" t="s">
        <v>8</v>
      </c>
      <c r="U30" s="1509" t="e">
        <f t="shared" si="13"/>
        <v>#N/A</v>
      </c>
      <c r="V30" s="1508" t="s">
        <v>8</v>
      </c>
      <c r="W30" s="1509" t="e">
        <f t="shared" si="14"/>
        <v>#N/A</v>
      </c>
      <c r="X30" s="1502"/>
      <c r="Y30" s="347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79"/>
      <c r="Q31" s="1134" t="str">
        <f t="shared" si="11"/>
        <v>是否封闭</v>
      </c>
      <c r="R31" s="1503" t="s">
        <v>8</v>
      </c>
      <c r="S31" s="1504">
        <f t="shared" si="12"/>
        <v>100</v>
      </c>
      <c r="T31" s="1503" t="s">
        <v>8</v>
      </c>
      <c r="U31" s="1504">
        <f t="shared" si="13"/>
        <v>100</v>
      </c>
      <c r="V31" s="1503" t="s">
        <v>8</v>
      </c>
      <c r="W31" s="1504">
        <f t="shared" si="14"/>
        <v>100</v>
      </c>
      <c r="X31" s="1505"/>
      <c r="Y31" s="347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79" t="s">
        <v>544</v>
      </c>
      <c r="Q32" s="1507">
        <f t="shared" si="11"/>
        <v>111</v>
      </c>
      <c r="R32" s="1508" t="s">
        <v>8</v>
      </c>
      <c r="S32" s="1509">
        <f t="shared" si="12"/>
        <v>100</v>
      </c>
      <c r="T32" s="1508" t="s">
        <v>8</v>
      </c>
      <c r="U32" s="1509">
        <f t="shared" si="13"/>
        <v>100</v>
      </c>
      <c r="V32" s="1508" t="s">
        <v>8</v>
      </c>
      <c r="W32" s="1509">
        <f t="shared" si="14"/>
        <v>100</v>
      </c>
      <c r="X32" s="1502"/>
      <c r="Y32" s="347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79"/>
      <c r="Q33" s="1507">
        <f t="shared" si="11"/>
        <v>111</v>
      </c>
      <c r="R33" s="1508" t="s">
        <v>8</v>
      </c>
      <c r="S33" s="1509">
        <f t="shared" si="12"/>
        <v>100</v>
      </c>
      <c r="T33" s="1508" t="s">
        <v>8</v>
      </c>
      <c r="U33" s="1509">
        <f t="shared" si="13"/>
        <v>100</v>
      </c>
      <c r="V33" s="1508" t="s">
        <v>8</v>
      </c>
      <c r="W33" s="1509">
        <f t="shared" si="14"/>
        <v>100</v>
      </c>
      <c r="X33" s="1502"/>
      <c r="Y33" s="3479"/>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79"/>
      <c r="Q34" s="1507">
        <f t="shared" si="11"/>
        <v>111</v>
      </c>
      <c r="R34" s="1508" t="s">
        <v>8</v>
      </c>
      <c r="S34" s="1509">
        <f t="shared" si="12"/>
        <v>100</v>
      </c>
      <c r="T34" s="1508" t="s">
        <v>8</v>
      </c>
      <c r="U34" s="1509">
        <f t="shared" si="13"/>
        <v>100</v>
      </c>
      <c r="V34" s="1508" t="s">
        <v>8</v>
      </c>
      <c r="W34" s="1509">
        <f t="shared" si="14"/>
        <v>100</v>
      </c>
      <c r="X34" s="1502"/>
      <c r="Y34" s="3479"/>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74" t="str">
        <f>A35</f>
        <v>成交单价（元/平方米）</v>
      </c>
      <c r="Q35" s="3474"/>
      <c r="R35" s="3579">
        <f>E35</f>
        <v>0</v>
      </c>
      <c r="S35" s="3579"/>
      <c r="T35" s="3579">
        <f>G35</f>
        <v>0</v>
      </c>
      <c r="U35" s="3579"/>
      <c r="V35" s="3579">
        <f>I35</f>
        <v>0</v>
      </c>
      <c r="W35" s="3579"/>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74" t="str">
        <f>A36</f>
        <v>比较价格（元/平方米）</v>
      </c>
      <c r="Q36" s="3474"/>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495" t="str">
        <f>A37</f>
        <v>估价对象XX用房的比较价格（楼面单价，元/平方米）</v>
      </c>
      <c r="Q37" s="3496"/>
      <c r="R37" s="3578" t="e">
        <f>IF(F1="售价",ROUND(IF(D36="简单平均",AVERAGE(R36:W36),R36*F36+T36*H36+V36*J36),0),ROUND(IF(D36="简单平均",AVERAGE(R36:V36),R36*F36+T36*H36+V36*J36),1))</f>
        <v>#DIV/0!</v>
      </c>
      <c r="S37" s="3578"/>
      <c r="T37" s="3578"/>
      <c r="U37" s="3578"/>
      <c r="V37" s="3578"/>
      <c r="W37" s="3578"/>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3214.29平方米。根据《建设工程规划许可证》[]、《出让合同》[]，估价对象规划建筑面积为9000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根据《国有土地使用证》[]，估价对象（分摊）出让国有建设用地使用权面积为3214.29平方米。根据《建设工程规划许可证》[]、《出让合同》[]，估价对象规划建筑面积为9000平方米。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K37" sqref="K37"/>
      <selection pane="bottomLeft" activeCell="K37" sqref="K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8" t="s">
        <v>2292</v>
      </c>
      <c r="D1" s="3589"/>
      <c r="E1" s="3589"/>
      <c r="F1" s="3589"/>
      <c r="G1" s="3589"/>
      <c r="H1" s="3589"/>
      <c r="I1" s="3589"/>
      <c r="J1" s="3589"/>
      <c r="K1" s="3589"/>
      <c r="L1" s="3589"/>
      <c r="M1" s="3589"/>
      <c r="N1" s="3589"/>
      <c r="O1" s="3589"/>
      <c r="P1" s="3589"/>
      <c r="Q1" s="3589"/>
      <c r="R1" s="3589"/>
      <c r="S1" s="3590"/>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5" t="s">
        <v>20</v>
      </c>
      <c r="D22" s="3586"/>
      <c r="E22" s="3586"/>
      <c r="F22" s="3586"/>
      <c r="G22" s="3586"/>
      <c r="H22" s="3586"/>
      <c r="I22" s="3586"/>
      <c r="J22" s="3586"/>
      <c r="K22" s="3586"/>
      <c r="L22" s="3586"/>
      <c r="M22" s="3586"/>
      <c r="N22" s="3586"/>
      <c r="O22" s="3586"/>
      <c r="P22" s="3586"/>
      <c r="Q22" s="3587"/>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44269</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2027</v>
      </c>
      <c r="B1" s="3290"/>
      <c r="C1" s="3290"/>
      <c r="D1" s="3290"/>
      <c r="E1" s="3290"/>
      <c r="F1" s="3290"/>
      <c r="G1" s="3290"/>
      <c r="H1" s="3290"/>
      <c r="I1" s="3290"/>
      <c r="J1" s="3290"/>
      <c r="K1" s="3290"/>
      <c r="L1" s="3290"/>
      <c r="M1" s="3290"/>
      <c r="N1" s="3290"/>
      <c r="O1" s="3290"/>
      <c r="P1" s="3290"/>
      <c r="Q1" s="3290"/>
      <c r="R1" s="3290"/>
    </row>
    <row r="2" spans="1:18">
      <c r="A2" s="1722" t="s">
        <v>2029</v>
      </c>
      <c r="B2" s="1722"/>
      <c r="C2" s="1722"/>
      <c r="D2" s="1722"/>
      <c r="E2" s="1722"/>
      <c r="F2" s="1722"/>
      <c r="G2" s="1722"/>
      <c r="H2" s="1722"/>
      <c r="I2" s="1723"/>
      <c r="J2" s="1723"/>
      <c r="K2" s="1724" t="str">
        <f>"估价期日："&amp;TEXT(项目基本情况!D3,"yyyy年m月d日;;")</f>
        <v>估价期日：2021年3月14日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1" t="s">
        <v>2018</v>
      </c>
      <c r="B3" s="3291" t="s">
        <v>2712</v>
      </c>
      <c r="C3" s="3292" t="s">
        <v>2019</v>
      </c>
      <c r="D3" s="3291" t="s">
        <v>2716</v>
      </c>
      <c r="E3" s="3286" t="s">
        <v>2020</v>
      </c>
      <c r="F3" s="3286"/>
      <c r="G3" s="3286"/>
      <c r="H3" s="3286" t="s">
        <v>2021</v>
      </c>
      <c r="I3" s="3286"/>
      <c r="J3" s="3286"/>
      <c r="K3" s="3292" t="s">
        <v>2022</v>
      </c>
      <c r="L3" s="3292" t="s">
        <v>2023</v>
      </c>
      <c r="M3" s="3291" t="s">
        <v>2713</v>
      </c>
      <c r="N3" s="3293" t="str">
        <f>"（分摊）"&amp;项目基本情况!B16&amp;"国有建设用地使用权面积/㎡"</f>
        <v>（分摊）出让国有建设用地使用权面积/㎡</v>
      </c>
      <c r="O3" s="3291" t="s">
        <v>2052</v>
      </c>
      <c r="P3" s="3292" t="s">
        <v>2032</v>
      </c>
      <c r="Q3" s="3292" t="s">
        <v>2053</v>
      </c>
      <c r="R3" s="3292" t="s">
        <v>2024</v>
      </c>
    </row>
    <row r="4" spans="1:18" ht="36.75" customHeight="1">
      <c r="A4" s="3291"/>
      <c r="B4" s="3291"/>
      <c r="C4" s="3292"/>
      <c r="D4" s="3291"/>
      <c r="E4" s="2491" t="s">
        <v>2031</v>
      </c>
      <c r="F4" s="2491" t="s">
        <v>2725</v>
      </c>
      <c r="G4" s="2491" t="s">
        <v>2025</v>
      </c>
      <c r="H4" s="2491" t="s">
        <v>2026</v>
      </c>
      <c r="I4" s="2491" t="s">
        <v>2726</v>
      </c>
      <c r="J4" s="2491" t="s">
        <v>2025</v>
      </c>
      <c r="K4" s="3292"/>
      <c r="L4" s="3292"/>
      <c r="M4" s="3291"/>
      <c r="N4" s="3293"/>
      <c r="O4" s="3291"/>
      <c r="P4" s="3292"/>
      <c r="Q4" s="3292"/>
      <c r="R4" s="3292"/>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3214.29</v>
      </c>
      <c r="O5" s="1725">
        <f>项目基本情况!C21</f>
        <v>9000</v>
      </c>
      <c r="P5" s="1725">
        <f ca="1">结果表!E42</f>
        <v>12927</v>
      </c>
      <c r="Q5" s="1725">
        <f ca="1">结果表!D42</f>
        <v>4617</v>
      </c>
      <c r="R5" s="1726">
        <f ca="1">结果表!C42</f>
        <v>4155</v>
      </c>
    </row>
    <row r="6" spans="1:18">
      <c r="A6" s="3287" t="str">
        <f>IF(项目基本情况!B9="市场价格","——","抵押价格")</f>
        <v>——</v>
      </c>
      <c r="B6" s="3288"/>
      <c r="C6" s="3288"/>
      <c r="D6" s="3288"/>
      <c r="E6" s="3288"/>
      <c r="F6" s="3288"/>
      <c r="G6" s="3288"/>
      <c r="H6" s="3288"/>
      <c r="I6" s="3288"/>
      <c r="J6" s="3288"/>
      <c r="K6" s="3288"/>
      <c r="L6" s="3288"/>
      <c r="M6" s="3288"/>
      <c r="N6" s="3288"/>
      <c r="O6" s="3288"/>
      <c r="P6" s="3288"/>
      <c r="Q6" s="3289"/>
      <c r="R6" s="1727" t="str">
        <f>结果表!O39</f>
        <v>——</v>
      </c>
    </row>
    <row r="7" spans="1:18">
      <c r="A7" s="3287" t="str">
        <f>IF(项目基本情况!B9="市场价格","——",IF(项目基本情况!E8="已注销及未注销","抵押担保权已注销时的抵押价格","——"))</f>
        <v>——</v>
      </c>
      <c r="B7" s="3288"/>
      <c r="C7" s="3288"/>
      <c r="D7" s="3288"/>
      <c r="E7" s="3288"/>
      <c r="F7" s="3288"/>
      <c r="G7" s="3288"/>
      <c r="H7" s="3288"/>
      <c r="I7" s="3288"/>
      <c r="J7" s="3288"/>
      <c r="K7" s="3288"/>
      <c r="L7" s="3288"/>
      <c r="M7" s="3288"/>
      <c r="N7" s="3288"/>
      <c r="O7" s="3288"/>
      <c r="P7" s="3288"/>
      <c r="Q7" s="3289"/>
      <c r="R7" s="1727" t="str">
        <f>结果表!O40</f>
        <v>——</v>
      </c>
    </row>
    <row r="8" spans="1:18">
      <c r="A8" s="3287" t="str">
        <f>IF(项目基本情况!B9="市场价格","——",项目基本情况!E9)</f>
        <v>——</v>
      </c>
      <c r="B8" s="3288"/>
      <c r="C8" s="3288"/>
      <c r="D8" s="3288"/>
      <c r="E8" s="3288"/>
      <c r="F8" s="3288"/>
      <c r="G8" s="3288"/>
      <c r="H8" s="3288"/>
      <c r="I8" s="3288"/>
      <c r="J8" s="3288"/>
      <c r="K8" s="3288"/>
      <c r="L8" s="3288"/>
      <c r="M8" s="3288"/>
      <c r="N8" s="3288"/>
      <c r="O8" s="3288"/>
      <c r="P8" s="3288"/>
      <c r="Q8" s="328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4" t="s">
        <v>2054</v>
      </c>
      <c r="B1" s="3294"/>
      <c r="C1" s="3294"/>
      <c r="D1" s="3294"/>
    </row>
    <row r="2" spans="1:4" ht="47.25" customHeight="1">
      <c r="A2" s="3298" t="str">
        <f>"1.权利限制："&amp;项目基本情况!L24&amp;"未设定租赁等其他他项权利。"</f>
        <v>1.权利限制：根据估价对象《不动产权证书》原件、《国有土地使用权》复印件，截至估价期日，估价对象抵押权未见登记。未设定租赁等其他他项权利。</v>
      </c>
      <c r="B2" s="3298"/>
      <c r="C2" s="3298"/>
      <c r="D2" s="3298"/>
    </row>
    <row r="3" spans="1:4" ht="48" customHeight="1">
      <c r="A3" s="32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4"/>
      <c r="C3" s="3294"/>
      <c r="D3" s="3294"/>
    </row>
    <row r="4" spans="1:4" ht="36.75" customHeight="1">
      <c r="A4" s="3294" t="str">
        <f>"3.估价规划限制条件：详见"&amp;项目基本情况!E21&amp;"。"</f>
        <v>3.估价规划限制条件：详见《建设工程规划许可证》[]、《出让合同》[]。</v>
      </c>
      <c r="B4" s="3294"/>
      <c r="C4" s="3294"/>
      <c r="D4" s="3294"/>
    </row>
    <row r="5" spans="1:4">
      <c r="A5" s="3297" t="s">
        <v>2055</v>
      </c>
      <c r="B5" s="3297"/>
      <c r="C5" s="3297"/>
      <c r="D5" s="3297"/>
    </row>
    <row r="6" spans="1:4">
      <c r="A6" s="3294" t="s">
        <v>2033</v>
      </c>
      <c r="B6" s="3294"/>
      <c r="C6" s="3294"/>
      <c r="D6" s="3294"/>
    </row>
    <row r="7" spans="1:4" ht="33" customHeight="1">
      <c r="A7" s="3294" t="s">
        <v>2556</v>
      </c>
      <c r="B7" s="3294"/>
      <c r="C7" s="3294"/>
      <c r="D7" s="3294"/>
    </row>
    <row r="8" spans="1:4" ht="32.25" customHeight="1">
      <c r="A8" s="32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4"/>
      <c r="C8" s="3294"/>
      <c r="D8" s="3294"/>
    </row>
    <row r="9" spans="1:4" ht="33.75" customHeight="1">
      <c r="A9" s="3294" t="str">
        <f>IF(项目基本情况!B8="抵押","3.抵押双方在办理抵押登记手续时，应使用本公司出具的正式《土地估价报告》，特提请报告使用者注意。","——")</f>
        <v>——</v>
      </c>
      <c r="B9" s="3294"/>
      <c r="C9" s="3294"/>
      <c r="D9" s="3294"/>
    </row>
    <row r="10" spans="1:4">
      <c r="A10" s="3294" t="str">
        <f>IF(项目基本情况!B8="抵押","4.估价师所知悉的法定优先受偿款情况为：","——")</f>
        <v>——</v>
      </c>
      <c r="B10" s="3294"/>
      <c r="C10" s="3294"/>
      <c r="D10" s="3294"/>
    </row>
    <row r="11" spans="1:4" ht="37.5" customHeight="1">
      <c r="A11" s="3296" t="str">
        <f>IF(项目基本情况!B8="抵押","（1）"&amp;CONCATENATE(项目基本情况!L24,项目基本情况!L25,项目基本情况!L26),"——")</f>
        <v>——</v>
      </c>
      <c r="B11" s="3296"/>
      <c r="C11" s="3296"/>
      <c r="D11" s="3296"/>
    </row>
    <row r="12" spans="1:4" ht="168" customHeight="1">
      <c r="A12" s="3297" t="s">
        <v>2057</v>
      </c>
      <c r="B12" s="3297"/>
      <c r="C12" s="3297"/>
      <c r="D12" s="3297"/>
    </row>
    <row r="13" spans="1:4">
      <c r="A13" s="3295" t="s">
        <v>2727</v>
      </c>
      <c r="B13" s="3295"/>
      <c r="C13" s="3295"/>
      <c r="D13" s="3295"/>
    </row>
    <row r="14" spans="1:4">
      <c r="A14" s="3296" t="str">
        <f>IF(项目基本情况!B8="抵押","综上，"&amp;结果表!K47,"——")</f>
        <v>——</v>
      </c>
      <c r="B14" s="3296"/>
      <c r="C14" s="3296"/>
      <c r="D14" s="3296"/>
    </row>
    <row r="15" spans="1:4" ht="58.5" customHeight="1">
      <c r="A15" s="32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4"/>
      <c r="C15" s="3294"/>
      <c r="D15" s="3294"/>
    </row>
    <row r="16" spans="1:4" ht="70.5" customHeight="1">
      <c r="A16" s="32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4"/>
      <c r="C16" s="3294"/>
      <c r="D16" s="3294"/>
    </row>
    <row r="17" spans="1:4">
      <c r="A17" s="3294" t="s">
        <v>2683</v>
      </c>
      <c r="B17" s="3294"/>
      <c r="C17" s="3294"/>
      <c r="D17" s="3294"/>
    </row>
    <row r="18" spans="1:4">
      <c r="A18" s="3294" t="s">
        <v>2675</v>
      </c>
      <c r="B18" s="3294"/>
      <c r="C18" s="3294"/>
      <c r="D18" s="3294"/>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4" t="s">
        <v>2680</v>
      </c>
      <c r="B23" s="3294"/>
      <c r="C23" s="3294"/>
      <c r="D23" s="329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6" t="s">
        <v>53</v>
      </c>
      <c r="B15" s="3307" t="s">
        <v>838</v>
      </c>
      <c r="C15" s="3303"/>
    </row>
    <row r="16" spans="1:7" ht="14.25">
      <c r="A16" s="3306"/>
      <c r="B16" s="3304" t="s">
        <v>54</v>
      </c>
      <c r="C16" s="1155" t="s">
        <v>53</v>
      </c>
    </row>
    <row r="17" spans="1:3" ht="14.25">
      <c r="A17" s="3306"/>
      <c r="B17" s="3304"/>
      <c r="C17" s="1155" t="s">
        <v>55</v>
      </c>
    </row>
    <row r="18" spans="1:3" ht="14.25">
      <c r="A18" s="3306"/>
      <c r="B18" s="3304"/>
      <c r="C18" s="1155" t="s">
        <v>56</v>
      </c>
    </row>
    <row r="19" spans="1:3" ht="14.25">
      <c r="A19" s="3306"/>
      <c r="B19" s="3302" t="s">
        <v>57</v>
      </c>
      <c r="C19" s="3303"/>
    </row>
    <row r="20" spans="1:3" ht="14.25">
      <c r="A20" s="1156" t="s">
        <v>58</v>
      </c>
      <c r="B20" s="1157"/>
      <c r="C20" s="1158"/>
    </row>
    <row r="21" spans="1:3" ht="14.25">
      <c r="A21" s="3305" t="s">
        <v>59</v>
      </c>
      <c r="B21" s="3302" t="s">
        <v>60</v>
      </c>
      <c r="C21" s="3303"/>
    </row>
    <row r="22" spans="1:3" ht="14.25">
      <c r="A22" s="3305"/>
      <c r="B22" s="3302" t="s">
        <v>61</v>
      </c>
      <c r="C22" s="3303"/>
    </row>
    <row r="23" spans="1:3" ht="14.25">
      <c r="A23" s="3305"/>
      <c r="B23" s="3302" t="s">
        <v>62</v>
      </c>
      <c r="C23" s="3303"/>
    </row>
    <row r="24" spans="1:3" ht="14.25">
      <c r="A24" s="3305"/>
      <c r="B24" s="3308" t="s">
        <v>63</v>
      </c>
      <c r="C24" s="1159" t="s">
        <v>829</v>
      </c>
    </row>
    <row r="25" spans="1:3" ht="14.25">
      <c r="A25" s="3305"/>
      <c r="B25" s="3309"/>
      <c r="C25" s="1159" t="s">
        <v>830</v>
      </c>
    </row>
    <row r="26" spans="1:3" ht="14.25">
      <c r="A26" s="3305"/>
      <c r="B26" s="3309"/>
      <c r="C26" s="1159" t="s">
        <v>831</v>
      </c>
    </row>
    <row r="27" spans="1:3" ht="14.25">
      <c r="A27" s="3305"/>
      <c r="B27" s="3309"/>
      <c r="C27" s="1159" t="s">
        <v>832</v>
      </c>
    </row>
    <row r="28" spans="1:3" ht="14.25">
      <c r="A28" s="3305"/>
      <c r="B28" s="3309"/>
      <c r="C28" s="1159" t="s">
        <v>833</v>
      </c>
    </row>
    <row r="29" spans="1:3" ht="14.25">
      <c r="A29" s="3305"/>
      <c r="B29" s="3309"/>
      <c r="C29" s="1159" t="s">
        <v>834</v>
      </c>
    </row>
    <row r="30" spans="1:3" ht="14.25">
      <c r="A30" s="3305"/>
      <c r="B30" s="3309"/>
      <c r="C30" s="1159" t="s">
        <v>835</v>
      </c>
    </row>
    <row r="31" spans="1:3" ht="14.25">
      <c r="A31" s="3305"/>
      <c r="B31" s="3309"/>
      <c r="C31" s="1159" t="s">
        <v>836</v>
      </c>
    </row>
    <row r="32" spans="1:3" ht="14.25">
      <c r="A32" s="3305"/>
      <c r="B32" s="3309"/>
      <c r="C32" s="1159" t="s">
        <v>1637</v>
      </c>
    </row>
    <row r="33" spans="1:3" ht="14.25">
      <c r="A33" s="3305"/>
      <c r="B33" s="3299" t="s">
        <v>1643</v>
      </c>
      <c r="C33" s="1159" t="s">
        <v>1638</v>
      </c>
    </row>
    <row r="34" spans="1:3" ht="14.25">
      <c r="A34" s="3305"/>
      <c r="B34" s="3300"/>
      <c r="C34" s="1164" t="s">
        <v>1639</v>
      </c>
    </row>
    <row r="35" spans="1:3" ht="14.25">
      <c r="A35" s="3305"/>
      <c r="B35" s="3300"/>
      <c r="C35" s="1165" t="s">
        <v>1640</v>
      </c>
    </row>
    <row r="36" spans="1:3" ht="14.25">
      <c r="A36" s="3305"/>
      <c r="B36" s="3300"/>
      <c r="C36" s="1165" t="s">
        <v>1641</v>
      </c>
    </row>
    <row r="37" spans="1:3" ht="14.25">
      <c r="A37" s="3305"/>
      <c r="B37" s="330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44347</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3" t="s">
        <v>1915</v>
      </c>
      <c r="B17" s="3314"/>
      <c r="C17" s="3314"/>
      <c r="D17" s="3314"/>
      <c r="E17" s="3314"/>
      <c r="F17" s="3314"/>
      <c r="G17" s="3034"/>
    </row>
    <row r="18" spans="1:7" ht="20.25" customHeight="1">
      <c r="A18" s="3310" t="s">
        <v>1916</v>
      </c>
      <c r="B18" s="3310"/>
      <c r="C18" s="3311"/>
      <c r="D18" s="3312" t="s">
        <v>1917</v>
      </c>
      <c r="E18" s="3310"/>
      <c r="F18" s="331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3019</v>
      </c>
      <c r="C21" s="1493"/>
    </row>
    <row r="22" spans="1:3">
      <c r="A22" s="8" t="s">
        <v>123</v>
      </c>
      <c r="B22" s="8" t="s">
        <v>3020</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c r="D53" s="1685"/>
      <c r="E53" s="1685"/>
    </row>
    <row r="54" spans="1:5">
      <c r="A54" s="331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154</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容积率修正</vt:lpstr>
      <vt:lpstr>因素修正幅度</vt:lpstr>
      <vt:lpstr>基准地价-办公</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2021-05-31T08:25:59Z</dcterms:modified>
</cp:coreProperties>
</file>