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比较法-住宅平墅" sheetId="70" r:id="rId41"/>
    <sheet name="比较法-车位平墅" sheetId="69" r:id="rId42"/>
    <sheet name="Sheet1" sheetId="68" r:id="rId43"/>
  </sheets>
  <externalReferences>
    <externalReference r:id="rId44"/>
    <externalReference r:id="rId45"/>
    <externalReference r:id="rId46"/>
    <externalReference r:id="rId47"/>
  </externalReferences>
  <definedNames>
    <definedName name="_xlnm._FilterDatabase" localSheetId="41" hidden="1">'比较法-车位平墅'!$A$1:$L$39</definedName>
    <definedName name="_xlnm._FilterDatabase" localSheetId="20" hidden="1">'比较法-工业'!$A$1:$L$45</definedName>
    <definedName name="_xlnm._FilterDatabase" localSheetId="17" hidden="1">'比较法-住宅、综合'!$A$1:$L$50</definedName>
    <definedName name="_xlnm._FilterDatabase" localSheetId="40" hidden="1">'比较法-住宅平墅'!$A$1:$L$49</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'比较法-车位平墅'!$A$1:$K$44,'比较法-车位平墅'!$A$47:$M$102</definedName>
    <definedName name="_xlnm.Print_Area" localSheetId="20">'比较法-工业'!$A$1:$K$63,'比较法-工业'!$A$66:$N$123</definedName>
    <definedName name="_xlnm.Print_Area" localSheetId="17">'比较法-住宅、综合'!$A$1:$K$67,'比较法-住宅、综合'!$A$71:$N$134</definedName>
    <definedName name="_xlnm.Print_Area" localSheetId="40">'比较法-住宅平墅'!$A$1:$K$54,'比较法-住宅平墅'!$A$57:$M$131</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1">'[1]比较法-办公'!$B$119:$M$119</definedName>
    <definedName name="办公层高" localSheetId="40">'[1]比较法-办公'!$B$119:$M$119</definedName>
    <definedName name="办公层高">'不动产比较法-办公'!$B$119:$M$119</definedName>
    <definedName name="办公朝向" localSheetId="41">'[1]比较法-办公'!$B$91:$M$91</definedName>
    <definedName name="办公朝向" localSheetId="40">'[1]比较法-办公'!$B$91:$M$91</definedName>
    <definedName name="办公朝向">'不动产比较法-办公'!$B$91:$M$91</definedName>
    <definedName name="办公道路级别" localSheetId="41">'[1]比较法-办公'!$B$87:$M$87</definedName>
    <definedName name="办公道路级别" localSheetId="40">'[1]比较法-办公'!$B$87:$M$87</definedName>
    <definedName name="办公道路级别">'不动产比较法-办公'!$B$87:$M$87</definedName>
    <definedName name="办公公共部分装修" localSheetId="41">'[1]比较法-办公'!$B$108:$M$108</definedName>
    <definedName name="办公公共部分装修" localSheetId="40">'[1]比较法-办公'!$B$108:$M$108</definedName>
    <definedName name="办公公共部分装修">'不动产比较法-办公'!$B$108:$M$108</definedName>
    <definedName name="办公基础设施水平" localSheetId="41">'[1]比较法-办公'!$B$117:$M$117</definedName>
    <definedName name="办公基础设施水平" localSheetId="40">'[1]比较法-办公'!$B$117:$M$117</definedName>
    <definedName name="办公基础设施水平">'不动产比较法-办公'!$B$117:$M$117</definedName>
    <definedName name="办公集聚程度" localSheetId="41">[1]定义!$M$1:$M$6</definedName>
    <definedName name="办公集聚程度" localSheetId="40">[1]定义!$M$1:$M$6</definedName>
    <definedName name="办公集聚程度">定义!$M$1:$M$6</definedName>
    <definedName name="办公建筑结构" localSheetId="41">'[1]比较法-办公'!$B$106:$M$106</definedName>
    <definedName name="办公建筑结构" localSheetId="40">'[1]比较法-办公'!$B$106:$M$106</definedName>
    <definedName name="办公建筑结构">'不动产比较法-办公'!$B$106:$M$106</definedName>
    <definedName name="办公建筑类型" localSheetId="41">'[1]比较法-办公'!$B$101:$M$101</definedName>
    <definedName name="办公建筑类型" localSheetId="40">'[1]比较法-办公'!$B$101:$M$101</definedName>
    <definedName name="办公建筑类型">'不动产比较法-办公'!$B$101:$M$101</definedName>
    <definedName name="办公交易情况" localSheetId="41">'[1]比较法-办公'!$A$62:$M$62</definedName>
    <definedName name="办公交易情况" localSheetId="40">'[1]比较法-办公'!$A$62:$M$62</definedName>
    <definedName name="办公交易情况">'不动产比较法-办公'!$A$62:$M$62</definedName>
    <definedName name="办公楼层" localSheetId="41">'[1]比较法-办公'!$B$89:$M$89</definedName>
    <definedName name="办公楼层" localSheetId="40">'[1]比较法-办公'!$B$89:$M$89</definedName>
    <definedName name="办公楼层">'不动产比较法-办公'!$B$89:$M$89</definedName>
    <definedName name="办公内部装修" localSheetId="41">'[1]比较法-办公'!$B$123:$M$123</definedName>
    <definedName name="办公内部装修" localSheetId="40">'[1]比较法-办公'!$B$123:$M$123</definedName>
    <definedName name="办公内部装修">'不动产比较法-办公'!$B$123:$M$123</definedName>
    <definedName name="办公物业管理" localSheetId="41">'[1]比较法-办公'!$B$115:$M$115</definedName>
    <definedName name="办公物业管理" localSheetId="40">'[1]比较法-办公'!$B$115:$M$115</definedName>
    <definedName name="办公物业管理">'不动产比较法-办公'!$B$115:$M$115</definedName>
    <definedName name="办公用途" localSheetId="41">'[1]比较法-办公'!$B$64:$M$64</definedName>
    <definedName name="办公用途" localSheetId="40">'[1]比较法-办公'!$B$64:$M$64</definedName>
    <definedName name="办公用途">'不动产比较法-办公'!$B$64:$M$64</definedName>
    <definedName name="仓储公共部分装修" localSheetId="41">'[1]比较法-仓储'!$B$77:$M$77</definedName>
    <definedName name="仓储公共部分装修" localSheetId="40">'[1]比较法-仓储'!$B$77:$M$77</definedName>
    <definedName name="仓储公共部分装修">'不动产比较法-仓储'!$B$77:$M$77</definedName>
    <definedName name="仓储交易情况" localSheetId="41">'[1]比较法-仓储'!$A$49:$M$49</definedName>
    <definedName name="仓储交易情况" localSheetId="40">'[1]比较法-仓储'!$A$49:$M$49</definedName>
    <definedName name="仓储交易情况">'不动产比较法-仓储'!$A$49:$M$49</definedName>
    <definedName name="仓储楼层" localSheetId="41">'[1]比较法-仓储'!$B$69:$M$69</definedName>
    <definedName name="仓储楼层" localSheetId="40">'[1]比较法-仓储'!$B$69:$M$69</definedName>
    <definedName name="仓储楼层">'不动产比较法-仓储'!$B$69:$M$69</definedName>
    <definedName name="仓储物业等级" localSheetId="41">'[1]比较法-仓储'!$B$82:$M$82</definedName>
    <definedName name="仓储物业等级" localSheetId="40">'[1]比较法-仓储'!$B$82:$M$82</definedName>
    <definedName name="仓储物业等级">'不动产比较法-仓储'!$B$82:$M$82</definedName>
    <definedName name="仓储用途" localSheetId="41">'[1]比较法-仓储'!$B$51:$M$51</definedName>
    <definedName name="仓储用途" localSheetId="40">'[1]比较法-仓储'!$B$51:$M$51</definedName>
    <definedName name="仓储用途">'不动产比较法-仓储'!$B$51:$M$51</definedName>
    <definedName name="产业集聚程度" localSheetId="41">[1]定义!$N$1:$N$6</definedName>
    <definedName name="产业集聚程度" localSheetId="40">[1]定义!$N$1:$N$6</definedName>
    <definedName name="产业集聚程度">定义!$N$1:$N$6</definedName>
    <definedName name="车位公共部分装修" localSheetId="41">'比较法-车位平墅'!$B$83:$M$83</definedName>
    <definedName name="车位公共部分装修" localSheetId="40">'[1]比较法-车位平墅'!$B$83:$M$83</definedName>
    <definedName name="车位公共部分装修">'不动产比较法-车位'!$B$83:$M$83</definedName>
    <definedName name="车位交易情况" localSheetId="41">'比较法-车位平墅'!$A$51:$M$51</definedName>
    <definedName name="车位交易情况" localSheetId="40">'[1]比较法-车位平墅'!$A$51:$M$51</definedName>
    <definedName name="车位交易情况">'不动产比较法-车位'!$A$51:$M$51</definedName>
    <definedName name="车位类型" localSheetId="41">'比较法-车位平墅'!$B$93:$M$93</definedName>
    <definedName name="车位类型" localSheetId="40">'[1]比较法-车位平墅'!$B$93:$M$93</definedName>
    <definedName name="车位类型">'不动产比较法-车位'!$B$93:$M$93</definedName>
    <definedName name="车位楼层" localSheetId="41">'比较法-车位平墅'!$B$71:$M$71</definedName>
    <definedName name="车位楼层" localSheetId="40">'[1]比较法-车位平墅'!$B$71:$M$71</definedName>
    <definedName name="车位楼层">'不动产比较法-车位'!$B$71:$M$71</definedName>
    <definedName name="车位配套类型" localSheetId="41">'比较法-车位平墅'!$B$79:$M$79</definedName>
    <definedName name="车位配套类型" localSheetId="40">'[1]比较法-车位平墅'!$B$79:$M$79</definedName>
    <definedName name="车位配套类型">'不动产比较法-车位'!$B$79:$M$79</definedName>
    <definedName name="车位物业等级" localSheetId="41">'比较法-车位平墅'!$B$88:$M$88</definedName>
    <definedName name="车位物业等级" localSheetId="40">'[1]比较法-车位平墅'!$B$88:$M$88</definedName>
    <definedName name="车位物业等级">'不动产比较法-车位'!$B$88:$M$88</definedName>
    <definedName name="车位用途" localSheetId="41">'比较法-车位平墅'!$B$53:$M$53</definedName>
    <definedName name="车位用途" localSheetId="40">'[1]比较法-车位平墅'!$B$53:$M$53</definedName>
    <definedName name="车位用途">'不动产比较法-车位'!$B$53:$M$53</definedName>
    <definedName name="城镇土地纳税等级分级范围" localSheetId="41">'[1]数据-取费表'!$A$53:$A$63</definedName>
    <definedName name="城镇土地纳税等级分级范围" localSheetId="40">'[1]数据-取费表'!$A$53:$A$63</definedName>
    <definedName name="城镇土地纳税等级分级范围">'数据-取费表'!$A$53:$A$63</definedName>
    <definedName name="单价内涵" localSheetId="41">[1]定义!$V$1:$V$3</definedName>
    <definedName name="单价内涵" localSheetId="40">[1]定义!$V$1:$V$3</definedName>
    <definedName name="单价内涵">定义!$V$1:$V$3</definedName>
    <definedName name="地类判定" localSheetId="41">[1]定义!$H$1:$H$9</definedName>
    <definedName name="地类判定" localSheetId="40">[1]定义!$H$1:$H$9</definedName>
    <definedName name="地类判定">定义!$H$1:$H$9</definedName>
    <definedName name="二级">区片价!$J$1:$J$20</definedName>
    <definedName name="二级分类" localSheetId="41">[1]修正!$C$17:$C$39</definedName>
    <definedName name="二级分类" localSheetId="40">[1]修正!$C$17:$C$39</definedName>
    <definedName name="二级分类">修正!$C$17:$C$39</definedName>
    <definedName name="法定最高年限" localSheetId="41">[1]定义!$G$1:$G$4</definedName>
    <definedName name="法定最高年限" localSheetId="40">[1]定义!$G$1:$G$4</definedName>
    <definedName name="法定最高年限">定义!$G$2:$G$4</definedName>
    <definedName name="工业公共部分装修" localSheetId="41">'[1]比较法-工业'!$B$95:$M$95</definedName>
    <definedName name="工业公共部分装修" localSheetId="40">'[1]比较法-工业'!$B$95:$M$95</definedName>
    <definedName name="工业公共部分装修">'不动产比较法-工业'!$B$95:$M$95</definedName>
    <definedName name="工业基础设施水平" localSheetId="41">'[1]比较法-工业'!$B$102:$M$102</definedName>
    <definedName name="工业基础设施水平" localSheetId="40">'[1]比较法-工业'!$B$102:$M$102</definedName>
    <definedName name="工业基础设施水平">'不动产比较法-工业'!$B$102:$M$102</definedName>
    <definedName name="工业建筑结构" localSheetId="41">'[1]比较法-工业'!$B$93:$M$93</definedName>
    <definedName name="工业建筑结构" localSheetId="40">'[1]比较法-工业'!$B$93:$M$93</definedName>
    <definedName name="工业建筑结构">'不动产比较法-工业'!$B$93:$M$93</definedName>
    <definedName name="工业建筑类型" localSheetId="41">'[1]比较法-工业'!$B$88:$M$88</definedName>
    <definedName name="工业建筑类型" localSheetId="40">'[1]比较法-工业'!$B$88:$M$88</definedName>
    <definedName name="工业建筑类型">'不动产比较法-工业'!$B$88:$M$88</definedName>
    <definedName name="工业交易情况" localSheetId="41">'[1]比较法-工业'!$A$55:$M$55</definedName>
    <definedName name="工业交易情况" localSheetId="40">'[1]比较法-工业'!$A$55:$M$55</definedName>
    <definedName name="工业交易情况">'不动产比较法-工业'!$A$55:$M$55</definedName>
    <definedName name="工业内部装修" localSheetId="41">'[1]比较法-工业'!$B$104:$M$104</definedName>
    <definedName name="工业内部装修" localSheetId="40">'[1]比较法-工业'!$B$104:$M$104</definedName>
    <definedName name="工业内部装修">'不动产比较法-工业'!$B$104:$M$104</definedName>
    <definedName name="工业物业管理" localSheetId="41">'[1]比较法-工业'!$B$100:$M$100</definedName>
    <definedName name="工业物业管理" localSheetId="40">'[1]比较法-工业'!$B$100:$M$100</definedName>
    <definedName name="工业物业管理">'不动产比较法-工业'!$B$100:$M$100</definedName>
    <definedName name="工业用途" localSheetId="41">'[1]比较法-工业'!$B$57:$M$57</definedName>
    <definedName name="工业用途" localSheetId="40">'[1]比较法-工业'!$B$57:$M$57</definedName>
    <definedName name="工业用途">'不动产比较法-工业'!$B$57:$M$57</definedName>
    <definedName name="公共配套设施" localSheetId="41">[1]定义!$Q$1:$Q$6</definedName>
    <definedName name="公共配套设施" localSheetId="40">[1]定义!$Q$1:$Q$6</definedName>
    <definedName name="公共配套设施">定义!$Q$1:$Q$6</definedName>
    <definedName name="估价方法" localSheetId="41">[1]定义!$B$1:$B$50</definedName>
    <definedName name="估价方法" localSheetId="40">[1]定义!$B$1:$B$50</definedName>
    <definedName name="估价方法">定义!$B$1:$B$50</definedName>
    <definedName name="环境" localSheetId="41">[1]定义!$S$1:$S$6</definedName>
    <definedName name="环境" localSheetId="40">[1]定义!$S$1:$S$6</definedName>
    <definedName name="环境">定义!$S$1:$S$6</definedName>
    <definedName name="基础设施水平" localSheetId="41">[1]定义!$R$1:$R$6</definedName>
    <definedName name="基础设施水平" localSheetId="40">[1]定义!$R$1:$R$6</definedName>
    <definedName name="基础设施水平">定义!$R$1:$R$6</definedName>
    <definedName name="季度">基准地价!$N$19:$AB$19</definedName>
    <definedName name="季度2014" localSheetId="41">[2]地价!$A$2:$A$29</definedName>
    <definedName name="季度2014" localSheetId="40">[2]地价!$A$2:$A$29</definedName>
    <definedName name="季度2014">地价!$A$2:$A$33</definedName>
    <definedName name="价值类型2" localSheetId="41">[1]定义!$B$54:$B$56</definedName>
    <definedName name="价值类型2" localSheetId="40">[1]定义!$B$54:$B$56</definedName>
    <definedName name="价值类型2">定义!$B$54:$B$56</definedName>
    <definedName name="交通便捷度" localSheetId="41">[1]定义!$O$1:$O$6</definedName>
    <definedName name="交通便捷度" localSheetId="40">[1]定义!$O$1:$O$6</definedName>
    <definedName name="交通便捷度">定义!$O$1:$O$6</definedName>
    <definedName name="九级">区片价!$Q$1:$Q$46</definedName>
    <definedName name="居住社区成熟度" localSheetId="41">[1]定义!$K$1:$K$6</definedName>
    <definedName name="居住社区成熟度" localSheetId="40">[1]定义!$K$1:$K$6</definedName>
    <definedName name="居住社区成熟度">定义!$K$1:$K$6</definedName>
    <definedName name="类别" localSheetId="41">[1]定义!$J$1:$J$3</definedName>
    <definedName name="类别" localSheetId="40">[1]定义!$J$1:$J$3</definedName>
    <definedName name="类别">定义!$J$1:$J$3</definedName>
    <definedName name="临街状况" localSheetId="41">[1]定义!$T$1:$T$5</definedName>
    <definedName name="临街状况" localSheetId="40">[1]定义!$T$1:$T$5</definedName>
    <definedName name="临街状况">定义!$T$1:$T$5</definedName>
    <definedName name="六级">区片价!$N$1:$N$49</definedName>
    <definedName name="内部装修维护情况" localSheetId="41">[1]定义!$U$1:$U$6</definedName>
    <definedName name="内部装修维护情况" localSheetId="40">[1]定义!$U$1:$U$6</definedName>
    <definedName name="内部装修维护情况">定义!$U$1:$U$6</definedName>
    <definedName name="判定" localSheetId="41">[1]定义!$D$1:$D$4</definedName>
    <definedName name="判定" localSheetId="40">[1]定义!$D$1:$D$4</definedName>
    <definedName name="判定">定义!$D$1:$D$4</definedName>
    <definedName name="七级">区片价!$O$1:$O$49</definedName>
    <definedName name="七通一平" localSheetId="41">[1]修正!$A$6:$A$14</definedName>
    <definedName name="七通一平" localSheetId="40">[1]修正!$A$6:$A$14</definedName>
    <definedName name="七通一平">修正!$A$6:$A$14</definedName>
    <definedName name="区域土地利用方向" localSheetId="41">[1]定义!$P$1:$P$6</definedName>
    <definedName name="区域土地利用方向" localSheetId="40">[1]定义!$P$1:$P$6</definedName>
    <definedName name="区域土地利用方向">定义!$P$1:$P$6</definedName>
    <definedName name="三级">区片价!$K$1:$K$21</definedName>
    <definedName name="商业层高" localSheetId="41">'[1]比较法-商业'!$B$116:$M$116</definedName>
    <definedName name="商业层高" localSheetId="40">'[1]比较法-商业'!$B$116:$M$116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 localSheetId="40">[1]定义!$L$1:$L$6</definedName>
    <definedName name="商业繁华度">定义!$L$1:$L$6</definedName>
    <definedName name="商业公共部分装修" localSheetId="41">'[1]比较法-商业'!$B$107:$M$107</definedName>
    <definedName name="商业公共部分装修" localSheetId="40">'[1]比较法-商业'!$B$107:$M$107</definedName>
    <definedName name="商业公共部分装修">'不动产比较法-商业'!$B$107:$M$107</definedName>
    <definedName name="商业基础设施水平" localSheetId="41">'[1]比较法-商业'!$B$112:$M$112</definedName>
    <definedName name="商业基础设施水平" localSheetId="40">'[1]比较法-商业'!$B$112:$M$112</definedName>
    <definedName name="商业基础设施水平">'不动产比较法-商业'!$B$112:$M$112</definedName>
    <definedName name="商业建筑结构" localSheetId="41">'[1]比较法-商业'!$B$105:$M$105</definedName>
    <definedName name="商业建筑结构" localSheetId="40">'[1]比较法-商业'!$B$105:$M$105</definedName>
    <definedName name="商业建筑结构">'不动产比较法-商业'!$B$105:$M$105</definedName>
    <definedName name="商业交易情况" localSheetId="41">'[1]比较法-商业'!$A$61:$M$61</definedName>
    <definedName name="商业交易情况" localSheetId="40">'[1]比较法-商业'!$A$61:$M$61</definedName>
    <definedName name="商业交易情况">'不动产比较法-商业'!$A$61:$M$61</definedName>
    <definedName name="商业街名称" localSheetId="41">[1]修正!$C$59:$C$119</definedName>
    <definedName name="商业街名称" localSheetId="40">[1]修正!$C$59:$C$119</definedName>
    <definedName name="商业街名称">修正!$C$59:$C$119</definedName>
    <definedName name="商业进深比" localSheetId="41">'[1]比较法-商业'!$B$120:$M$120</definedName>
    <definedName name="商业进深比" localSheetId="40">'[1]比较法-商业'!$B$120:$M$120</definedName>
    <definedName name="商业进深比">'不动产比较法-商业'!$B$120:$M$120</definedName>
    <definedName name="商业类型" localSheetId="41">'[1]比较法-商业'!$B$100:$M$100</definedName>
    <definedName name="商业类型" localSheetId="40">'[1]比较法-商业'!$B$100:$M$100</definedName>
    <definedName name="商业类型">'不动产比较法-商业'!$B$100:$M$100</definedName>
    <definedName name="商业临街状况" localSheetId="41">'[1]比较法-商业'!$B$86:$M$86</definedName>
    <definedName name="商业临街状况" localSheetId="40">'[1]比较法-商业'!$B$86:$M$86</definedName>
    <definedName name="商业临街状况">'不动产比较法-商业'!$B$86:$M$86</definedName>
    <definedName name="商业楼层" localSheetId="41">'[1]比较法-商业'!$B$92:$M$92</definedName>
    <definedName name="商业楼层" localSheetId="40">'[1]比较法-商业'!$B$92:$M$92</definedName>
    <definedName name="商业楼层">'不动产比较法-商业'!$B$92:$M$92</definedName>
    <definedName name="商业内部装修" localSheetId="41">'[1]比较法-商业'!$B$122:$M$122</definedName>
    <definedName name="商业内部装修" localSheetId="40">'[1]比较法-商业'!$B$122:$M$122</definedName>
    <definedName name="商业内部装修">'不动产比较法-商业'!$B$122:$M$122</definedName>
    <definedName name="商业人流量" localSheetId="41">'[1]比较法-商业'!$B$90:$M$90</definedName>
    <definedName name="商业人流量" localSheetId="40">'[1]比较法-商业'!$B$90:$M$90</definedName>
    <definedName name="商业人流量">'不动产比较法-商业'!$B$90:$M$90</definedName>
    <definedName name="商业业态" localSheetId="41">'[1]比较法-商业'!$B$114:$M$114</definedName>
    <definedName name="商业业态" localSheetId="40">'[1]比较法-商业'!$B$114:$M$114</definedName>
    <definedName name="商业业态">'不动产比较法-商业'!$B$114:$M$114</definedName>
    <definedName name="商业用途" localSheetId="41">'[1]比较法-商业'!$B$63:$M$63</definedName>
    <definedName name="商业用途" localSheetId="4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'[1]比较法-仓储'!$B$89:$M$89</definedName>
    <definedName name="是否封闭" localSheetId="40">'[1]比较法-仓储'!$B$89:$M$89</definedName>
    <definedName name="是否封闭">'不动产比较法-仓储'!$B$89:$M$89</definedName>
    <definedName name="是否直接入户" localSheetId="41">'比较法-车位平墅'!$B$95:$M$95</definedName>
    <definedName name="是否直接入户" localSheetId="40">'[1]比较法-车位平墅'!$B$95:$M$95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 localSheetId="41">'[2]比较法-工业'!$B$116:$M$116</definedName>
    <definedName name="套工工程地质条件" localSheetId="40">'[2]比较法-工业'!$B$116:$M$116</definedName>
    <definedName name="套工工程地质条件">'比较法-工业'!$B$116:$M$116</definedName>
    <definedName name="套工交易情况" localSheetId="41">'[1]土地比较法-住宅、综合'!$A$73:$M$73</definedName>
    <definedName name="套工交易情况" localSheetId="40">'[1]土地比较法-住宅、综合'!$A$73:$M$73</definedName>
    <definedName name="套工交易情况">'比较法-住宅、综合'!$A$75:$M$75</definedName>
    <definedName name="套工开发程度" localSheetId="41">'[2]比较法-工业'!$B$114:$M$114</definedName>
    <definedName name="套工开发程度" localSheetId="40">'[2]比较法-工业'!$B$114:$M$114</definedName>
    <definedName name="套工开发程度">'比较法-工业'!$B$114:$M$114</definedName>
    <definedName name="套工临街等级" localSheetId="41">'[2]比较法-工业'!$B$99:$M$99</definedName>
    <definedName name="套工临街等级" localSheetId="40">'[2]比较法-工业'!$B$99:$M$99</definedName>
    <definedName name="套工临街等级">'比较法-工业'!$B$99:$M$99</definedName>
    <definedName name="套工土地级别" localSheetId="41">'[1]土地比较法-工业'!$B$99:$M$99</definedName>
    <definedName name="套工土地级别" localSheetId="40">'[1]土地比较法-工业'!$B$99:$M$99</definedName>
    <definedName name="套工土地级别">'比较法-工业'!$B$101:$M$101</definedName>
    <definedName name="套工用途" localSheetId="41">'[1]土地比较法-工业'!$B$70:$M$70</definedName>
    <definedName name="套工用途" localSheetId="40">'[1]土地比较法-工业'!$B$70:$M$70</definedName>
    <definedName name="套工用途">'比较法-工业'!$B$72:$M$72</definedName>
    <definedName name="套工宗地开发程度">'[1]土地比较法-工业'!$B$112:$M$112</definedName>
    <definedName name="套工宗地形状" localSheetId="41">'[1]土地比较法-工业'!$B$110:$M$110</definedName>
    <definedName name="套工宗地形状" localSheetId="40">'[1]土地比较法-工业'!$B$110:$M$110</definedName>
    <definedName name="套工宗地形状">'比较法-工业'!$B$112:$M$112</definedName>
    <definedName name="套综道路等级" localSheetId="41">'[1]土地比较法-住宅、综合'!$B$106:$M$106</definedName>
    <definedName name="套综道路等级" localSheetId="40">'[1]土地比较法-住宅、综合'!$B$106:$M$106</definedName>
    <definedName name="套综道路等级">'比较法-住宅、综合'!$B$108:$M$108</definedName>
    <definedName name="套综工程地质条件" localSheetId="41">'[1]土地比较法-住宅、综合'!$B$125:$M$125</definedName>
    <definedName name="套综工程地质条件" localSheetId="40">'[1]土地比较法-住宅、综合'!$B$125:$M$125</definedName>
    <definedName name="套综工程地质条件">'比较法-住宅、综合'!$B$127:$M$127</definedName>
    <definedName name="套综交易情况" localSheetId="41">'[1]土地比较法-住宅、综合'!$A$73:$M$73</definedName>
    <definedName name="套综交易情况" localSheetId="40">'[1]土地比较法-住宅、综合'!$A$73:$M$73</definedName>
    <definedName name="套综交易情况">'比较法-住宅、综合'!$A$75:$M$75</definedName>
    <definedName name="套综临街宽度及深度" localSheetId="41">'[1]土地比较法-住宅、综合'!$B$121:$M$121</definedName>
    <definedName name="套综临街宽度及深度" localSheetId="40">'[1]土地比较法-住宅、综合'!$B$121:$M$121</definedName>
    <definedName name="套综临街宽度及深度">'比较法-住宅、综合'!$B$123:$M$123</definedName>
    <definedName name="套综土地级别" localSheetId="41">'[1]土地比较法-住宅、综合'!$B$108:$M$108</definedName>
    <definedName name="套综土地级别" localSheetId="40">'[1]土地比较法-住宅、综合'!$B$108:$M$108</definedName>
    <definedName name="套综土地级别">'比较法-住宅、综合'!$B$110:$M$110</definedName>
    <definedName name="套综用途" localSheetId="41">'[1]土地比较法-住宅、综合'!$B$75:$M$75</definedName>
    <definedName name="套综用途" localSheetId="40">'[1]土地比较法-住宅、综合'!$B$75:$M$75</definedName>
    <definedName name="套综用途">'比较法-住宅、综合'!$B$77:$M$77</definedName>
    <definedName name="套综宗地内开发程度" localSheetId="41">'[1]土地比较法-住宅、综合'!$B$123:$M$123</definedName>
    <definedName name="套综宗地内开发程度" localSheetId="40">'[1]土地比较法-住宅、综合'!$B$123:$M$123</definedName>
    <definedName name="套综宗地内开发程度">'比较法-住宅、综合'!$B$125:$M$125</definedName>
    <definedName name="套综宗地形状" localSheetId="41">'[1]土地比较法-住宅、综合'!$B$119:$M$119</definedName>
    <definedName name="套综宗地形状" localSheetId="40">'[1]土地比较法-住宅、综合'!$B$119:$M$119</definedName>
    <definedName name="套综宗地形状">'比较法-住宅、综合'!$B$121:$M$121</definedName>
    <definedName name="土地估价师">估价师及机构信息!$D$3:$D$16</definedName>
    <definedName name="土地级别" localSheetId="41">[1]定义!$C$1:$C$14</definedName>
    <definedName name="土地级别" localSheetId="40">[1]定义!$C$1:$C$14</definedName>
    <definedName name="土地级别">定义!$C$1:$C$14</definedName>
    <definedName name="土地利用方向">定义!$P$1:$P$6</definedName>
    <definedName name="土地年限区间" localSheetId="41">[1]定义!$I$1:$I$8</definedName>
    <definedName name="土地年限区间" localSheetId="40">[1]定义!$I$1:$I$8</definedName>
    <definedName name="土地年限区间">定义!$I$1:$I$8</definedName>
    <definedName name="位置" localSheetId="41">[1]定义!$E$2:$E$4</definedName>
    <definedName name="位置" localSheetId="40">[1]定义!$E$2:$E$4</definedName>
    <definedName name="位置">定义!$E$2:$E$4</definedName>
    <definedName name="五等判定" localSheetId="41">[1]定义!$W$1:$W$6</definedName>
    <definedName name="五等判定" localSheetId="40">[1]定义!$W$1:$W$6</definedName>
    <definedName name="五等判定">定义!$W$1:$W$6</definedName>
    <definedName name="五级">区片价!$M$1:$M$35</definedName>
    <definedName name="项目类型" localSheetId="41">'[1]数据-汇总表'!$C$17:$C$26</definedName>
    <definedName name="项目类型" localSheetId="40">'[1]数据-汇总表'!$C$17:$C$26</definedName>
    <definedName name="项目类型">'数据-汇总表'!$C$17:$C$26</definedName>
    <definedName name="写字楼等级" localSheetId="41">'[1]比较法-办公'!$B$113:$M$113</definedName>
    <definedName name="写字楼等级" localSheetId="40">'[1]比较法-办公'!$B$113:$M$113</definedName>
    <definedName name="写字楼等级">'不动产比较法-办公'!$B$113:$M$113</definedName>
    <definedName name="一级">区片价!$I$1:$I$6</definedName>
    <definedName name="一修多修正项2" localSheetId="41">[1]典型户型修正!$5:$5</definedName>
    <definedName name="一修多修正项2" localSheetId="40">[1]典型户型修正!$5:$5</definedName>
    <definedName name="一修多修正项2">典型户型修正!$5:$5</definedName>
    <definedName name="一修多修正项3" localSheetId="41">[1]典型户型修正!$7:$7</definedName>
    <definedName name="一修多修正项3" localSheetId="40">[1]典型户型修正!$7:$7</definedName>
    <definedName name="一修多修正项3">典型户型修正!$7:$7</definedName>
    <definedName name="一修多修正项4" localSheetId="41">[1]典型户型修正!$9:$9</definedName>
    <definedName name="一修多修正项4" localSheetId="40">[1]典型户型修正!$9:$9</definedName>
    <definedName name="一修多修正项4">典型户型修正!$9:$9</definedName>
    <definedName name="一修多修正项5" localSheetId="41">[1]典型户型修正!$11:$11</definedName>
    <definedName name="一修多修正项5" localSheetId="40">[1]典型户型修正!$11:$11</definedName>
    <definedName name="一修多修正项5">典型户型修正!$11:$11</definedName>
    <definedName name="一修多修正项6" localSheetId="41">[1]典型户型修正!$13:$13</definedName>
    <definedName name="一修多修正项6" localSheetId="40">[1]典型户型修正!$13:$13</definedName>
    <definedName name="一修多修正项6">典型户型修正!$13:$13</definedName>
    <definedName name="一修多修正项7" localSheetId="41">[1]典型户型修正!$15:$15</definedName>
    <definedName name="一修多修正项7" localSheetId="40">[1]典型户型修正!$15:$15</definedName>
    <definedName name="一修多修正项7">典型户型修正!$15:$15</definedName>
    <definedName name="一修多修正项8" localSheetId="41">[1]典型户型修正!$17:$17</definedName>
    <definedName name="一修多修正项8" localSheetId="40">[1]典型户型修正!$17:$17</definedName>
    <definedName name="一修多修正项8">典型户型修正!$17:$17</definedName>
    <definedName name="用途类型" localSheetId="41">[2]定义!$A$1:$A$50</definedName>
    <definedName name="用途类型" localSheetId="40">[2]定义!$A$1:$A$50</definedName>
    <definedName name="用途类型">定义!$A$1:$A$50</definedName>
    <definedName name="用途明细">[1]定义!$A$1:$A$50</definedName>
    <definedName name="有无电梯" localSheetId="41">'[1]比较法-仓储'!$B$84:$M$84</definedName>
    <definedName name="有无电梯" localSheetId="40">'[1]比较法-仓储'!$B$84:$M$84</definedName>
    <definedName name="有无电梯">'不动产比较法-仓储'!$B$84:$M$84</definedName>
    <definedName name="主用途" localSheetId="41">[1]定义!$F$1:$F$10</definedName>
    <definedName name="主用途" localSheetId="40">[1]定义!$F$1:$F$10</definedName>
    <definedName name="主用途">定义!$F$1:$F$10</definedName>
    <definedName name="住宅朝向" localSheetId="41">'[1]比较法-住宅平墅'!$B$88:$M$88</definedName>
    <definedName name="住宅朝向" localSheetId="40">'比较法-住宅平墅'!$B$88:$M$88</definedName>
    <definedName name="住宅朝向">'不动产比较法-住宅'!$B$88:$M$88</definedName>
    <definedName name="住宅房型" localSheetId="41">'[1]比较法-住宅平墅'!$B$118:$M$118</definedName>
    <definedName name="住宅房型" localSheetId="40">'比较法-住宅平墅'!$B$118:$M$118</definedName>
    <definedName name="住宅房型">'不动产比较法-住宅'!$B$118:$M$118</definedName>
    <definedName name="住宅公共部分装修" localSheetId="41">'[1]比较法-住宅平墅'!$B$109:$M$109</definedName>
    <definedName name="住宅公共部分装修" localSheetId="40">'比较法-住宅平墅'!$B$109:$M$109</definedName>
    <definedName name="住宅公共部分装修">'不动产比较法-住宅'!$B$109:$M$109</definedName>
    <definedName name="住宅基础设施水平" localSheetId="41">'[1]比较法-住宅平墅'!$B$116:$M$116</definedName>
    <definedName name="住宅基础设施水平" localSheetId="40">'比较法-住宅平墅'!$B$116:$M$116</definedName>
    <definedName name="住宅基础设施水平">'不动产比较法-住宅'!$B$116:$M$116</definedName>
    <definedName name="住宅建筑结构" localSheetId="41">'[1]比较法-住宅平墅'!$B$105:$M$105</definedName>
    <definedName name="住宅建筑结构" localSheetId="40">'比较法-住宅平墅'!$B$105:$M$105</definedName>
    <definedName name="住宅建筑结构">'不动产比较法-住宅'!$B$105:$M$105</definedName>
    <definedName name="住宅建筑类型" localSheetId="41">'[1]比较法-住宅平墅'!$B$100:$M$100</definedName>
    <definedName name="住宅建筑类型" localSheetId="40">'比较法-住宅平墅'!$B$100:$M$100</definedName>
    <definedName name="住宅建筑类型">'不动产比较法-住宅'!$B$100:$M$100</definedName>
    <definedName name="住宅建筑品质" localSheetId="41">'[1]比较法-住宅平墅'!$B$107:$M$107</definedName>
    <definedName name="住宅建筑品质" localSheetId="40">'比较法-住宅平墅'!$B$107:$M$107</definedName>
    <definedName name="住宅建筑品质">'不动产比较法-住宅'!$B$107:$M$107</definedName>
    <definedName name="住宅交易情况" localSheetId="41">'[1]比较法-住宅平墅'!$A$61:$M$61</definedName>
    <definedName name="住宅交易情况" localSheetId="40">'比较法-住宅平墅'!$A$61:$M$61</definedName>
    <definedName name="住宅交易情况">'不动产比较法-住宅'!$A$61:$M$61</definedName>
    <definedName name="住宅楼层" localSheetId="41">'[1]比较法-住宅平墅'!$B$86:$M$86</definedName>
    <definedName name="住宅楼层" localSheetId="40">'比较法-住宅平墅'!$B$86:$M$86</definedName>
    <definedName name="住宅楼层">'不动产比较法-住宅'!$B$86:$M$86</definedName>
    <definedName name="住宅内部装修" localSheetId="41">'[1]比较法-住宅平墅'!$B$122:$M$122</definedName>
    <definedName name="住宅内部装修" localSheetId="40">'比较法-住宅平墅'!$B$122:$M$122</definedName>
    <definedName name="住宅内部装修">'不动产比较法-住宅'!$B$122:$M$122</definedName>
    <definedName name="住宅物业管理" localSheetId="41">'[1]比较法-住宅平墅'!$B$114:$M$114</definedName>
    <definedName name="住宅物业管理" localSheetId="40">'比较法-住宅平墅'!$B$114:$M$114</definedName>
    <definedName name="住宅物业管理">'不动产比较法-住宅'!$B$114:$M$114</definedName>
    <definedName name="住宅用途" localSheetId="41">'[1]比较法-住宅平墅'!$B$63:$M$63</definedName>
    <definedName name="住宅用途" localSheetId="40">'比较法-住宅平墅'!$B$63:$M$63</definedName>
    <definedName name="住宅用途">'不动产比较法-住宅'!$B$63:$M$63</definedName>
    <definedName name="住宅主力户型面积" localSheetId="40">'比较法-住宅平墅'!$B$120:$M$120</definedName>
    <definedName name="住宅主力户型面积">'不动产比较法-住宅'!$B$120:$M$120</definedName>
    <definedName name="注册房地产估价师" localSheetId="41">[1]估价师及机构信息!$A$3:$A$16</definedName>
    <definedName name="注册房地产估价师" localSheetId="4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B14" i="66" l="1"/>
  <c r="C14" i="66"/>
  <c r="C145" i="70" l="1"/>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J54" i="70"/>
  <c r="I54" i="70"/>
  <c r="H54" i="70"/>
  <c r="G54" i="70"/>
  <c r="F54" i="70"/>
  <c r="E54" i="70"/>
  <c r="P49" i="70"/>
  <c r="P48" i="70"/>
  <c r="K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AB43" i="70"/>
  <c r="Q43" i="70"/>
  <c r="Z43" i="70" s="1"/>
  <c r="J43" i="70"/>
  <c r="AC43" i="70" s="1"/>
  <c r="H43" i="70"/>
  <c r="U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AC15" i="70"/>
  <c r="W15" i="70"/>
  <c r="Q15" i="70"/>
  <c r="Z15" i="70" s="1"/>
  <c r="J15" i="70"/>
  <c r="H15" i="70"/>
  <c r="AB15" i="70" s="1"/>
  <c r="F15" i="70"/>
  <c r="AA15" i="70" s="1"/>
  <c r="C15" i="70"/>
  <c r="AC14" i="70"/>
  <c r="W14" i="70"/>
  <c r="Q14" i="70"/>
  <c r="Z14" i="70" s="1"/>
  <c r="J14" i="70"/>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E7" i="70"/>
  <c r="F7" i="70" s="1"/>
  <c r="C7" i="70"/>
  <c r="C58" i="70" s="1"/>
  <c r="D58" i="70" s="1"/>
  <c r="E58" i="70" s="1"/>
  <c r="F58" i="70" s="1"/>
  <c r="G58" i="70" s="1"/>
  <c r="H58" i="70" s="1"/>
  <c r="I58" i="70" s="1"/>
  <c r="J58" i="70" s="1"/>
  <c r="K58" i="70" s="1"/>
  <c r="L58" i="70" s="1"/>
  <c r="M58" i="70" s="1"/>
  <c r="N58" i="70" s="1"/>
  <c r="O58" i="70" s="1"/>
  <c r="D3" i="70"/>
  <c r="B101" i="69"/>
  <c r="B99" i="69"/>
  <c r="B97" i="69"/>
  <c r="D96" i="69"/>
  <c r="E96" i="69" s="1"/>
  <c r="F96" i="69" s="1"/>
  <c r="G96" i="69" s="1"/>
  <c r="D94" i="69"/>
  <c r="E94" i="69" s="1"/>
  <c r="F94" i="69" s="1"/>
  <c r="G94" i="69" s="1"/>
  <c r="H94" i="69" s="1"/>
  <c r="I94" i="69" s="1"/>
  <c r="J94" i="69" s="1"/>
  <c r="K94" i="69" s="1"/>
  <c r="L94" i="69" s="1"/>
  <c r="M94" i="69" s="1"/>
  <c r="M90" i="69"/>
  <c r="L90" i="69"/>
  <c r="K90" i="69"/>
  <c r="J90" i="69"/>
  <c r="I90" i="69"/>
  <c r="H90" i="69"/>
  <c r="G90" i="69"/>
  <c r="F90" i="69"/>
  <c r="E90" i="69"/>
  <c r="D90" i="69"/>
  <c r="C90" i="69"/>
  <c r="E89" i="69"/>
  <c r="F89" i="69" s="1"/>
  <c r="G89" i="69" s="1"/>
  <c r="H89" i="69" s="1"/>
  <c r="I89" i="69" s="1"/>
  <c r="J89" i="69" s="1"/>
  <c r="K89" i="69" s="1"/>
  <c r="L89" i="69" s="1"/>
  <c r="M89" i="69" s="1"/>
  <c r="D89" i="69"/>
  <c r="E87" i="69"/>
  <c r="F87" i="69" s="1"/>
  <c r="G87" i="69" s="1"/>
  <c r="D87" i="69"/>
  <c r="G85" i="69"/>
  <c r="F85" i="69"/>
  <c r="E85" i="69"/>
  <c r="D85" i="69"/>
  <c r="C85" i="69"/>
  <c r="D84" i="69"/>
  <c r="E84" i="69" s="1"/>
  <c r="F84" i="69" s="1"/>
  <c r="G84" i="69" s="1"/>
  <c r="H84" i="69" s="1"/>
  <c r="I84" i="69" s="1"/>
  <c r="J84" i="69" s="1"/>
  <c r="K84" i="69" s="1"/>
  <c r="L84" i="69" s="1"/>
  <c r="M84" i="69" s="1"/>
  <c r="D80" i="69"/>
  <c r="E80" i="69" s="1"/>
  <c r="F80" i="69" s="1"/>
  <c r="G80" i="69" s="1"/>
  <c r="H80" i="69" s="1"/>
  <c r="I80" i="69" s="1"/>
  <c r="J80" i="69" s="1"/>
  <c r="K80" i="69" s="1"/>
  <c r="L80" i="69" s="1"/>
  <c r="M80" i="69" s="1"/>
  <c r="B77" i="69"/>
  <c r="B75" i="69"/>
  <c r="B73" i="69"/>
  <c r="D72" i="69"/>
  <c r="E72" i="69" s="1"/>
  <c r="F72" i="69" s="1"/>
  <c r="G72" i="69" s="1"/>
  <c r="D70" i="69"/>
  <c r="E70" i="69" s="1"/>
  <c r="F70" i="69" s="1"/>
  <c r="G70" i="69" s="1"/>
  <c r="D68" i="69"/>
  <c r="E68" i="69" s="1"/>
  <c r="F68" i="69" s="1"/>
  <c r="G68" i="69" s="1"/>
  <c r="D66" i="69"/>
  <c r="E66" i="69" s="1"/>
  <c r="F66" i="69" s="1"/>
  <c r="G66" i="69" s="1"/>
  <c r="D64" i="69"/>
  <c r="E64" i="69" s="1"/>
  <c r="F64" i="69" s="1"/>
  <c r="G64" i="69" s="1"/>
  <c r="B61" i="69"/>
  <c r="B59" i="69"/>
  <c r="B57" i="69"/>
  <c r="G56" i="69"/>
  <c r="H56" i="69" s="1"/>
  <c r="I56" i="69" s="1"/>
  <c r="F56" i="69"/>
  <c r="C53" i="69"/>
  <c r="J44" i="69"/>
  <c r="I44" i="69"/>
  <c r="H44" i="69"/>
  <c r="G44" i="69"/>
  <c r="F44" i="69"/>
  <c r="E44" i="69"/>
  <c r="P39" i="69"/>
  <c r="P38" i="69"/>
  <c r="K38" i="69"/>
  <c r="B38" i="69"/>
  <c r="V37" i="69"/>
  <c r="T37" i="69"/>
  <c r="R37" i="69"/>
  <c r="P37" i="69"/>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J33" i="69"/>
  <c r="AC33" i="69" s="1"/>
  <c r="H33" i="69"/>
  <c r="AB33" i="69" s="1"/>
  <c r="F33" i="69"/>
  <c r="AA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W28" i="69"/>
  <c r="Q28" i="69"/>
  <c r="Z28" i="69" s="1"/>
  <c r="J28" i="69"/>
  <c r="AC28" i="69" s="1"/>
  <c r="H28" i="69"/>
  <c r="AB28" i="69" s="1"/>
  <c r="F28" i="69"/>
  <c r="AA28" i="69" s="1"/>
  <c r="Q27" i="69"/>
  <c r="Z27" i="69" s="1"/>
  <c r="J27" i="69"/>
  <c r="AC27" i="69" s="1"/>
  <c r="H27" i="69"/>
  <c r="AB27" i="69" s="1"/>
  <c r="F27" i="69"/>
  <c r="AA27" i="69" s="1"/>
  <c r="Q26" i="69"/>
  <c r="Z26" i="69" s="1"/>
  <c r="C26" i="69"/>
  <c r="C79" i="69" s="1"/>
  <c r="Q25" i="69"/>
  <c r="Z25" i="69" s="1"/>
  <c r="J25" i="69"/>
  <c r="AC25" i="69" s="1"/>
  <c r="H25" i="69"/>
  <c r="AB25" i="69" s="1"/>
  <c r="F25" i="69"/>
  <c r="AA25" i="69" s="1"/>
  <c r="Q24" i="69"/>
  <c r="Z24" i="69" s="1"/>
  <c r="J24" i="69"/>
  <c r="AC24" i="69" s="1"/>
  <c r="H24" i="69"/>
  <c r="AB24" i="69" s="1"/>
  <c r="F24" i="69"/>
  <c r="AA24" i="69" s="1"/>
  <c r="Q23" i="69"/>
  <c r="Z23" i="69" s="1"/>
  <c r="J23" i="69"/>
  <c r="AC23" i="69" s="1"/>
  <c r="H23" i="69"/>
  <c r="AB23" i="69" s="1"/>
  <c r="F23" i="69"/>
  <c r="AA23" i="69" s="1"/>
  <c r="Q22" i="69"/>
  <c r="Z22" i="69" s="1"/>
  <c r="J22" i="69"/>
  <c r="AC22" i="69" s="1"/>
  <c r="H22" i="69"/>
  <c r="AB22" i="69" s="1"/>
  <c r="F22" i="69"/>
  <c r="AA22" i="69" s="1"/>
  <c r="Q20" i="69"/>
  <c r="Z20" i="69" s="1"/>
  <c r="J20" i="69"/>
  <c r="AC20" i="69" s="1"/>
  <c r="H20" i="69"/>
  <c r="AB20" i="69" s="1"/>
  <c r="F20" i="69"/>
  <c r="AA20" i="69" s="1"/>
  <c r="C20" i="69"/>
  <c r="Q18" i="69"/>
  <c r="Z18" i="69" s="1"/>
  <c r="J18" i="69"/>
  <c r="AC18" i="69" s="1"/>
  <c r="H18" i="69"/>
  <c r="AB18" i="69" s="1"/>
  <c r="F18" i="69"/>
  <c r="AA18" i="69" s="1"/>
  <c r="C18" i="69"/>
  <c r="Q16" i="69"/>
  <c r="Z16" i="69" s="1"/>
  <c r="J16" i="69"/>
  <c r="AC16" i="69" s="1"/>
  <c r="H16" i="69"/>
  <c r="AB16" i="69" s="1"/>
  <c r="F16" i="69"/>
  <c r="AA16" i="69" s="1"/>
  <c r="C16" i="69"/>
  <c r="Q14" i="69"/>
  <c r="Z14" i="69" s="1"/>
  <c r="J14" i="69"/>
  <c r="AC14" i="69" s="1"/>
  <c r="H14" i="69"/>
  <c r="AB14" i="69" s="1"/>
  <c r="F14" i="69"/>
  <c r="AA14" i="69" s="1"/>
  <c r="C14" i="69"/>
  <c r="Q13" i="69"/>
  <c r="Z13" i="69" s="1"/>
  <c r="J13" i="69"/>
  <c r="AC13" i="69" s="1"/>
  <c r="H13" i="69"/>
  <c r="AB13" i="69" s="1"/>
  <c r="F13" i="69"/>
  <c r="AA13" i="69" s="1"/>
  <c r="Q12" i="69"/>
  <c r="Z12" i="69" s="1"/>
  <c r="J12" i="69"/>
  <c r="AC12" i="69" s="1"/>
  <c r="H12" i="69"/>
  <c r="AB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W8" i="69"/>
  <c r="J8" i="69"/>
  <c r="AC8" i="69" s="1"/>
  <c r="H8" i="69"/>
  <c r="U8" i="69" s="1"/>
  <c r="F8" i="69"/>
  <c r="AA8" i="69" s="1"/>
  <c r="C7" i="69"/>
  <c r="C48" i="69" s="1"/>
  <c r="D48" i="69" s="1"/>
  <c r="E48" i="69" s="1"/>
  <c r="F48" i="69" s="1"/>
  <c r="G48" i="69" s="1"/>
  <c r="H48" i="69" s="1"/>
  <c r="I48" i="69" s="1"/>
  <c r="J48" i="69" s="1"/>
  <c r="K48" i="69" s="1"/>
  <c r="L48" i="69" s="1"/>
  <c r="M48" i="69" s="1"/>
  <c r="N48" i="69" s="1"/>
  <c r="O48" i="69" s="1"/>
  <c r="F3" i="69"/>
  <c r="D3" i="69"/>
  <c r="D10" i="12"/>
  <c r="D8" i="12"/>
  <c r="C8" i="12"/>
  <c r="G20" i="6"/>
  <c r="F19" i="6"/>
  <c r="D2" i="69"/>
  <c r="D2" i="70"/>
  <c r="AA7" i="70" l="1"/>
  <c r="S7" i="70"/>
  <c r="G7" i="70"/>
  <c r="U8" i="70"/>
  <c r="AA8" i="70"/>
  <c r="AC8" i="70"/>
  <c r="U9" i="70"/>
  <c r="S10" i="70"/>
  <c r="W10" i="70"/>
  <c r="U11" i="70"/>
  <c r="S12" i="70"/>
  <c r="W12" i="70"/>
  <c r="U13" i="70"/>
  <c r="S14" i="70"/>
  <c r="S9" i="70"/>
  <c r="W9" i="70"/>
  <c r="U10" i="70"/>
  <c r="S11" i="70"/>
  <c r="W11" i="70"/>
  <c r="U12" i="70"/>
  <c r="S13" i="70"/>
  <c r="W13" i="70"/>
  <c r="AB14" i="70"/>
  <c r="U14" i="70"/>
  <c r="S15" i="70"/>
  <c r="S17" i="70"/>
  <c r="W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15" i="70"/>
  <c r="U17"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R48" i="70"/>
  <c r="U44" i="70"/>
  <c r="S45" i="70"/>
  <c r="W45" i="70"/>
  <c r="U46" i="70"/>
  <c r="K141" i="70"/>
  <c r="K143" i="70"/>
  <c r="S44" i="70"/>
  <c r="W44" i="70"/>
  <c r="U45" i="70"/>
  <c r="S46" i="70"/>
  <c r="W46" i="70"/>
  <c r="K144" i="70"/>
  <c r="S8" i="69"/>
  <c r="AB8" i="69"/>
  <c r="S9" i="69"/>
  <c r="W9" i="69"/>
  <c r="U10" i="69"/>
  <c r="S11" i="69"/>
  <c r="W11" i="69"/>
  <c r="U12" i="69"/>
  <c r="S13" i="69"/>
  <c r="W13" i="69"/>
  <c r="S14" i="69"/>
  <c r="W14" i="69"/>
  <c r="S16" i="69"/>
  <c r="W16" i="69"/>
  <c r="S18" i="69"/>
  <c r="W18" i="69"/>
  <c r="S20" i="69"/>
  <c r="W20" i="69"/>
  <c r="U22" i="69"/>
  <c r="S23" i="69"/>
  <c r="W23" i="69"/>
  <c r="U24" i="69"/>
  <c r="S25" i="69"/>
  <c r="W25" i="69"/>
  <c r="F26" i="69"/>
  <c r="J26" i="69"/>
  <c r="U27" i="69"/>
  <c r="S28" i="69"/>
  <c r="E7" i="69"/>
  <c r="U9" i="69"/>
  <c r="S10" i="69"/>
  <c r="W10" i="69"/>
  <c r="U11" i="69"/>
  <c r="S12" i="69"/>
  <c r="W12" i="69"/>
  <c r="U13" i="69"/>
  <c r="U14" i="69"/>
  <c r="U16" i="69"/>
  <c r="U18" i="69"/>
  <c r="U20" i="69"/>
  <c r="S22" i="69"/>
  <c r="W22" i="69"/>
  <c r="U23" i="69"/>
  <c r="S24" i="69"/>
  <c r="W24" i="69"/>
  <c r="U25" i="69"/>
  <c r="H26" i="69"/>
  <c r="S27" i="69"/>
  <c r="W27" i="69"/>
  <c r="H87" i="69"/>
  <c r="I87" i="69" s="1"/>
  <c r="J87" i="69" s="1"/>
  <c r="K87" i="69" s="1"/>
  <c r="L87" i="69" s="1"/>
  <c r="M87" i="69" s="1"/>
  <c r="S30" i="69"/>
  <c r="W30" i="69"/>
  <c r="U31" i="69"/>
  <c r="S32" i="69"/>
  <c r="W32" i="69"/>
  <c r="U33" i="69"/>
  <c r="S34" i="69"/>
  <c r="W34" i="69"/>
  <c r="U35" i="69"/>
  <c r="S36" i="69"/>
  <c r="W36" i="69"/>
  <c r="U28" i="69"/>
  <c r="U30" i="69"/>
  <c r="S31" i="69"/>
  <c r="W31" i="69"/>
  <c r="U32" i="69"/>
  <c r="S33" i="69"/>
  <c r="W33" i="69"/>
  <c r="U34" i="69"/>
  <c r="S35" i="69"/>
  <c r="W35" i="69"/>
  <c r="U36" i="69"/>
  <c r="E48" i="70" l="1"/>
  <c r="H7" i="70"/>
  <c r="I7" i="70"/>
  <c r="J7" i="70" s="1"/>
  <c r="J29" i="69"/>
  <c r="AB26" i="69"/>
  <c r="U26" i="69"/>
  <c r="G7" i="69"/>
  <c r="F7" i="69"/>
  <c r="H29" i="69"/>
  <c r="F29" i="69"/>
  <c r="AC26" i="69"/>
  <c r="W26" i="69"/>
  <c r="AA26" i="69"/>
  <c r="S26" i="69"/>
  <c r="AC7" i="70" l="1"/>
  <c r="V48" i="70" s="1"/>
  <c r="I48" i="70" s="1"/>
  <c r="W7" i="70"/>
  <c r="E52" i="70"/>
  <c r="F52" i="70" s="1"/>
  <c r="U7" i="70"/>
  <c r="AB7" i="70"/>
  <c r="T48" i="70" s="1"/>
  <c r="S7" i="69"/>
  <c r="AA7" i="69"/>
  <c r="AC29" i="69"/>
  <c r="W29" i="69"/>
  <c r="AB29" i="69"/>
  <c r="U29" i="69"/>
  <c r="I7" i="69"/>
  <c r="J7" i="69" s="1"/>
  <c r="H7" i="69"/>
  <c r="AA29" i="69"/>
  <c r="S29" i="69"/>
  <c r="I53" i="70" l="1"/>
  <c r="J53" i="70" s="1"/>
  <c r="I52" i="70"/>
  <c r="J52" i="70" s="1"/>
  <c r="G48" i="70"/>
  <c r="R49" i="70"/>
  <c r="AB7" i="69"/>
  <c r="T38" i="69" s="1"/>
  <c r="G38" i="69" s="1"/>
  <c r="U7" i="69"/>
  <c r="R38" i="69"/>
  <c r="W7" i="69"/>
  <c r="AC7" i="69"/>
  <c r="V38" i="69" s="1"/>
  <c r="I38" i="69" s="1"/>
  <c r="G53" i="70" l="1"/>
  <c r="H53" i="70" s="1"/>
  <c r="G52" i="70"/>
  <c r="H52" i="70" s="1"/>
  <c r="E53" i="70"/>
  <c r="F53" i="70" s="1"/>
  <c r="C49" i="70"/>
  <c r="C48" i="70"/>
  <c r="I43" i="69"/>
  <c r="J43" i="69" s="1"/>
  <c r="I42" i="69"/>
  <c r="J42" i="69" s="1"/>
  <c r="R39" i="69"/>
  <c r="E38" i="69"/>
  <c r="G43" i="69"/>
  <c r="H43" i="69" s="1"/>
  <c r="G42" i="69"/>
  <c r="H42" i="69" s="1"/>
  <c r="B3" i="70" l="1"/>
  <c r="B2" i="70"/>
  <c r="C39" i="69"/>
  <c r="B2" i="69" s="1"/>
  <c r="B3" i="69" s="1"/>
  <c r="C38" i="69"/>
  <c r="E43" i="69"/>
  <c r="F43" i="69" s="1"/>
  <c r="E42" i="69"/>
  <c r="F42" i="69" s="1"/>
  <c r="I40" i="39" l="1"/>
  <c r="I9" i="39"/>
  <c r="G40" i="39"/>
  <c r="G9" i="39"/>
  <c r="E40" i="39"/>
  <c r="E9" i="39"/>
  <c r="I7" i="39"/>
  <c r="G7" i="39"/>
  <c r="E7" i="39"/>
  <c r="AL7" i="1"/>
  <c r="L7" i="1"/>
  <c r="H17" i="4"/>
  <c r="D3" i="4" l="1"/>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4" i="55"/>
  <c r="A10" i="55"/>
  <c r="B61" i="63"/>
  <c r="A9" i="55"/>
  <c r="B60" i="63"/>
  <c r="A8" i="55"/>
  <c r="A6" i="54"/>
  <c r="A8" i="54"/>
  <c r="A7" i="54"/>
  <c r="A28" i="51"/>
  <c r="A27" i="51"/>
  <c r="B20" i="63" s="1"/>
  <c r="Q19" i="59"/>
  <c r="AB17" i="59"/>
  <c r="O19" i="59"/>
  <c r="Y17" i="59"/>
  <c r="Z17" i="59"/>
  <c r="N20" i="59"/>
  <c r="O20" i="59"/>
  <c r="P20" i="59"/>
  <c r="Q20" i="59"/>
  <c r="N19" i="59"/>
  <c r="X17" i="59"/>
  <c r="P19" i="59"/>
  <c r="B21" i="59"/>
  <c r="C21" i="59"/>
  <c r="D21" i="59"/>
  <c r="E21" i="59"/>
  <c r="F21" i="59"/>
  <c r="K75" i="9"/>
  <c r="K6" i="4"/>
  <c r="O76" i="9"/>
  <c r="L76" i="9"/>
  <c r="K76" i="9"/>
  <c r="B22" i="31"/>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E20" i="6" s="1"/>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c r="G128" i="39"/>
  <c r="H128" i="39"/>
  <c r="I128" i="39"/>
  <c r="J128" i="39"/>
  <c r="K128" i="39"/>
  <c r="L128" i="39"/>
  <c r="M128" i="39"/>
  <c r="F46" i="39"/>
  <c r="S46" i="39" s="1"/>
  <c r="H46" i="39"/>
  <c r="U46" i="39"/>
  <c r="J46" i="39"/>
  <c r="W46" i="39" s="1"/>
  <c r="F29" i="39"/>
  <c r="AA29" i="39" s="1"/>
  <c r="E103" i="39"/>
  <c r="F103" i="39"/>
  <c r="G103" i="39" s="1"/>
  <c r="H29" i="39"/>
  <c r="U29" i="39" s="1"/>
  <c r="F34" i="39"/>
  <c r="AA34" i="39" s="1"/>
  <c r="H34" i="39"/>
  <c r="AB34" i="39" s="1"/>
  <c r="J34" i="39"/>
  <c r="AC34" i="39" s="1"/>
  <c r="F39" i="39"/>
  <c r="AA39" i="39" s="1"/>
  <c r="H39" i="39"/>
  <c r="AB39" i="39" s="1"/>
  <c r="J39" i="39"/>
  <c r="AC39" i="39" s="1"/>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W39" i="39"/>
  <c r="S39"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AA21" i="39"/>
  <c r="AC19" i="39"/>
  <c r="AC38" i="39"/>
  <c r="S29" i="39"/>
  <c r="AC21" i="39"/>
  <c r="AB15" i="39"/>
  <c r="U11" i="39"/>
  <c r="U41" i="39"/>
  <c r="AB38" i="39"/>
  <c r="U31" i="39"/>
  <c r="AB31" i="39"/>
  <c r="S38" i="39"/>
  <c r="S22" i="31"/>
  <c r="D96" i="9"/>
  <c r="M18" i="15"/>
  <c r="BA16" i="3"/>
  <c r="BA17" i="3"/>
  <c r="AZ17" i="3"/>
  <c r="F3" i="35"/>
  <c r="K1" i="43"/>
  <c r="K1" i="12"/>
  <c r="G1" i="44"/>
  <c r="I4" i="6"/>
  <c r="G3" i="46"/>
  <c r="Y11" i="46" s="1"/>
  <c r="Y13" i="46" s="1"/>
  <c r="AZ15" i="3"/>
  <c r="BK5" i="3"/>
  <c r="BO5" i="3"/>
  <c r="BP5" i="3"/>
  <c r="BN5" i="3"/>
  <c r="BL18" i="3"/>
  <c r="AZ18" i="3"/>
  <c r="BC5" i="3"/>
  <c r="BD5" i="3"/>
  <c r="BR5" i="3"/>
  <c r="G28" i="6" s="1"/>
  <c r="BS5" i="3"/>
  <c r="BQ5" i="3"/>
  <c r="F28" i="6" s="1"/>
  <c r="BL16" i="3"/>
  <c r="BL5"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c r="C46" i="36"/>
  <c r="O19" i="46"/>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S34" i="39"/>
  <c r="W42" i="39"/>
  <c r="W36" i="39"/>
  <c r="AC37" i="39"/>
  <c r="U14"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BA5" i="3"/>
  <c r="G29" i="6"/>
  <c r="AZ16" i="3"/>
  <c r="A9" i="64"/>
  <c r="A9" i="51"/>
  <c r="B9" i="63" s="1"/>
  <c r="E4" i="4"/>
  <c r="B21" i="55" s="1"/>
  <c r="B72" i="63" s="1"/>
  <c r="C4" i="4"/>
  <c r="G66" i="36"/>
  <c r="J18" i="36"/>
  <c r="AE8" i="1"/>
  <c r="AE7" i="1"/>
  <c r="AE6" i="1"/>
  <c r="W18" i="36"/>
  <c r="AC18" i="36"/>
  <c r="AG6" i="1"/>
  <c r="L20" i="6"/>
  <c r="B20" i="55"/>
  <c r="B70" i="63"/>
  <c r="S8" i="1"/>
  <c r="S9" i="1"/>
  <c r="R9" i="1"/>
  <c r="R8"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O11" i="1"/>
  <c r="P11" i="1" s="1"/>
  <c r="AP7" i="1"/>
  <c r="G13" i="1"/>
  <c r="D46" i="36"/>
  <c r="G6" i="1"/>
  <c r="H70" i="46"/>
  <c r="H73" i="46"/>
  <c r="H50" i="46"/>
  <c r="H48" i="46"/>
  <c r="F35" i="46"/>
  <c r="I17" i="46"/>
  <c r="G17" i="46" s="1"/>
  <c r="C16" i="46" s="1"/>
  <c r="H63" i="46"/>
  <c r="M101" i="46"/>
  <c r="M107" i="46" s="1"/>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E10" i="46"/>
  <c r="E9" i="46"/>
  <c r="E11" i="46"/>
  <c r="E8" i="46"/>
  <c r="H72" i="46"/>
  <c r="H69" i="46"/>
  <c r="H77" i="46"/>
  <c r="H76" i="46"/>
  <c r="H55" i="46"/>
  <c r="H54" i="46"/>
  <c r="H52" i="46"/>
  <c r="H47" i="46"/>
  <c r="AD12" i="46"/>
  <c r="AH12" i="46"/>
  <c r="C14" i="59"/>
  <c r="C13" i="59"/>
  <c r="T13" i="59"/>
  <c r="B14" i="59"/>
  <c r="B13" i="59"/>
  <c r="S13" i="59"/>
  <c r="D14" i="59"/>
  <c r="V13" i="59"/>
  <c r="D13" i="59"/>
  <c r="E46" i="36"/>
  <c r="F46" i="36" s="1"/>
  <c r="G46" i="36" s="1"/>
  <c r="H46" i="36" s="1"/>
  <c r="G104" i="46"/>
  <c r="C7" i="46"/>
  <c r="D12" i="59"/>
  <c r="D11" i="59"/>
  <c r="G20" i="46"/>
  <c r="E41" i="46"/>
  <c r="C41" i="46"/>
  <c r="E11" i="67"/>
  <c r="N4" i="65"/>
  <c r="M23" i="15"/>
  <c r="F37" i="44"/>
  <c r="F8" i="15"/>
  <c r="B8" i="67"/>
  <c r="F41" i="15"/>
  <c r="F38" i="44"/>
  <c r="B10" i="67"/>
  <c r="J17" i="44"/>
  <c r="B12" i="67"/>
  <c r="J7" i="65"/>
  <c r="F11" i="44"/>
  <c r="F16" i="15"/>
  <c r="F35" i="15"/>
  <c r="M22" i="15"/>
  <c r="M28" i="15"/>
  <c r="I4" i="65"/>
  <c r="I5" i="65"/>
  <c r="M10" i="44"/>
  <c r="F37" i="15"/>
  <c r="E10" i="67"/>
  <c r="M28" i="44"/>
  <c r="M8" i="15"/>
  <c r="F18" i="44"/>
  <c r="F45" i="44"/>
  <c r="E12" i="67"/>
  <c r="N3" i="65"/>
  <c r="F13" i="15"/>
  <c r="M27" i="15"/>
  <c r="F10" i="67"/>
  <c r="F36" i="15"/>
  <c r="J5" i="65"/>
  <c r="M11" i="44"/>
  <c r="N7" i="65"/>
  <c r="M30" i="44"/>
  <c r="L48" i="15"/>
  <c r="M25" i="44"/>
  <c r="M26" i="44"/>
  <c r="E13" i="67"/>
  <c r="C19" i="44"/>
  <c r="F38" i="15"/>
  <c r="J6" i="65"/>
  <c r="F14" i="67"/>
  <c r="J36" i="15"/>
  <c r="F10" i="44"/>
  <c r="F28" i="44"/>
  <c r="M9" i="15"/>
  <c r="I3" i="65"/>
  <c r="L48" i="44"/>
  <c r="F43" i="44"/>
  <c r="F40" i="15"/>
  <c r="F13" i="67"/>
  <c r="L49" i="44"/>
  <c r="M24" i="44"/>
  <c r="J15" i="15"/>
  <c r="F26" i="15"/>
  <c r="F39" i="44"/>
  <c r="M21" i="15"/>
  <c r="F9" i="67"/>
  <c r="F6" i="15"/>
  <c r="F9" i="15"/>
  <c r="B11" i="67"/>
  <c r="B9" i="67"/>
  <c r="M31" i="44"/>
  <c r="F46" i="44"/>
  <c r="F8" i="67"/>
  <c r="E14" i="67"/>
  <c r="F11" i="67"/>
  <c r="F42" i="15"/>
  <c r="I7" i="65"/>
  <c r="I6" i="65"/>
  <c r="M23" i="44"/>
  <c r="J4" i="65"/>
  <c r="B13" i="67"/>
  <c r="N5" i="65"/>
  <c r="N6" i="65"/>
  <c r="L47" i="15"/>
  <c r="F8" i="44"/>
  <c r="B14" i="67"/>
  <c r="E9" i="67"/>
  <c r="F7" i="15"/>
  <c r="F43" i="15"/>
  <c r="M29" i="15"/>
  <c r="M24" i="15"/>
  <c r="F9" i="44"/>
  <c r="M26" i="15"/>
  <c r="F40" i="44"/>
  <c r="M6" i="15"/>
  <c r="J3" i="65"/>
  <c r="F15" i="44"/>
  <c r="E8" i="67"/>
  <c r="M29" i="44"/>
  <c r="M8" i="44"/>
  <c r="F12" i="67"/>
  <c r="F126" i="39" l="1"/>
  <c r="G126" i="39" s="1"/>
  <c r="H126" i="39" s="1"/>
  <c r="I126" i="39" s="1"/>
  <c r="J126" i="39" s="1"/>
  <c r="K126" i="39" s="1"/>
  <c r="L126" i="39" s="1"/>
  <c r="M126" i="39" s="1"/>
  <c r="F43" i="39"/>
  <c r="J43" i="39"/>
  <c r="H43" i="39"/>
  <c r="L104" i="46"/>
  <c r="D102" i="46"/>
  <c r="I116" i="46"/>
  <c r="J116" i="46" s="1"/>
  <c r="K116" i="46" s="1"/>
  <c r="L116" i="46" s="1"/>
  <c r="M116" i="46" s="1"/>
  <c r="E29" i="6"/>
  <c r="K15" i="1" s="1"/>
  <c r="F30" i="6"/>
  <c r="D115" i="46"/>
  <c r="E115" i="46" s="1"/>
  <c r="F115" i="46" s="1"/>
  <c r="G115" i="46" s="1"/>
  <c r="H115" i="46" s="1"/>
  <c r="C23" i="46"/>
  <c r="E104" i="46"/>
  <c r="AB11" i="46"/>
  <c r="AB13" i="46" s="1"/>
  <c r="AF11" i="46"/>
  <c r="AF13" i="46" s="1"/>
  <c r="AA11" i="46"/>
  <c r="AA13" i="46" s="1"/>
  <c r="Z11" i="46"/>
  <c r="Z13" i="46" s="1"/>
  <c r="E22" i="46"/>
  <c r="Z7" i="46"/>
  <c r="F22" i="46"/>
  <c r="N104" i="45"/>
  <c r="J101" i="46"/>
  <c r="J106" i="46" s="1"/>
  <c r="C101" i="46"/>
  <c r="C107" i="46" s="1"/>
  <c r="AD11" i="46"/>
  <c r="AD13" i="46" s="1"/>
  <c r="N101" i="46"/>
  <c r="N109" i="46" s="1"/>
  <c r="I101" i="46"/>
  <c r="I102" i="46" s="1"/>
  <c r="F101" i="46"/>
  <c r="F106" i="46" s="1"/>
  <c r="G22" i="46"/>
  <c r="E109" i="46"/>
  <c r="K109" i="46"/>
  <c r="B118" i="46"/>
  <c r="C118" i="46" s="1"/>
  <c r="D116" i="46"/>
  <c r="E116" i="46" s="1"/>
  <c r="F116" i="46" s="1"/>
  <c r="G116" i="46" s="1"/>
  <c r="H116" i="46" s="1"/>
  <c r="E102" i="46"/>
  <c r="K102" i="46"/>
  <c r="F102" i="46"/>
  <c r="G27" i="6"/>
  <c r="E53" i="40"/>
  <c r="E58" i="39"/>
  <c r="F27" i="6"/>
  <c r="E27" i="6" s="1"/>
  <c r="E32" i="6"/>
  <c r="L19" i="6" s="1"/>
  <c r="L27" i="6" s="1"/>
  <c r="C9" i="12"/>
  <c r="C10" i="12" s="1"/>
  <c r="D9" i="12"/>
  <c r="K7" i="1"/>
  <c r="M7" i="1" s="1"/>
  <c r="O7" i="1" s="1"/>
  <c r="P7" i="1" s="1"/>
  <c r="AZ5" i="3"/>
  <c r="E3" i="6" s="1"/>
  <c r="F31" i="6"/>
  <c r="G13" i="3"/>
  <c r="AB16" i="39"/>
  <c r="W34" i="39"/>
  <c r="U34" i="39"/>
  <c r="S31" i="39"/>
  <c r="W27" i="39"/>
  <c r="W23" i="39"/>
  <c r="U23" i="39"/>
  <c r="F91" i="39"/>
  <c r="G91" i="39" s="1"/>
  <c r="F17" i="39"/>
  <c r="H17" i="39"/>
  <c r="J17" i="39"/>
  <c r="M43" i="9"/>
  <c r="D18" i="9"/>
  <c r="M44" i="9" s="1"/>
  <c r="A30" i="51"/>
  <c r="B22" i="63" s="1"/>
  <c r="A30" i="64"/>
  <c r="W41" i="39"/>
  <c r="AC44" i="39"/>
  <c r="AB44" i="39"/>
  <c r="AB29" i="39"/>
  <c r="U27" i="39"/>
  <c r="S23" i="39"/>
  <c r="W29" i="39"/>
  <c r="AC31" i="39"/>
  <c r="AB45" i="39"/>
  <c r="U39" i="39"/>
  <c r="AB25" i="39"/>
  <c r="S41" i="39"/>
  <c r="S25" i="39"/>
  <c r="S14" i="39"/>
  <c r="S47" i="39"/>
  <c r="M20" i="15"/>
  <c r="F36" i="44"/>
  <c r="F28" i="15"/>
  <c r="F30" i="44"/>
  <c r="M20" i="44"/>
  <c r="F70" i="9"/>
  <c r="F32" i="15"/>
  <c r="F59" i="15" s="1"/>
  <c r="F71" i="9"/>
  <c r="G107" i="46"/>
  <c r="G106" i="46"/>
  <c r="G118" i="46"/>
  <c r="H118" i="46" s="1"/>
  <c r="D117" i="46"/>
  <c r="E117" i="46" s="1"/>
  <c r="F117" i="46" s="1"/>
  <c r="G117" i="46" s="1"/>
  <c r="H117" i="46" s="1"/>
  <c r="I118" i="46"/>
  <c r="J118" i="46" s="1"/>
  <c r="K118" i="46" s="1"/>
  <c r="L118" i="46" s="1"/>
  <c r="M118" i="46" s="1"/>
  <c r="L107" i="46"/>
  <c r="L109" i="46"/>
  <c r="L102" i="46"/>
  <c r="E105" i="46"/>
  <c r="K104" i="46"/>
  <c r="K107" i="46"/>
  <c r="D107" i="46"/>
  <c r="E14" i="6"/>
  <c r="E13" i="6"/>
  <c r="E60" i="40" s="1"/>
  <c r="E10" i="6"/>
  <c r="E15" i="6"/>
  <c r="E12" i="6"/>
  <c r="E59" i="40" s="1"/>
  <c r="E11" i="6"/>
  <c r="E63" i="39" s="1"/>
  <c r="E28" i="6"/>
  <c r="G30" i="6"/>
  <c r="G31" i="6" s="1"/>
  <c r="J103" i="46"/>
  <c r="D105" i="46"/>
  <c r="H107" i="46"/>
  <c r="J107" i="46"/>
  <c r="D104" i="46"/>
  <c r="H106" i="46"/>
  <c r="H109" i="46"/>
  <c r="M104" i="46"/>
  <c r="G109" i="46"/>
  <c r="G105" i="46"/>
  <c r="G102" i="46"/>
  <c r="B117" i="46"/>
  <c r="C117" i="46" s="1"/>
  <c r="I117" i="46"/>
  <c r="J117" i="46" s="1"/>
  <c r="K117" i="46" s="1"/>
  <c r="L117" i="46" s="1"/>
  <c r="M117" i="46" s="1"/>
  <c r="D118" i="46"/>
  <c r="E118" i="46" s="1"/>
  <c r="F118" i="46" s="1"/>
  <c r="B116" i="46"/>
  <c r="C116" i="46" s="1"/>
  <c r="B115" i="46"/>
  <c r="C115" i="46" s="1"/>
  <c r="L103" i="46"/>
  <c r="L106" i="46"/>
  <c r="E107" i="46"/>
  <c r="E103" i="46"/>
  <c r="K105" i="46"/>
  <c r="K106" i="46"/>
  <c r="I105" i="46"/>
  <c r="D109" i="46"/>
  <c r="H104" i="46"/>
  <c r="D103" i="46"/>
  <c r="H105" i="46"/>
  <c r="H103" i="46"/>
  <c r="D22" i="46"/>
  <c r="C21" i="46" s="1"/>
  <c r="J102" i="46"/>
  <c r="E65" i="39"/>
  <c r="O9" i="1"/>
  <c r="P9" i="1" s="1"/>
  <c r="D21" i="12"/>
  <c r="C21" i="12" s="1"/>
  <c r="O10" i="1"/>
  <c r="P10" i="1" s="1"/>
  <c r="O13" i="1"/>
  <c r="P13" i="1" s="1"/>
  <c r="O6" i="1"/>
  <c r="O8" i="1"/>
  <c r="P8" i="1" s="1"/>
  <c r="O12" i="1"/>
  <c r="P12" i="1" s="1"/>
  <c r="J109" i="46"/>
  <c r="J105" i="46"/>
  <c r="J104" i="46"/>
  <c r="I107" i="46"/>
  <c r="I103" i="46"/>
  <c r="I104" i="46"/>
  <c r="E58" i="40"/>
  <c r="I109" i="46"/>
  <c r="M105" i="46"/>
  <c r="M102" i="46"/>
  <c r="M106" i="46"/>
  <c r="I106" i="46"/>
  <c r="M109" i="46"/>
  <c r="M103" i="46"/>
  <c r="D5" i="46"/>
  <c r="C5" i="46"/>
  <c r="A18" i="64"/>
  <c r="B74" i="63" s="1"/>
  <c r="C53" i="10"/>
  <c r="L5" i="54"/>
  <c r="B39" i="63" s="1"/>
  <c r="K5" i="54"/>
  <c r="A18" i="51"/>
  <c r="B14" i="63" s="1"/>
  <c r="T41" i="4"/>
  <c r="A17" i="64" s="1"/>
  <c r="I14" i="66"/>
  <c r="B8" i="66" s="1"/>
  <c r="C95" i="9"/>
  <c r="C92" i="9" s="1"/>
  <c r="C25" i="12"/>
  <c r="C15" i="43"/>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8" i="44"/>
  <c r="C17" i="15"/>
  <c r="C16" i="15"/>
  <c r="E3" i="65"/>
  <c r="U43" i="39" l="1"/>
  <c r="AB43" i="39"/>
  <c r="S43" i="39"/>
  <c r="AA43" i="39"/>
  <c r="W43" i="39"/>
  <c r="AC43" i="39"/>
  <c r="H16" i="1"/>
  <c r="G16" i="1"/>
  <c r="H12" i="40" s="1"/>
  <c r="AP16" i="1"/>
  <c r="F22" i="11" s="1"/>
  <c r="C104" i="46"/>
  <c r="F105" i="46"/>
  <c r="N107" i="46"/>
  <c r="N106" i="46"/>
  <c r="C106" i="46"/>
  <c r="F107" i="46"/>
  <c r="Q16" i="1"/>
  <c r="N105" i="46"/>
  <c r="N103" i="46"/>
  <c r="C109" i="46"/>
  <c r="C102" i="46"/>
  <c r="N102" i="46"/>
  <c r="C103" i="46"/>
  <c r="F104" i="46"/>
  <c r="N104" i="46"/>
  <c r="C105" i="46"/>
  <c r="F103" i="46"/>
  <c r="F109" i="46"/>
  <c r="D16" i="43"/>
  <c r="C16" i="43" s="1"/>
  <c r="L38" i="9"/>
  <c r="E6" i="6"/>
  <c r="D22" i="12" s="1"/>
  <c r="C22" i="12" s="1"/>
  <c r="D46" i="9"/>
  <c r="C21" i="4"/>
  <c r="O5" i="54" s="1"/>
  <c r="B45" i="63" s="1"/>
  <c r="E16" i="6"/>
  <c r="D113" i="46"/>
  <c r="E64" i="39"/>
  <c r="D16" i="12"/>
  <c r="D19" i="12" s="1"/>
  <c r="C19" i="12" s="1"/>
  <c r="D45" i="9"/>
  <c r="C6" i="12"/>
  <c r="G5" i="3"/>
  <c r="B3" i="3" s="1"/>
  <c r="W17" i="39"/>
  <c r="AC17" i="39"/>
  <c r="AA17" i="39"/>
  <c r="S17" i="39"/>
  <c r="U17" i="39"/>
  <c r="AB17" i="39"/>
  <c r="C20" i="12"/>
  <c r="H12" i="39"/>
  <c r="AB12" i="39" s="1"/>
  <c r="E62" i="40"/>
  <c r="E67" i="39"/>
  <c r="F12" i="39"/>
  <c r="AA12" i="39" s="1"/>
  <c r="K19" i="6"/>
  <c r="S6" i="1" s="1"/>
  <c r="K14" i="1"/>
  <c r="K24" i="6"/>
  <c r="M24" i="6" s="1"/>
  <c r="I24" i="6" s="1"/>
  <c r="E30" i="6"/>
  <c r="E31" i="6" s="1"/>
  <c r="K23" i="6"/>
  <c r="M23" i="6" s="1"/>
  <c r="I23" i="6" s="1"/>
  <c r="K21" i="6"/>
  <c r="M21" i="6" s="1"/>
  <c r="I21" i="6" s="1"/>
  <c r="K20" i="6"/>
  <c r="K26" i="6"/>
  <c r="M26" i="6" s="1"/>
  <c r="I26" i="6" s="1"/>
  <c r="K22" i="6"/>
  <c r="M22" i="6" s="1"/>
  <c r="I22" i="6" s="1"/>
  <c r="K25" i="6"/>
  <c r="M25" i="6" s="1"/>
  <c r="I25" i="6" s="1"/>
  <c r="E66" i="39"/>
  <c r="E68" i="39" s="1"/>
  <c r="E61" i="40"/>
  <c r="J12" i="39"/>
  <c r="W12" i="39" s="1"/>
  <c r="F24" i="43"/>
  <c r="C26" i="43" s="1"/>
  <c r="D24" i="43" s="1"/>
  <c r="F33" i="12"/>
  <c r="C34" i="12" s="1"/>
  <c r="D33" i="12" s="1"/>
  <c r="F12" i="40"/>
  <c r="S12" i="40" s="1"/>
  <c r="J12" i="40"/>
  <c r="W12" i="40" s="1"/>
  <c r="D13" i="11"/>
  <c r="C13" i="11" s="1"/>
  <c r="P6" i="1"/>
  <c r="C15" i="12" s="1"/>
  <c r="A17" i="51"/>
  <c r="B13" i="63" s="1"/>
  <c r="B38" i="63"/>
  <c r="A3" i="55"/>
  <c r="B56" i="63" s="1"/>
  <c r="A25" i="64"/>
  <c r="A25" i="51"/>
  <c r="B18" i="63" s="1"/>
  <c r="J7" i="34"/>
  <c r="H7" i="21"/>
  <c r="F7" i="21"/>
  <c r="H7" i="35"/>
  <c r="U7" i="35" s="1"/>
  <c r="B40" i="1"/>
  <c r="E65" i="40"/>
  <c r="D67" i="40"/>
  <c r="AC7" i="33"/>
  <c r="V48" i="33" s="1"/>
  <c r="I48" i="33" s="1"/>
  <c r="W7" i="33"/>
  <c r="AC12" i="40"/>
  <c r="U12" i="40"/>
  <c r="AB12" i="40"/>
  <c r="S7" i="34"/>
  <c r="AA7" i="34"/>
  <c r="R49" i="34" s="1"/>
  <c r="W7" i="34"/>
  <c r="AC7" i="34"/>
  <c r="V49" i="34" s="1"/>
  <c r="I49" i="34" s="1"/>
  <c r="U7" i="21"/>
  <c r="AB7" i="21"/>
  <c r="T48" i="21" s="1"/>
  <c r="G48" i="21" s="1"/>
  <c r="AA7" i="21"/>
  <c r="R48" i="21" s="1"/>
  <c r="S7" i="21"/>
  <c r="AB7" i="35"/>
  <c r="T38" i="35" s="1"/>
  <c r="G38" i="35" s="1"/>
  <c r="J7" i="37"/>
  <c r="W7" i="21"/>
  <c r="AC7" i="21"/>
  <c r="V48" i="21" s="1"/>
  <c r="I48" i="21" s="1"/>
  <c r="S12" i="39"/>
  <c r="AC12" i="39"/>
  <c r="U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13" i="3" l="1"/>
  <c r="B1" i="66"/>
  <c r="S3" i="46"/>
  <c r="S5" i="46"/>
  <c r="S6" i="46"/>
  <c r="S7" i="46"/>
  <c r="S4" i="46"/>
  <c r="S2" i="46"/>
  <c r="C16" i="12"/>
  <c r="C24" i="12"/>
  <c r="C29" i="12"/>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535" i="3"/>
  <c r="E381" i="3"/>
  <c r="E427" i="3"/>
  <c r="E278" i="3"/>
  <c r="E94" i="3"/>
  <c r="E376" i="3"/>
  <c r="E294" i="3"/>
  <c r="E21" i="3"/>
  <c r="E64" i="3"/>
  <c r="E140" i="3"/>
  <c r="P6" i="3"/>
  <c r="E343" i="3"/>
  <c r="E84" i="3"/>
  <c r="E142" i="3"/>
  <c r="AP6" i="3"/>
  <c r="E410"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E435" i="3"/>
  <c r="E213" i="3"/>
  <c r="E490" i="3"/>
  <c r="E536" i="3"/>
  <c r="E218" i="3"/>
  <c r="E39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M20" i="6"/>
  <c r="I20" i="6" s="1"/>
  <c r="S7" i="1"/>
  <c r="S16" i="1" s="1"/>
  <c r="AA12" i="40"/>
  <c r="S22" i="6"/>
  <c r="S20" i="6"/>
  <c r="S23" i="6"/>
  <c r="S24" i="6"/>
  <c r="K27" i="6"/>
  <c r="M19" i="6"/>
  <c r="S25" i="6"/>
  <c r="S26" i="6"/>
  <c r="S21" i="6"/>
  <c r="M14" i="1"/>
  <c r="K16" i="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5" i="46"/>
  <c r="E37" i="46"/>
  <c r="G33" i="46"/>
  <c r="I33" i="46" s="1"/>
  <c r="E34" i="46"/>
  <c r="G34" i="46"/>
  <c r="I34" i="46" s="1"/>
  <c r="J18" i="15"/>
  <c r="J5" i="15"/>
  <c r="C40" i="44"/>
  <c r="J28" i="44"/>
  <c r="J31" i="44" s="1"/>
  <c r="J26" i="44"/>
  <c r="C52" i="15"/>
  <c r="C47" i="15" s="1"/>
  <c r="C10" i="15"/>
  <c r="C5" i="15" s="1"/>
  <c r="C20" i="11"/>
  <c r="C21" i="11" s="1"/>
  <c r="C22" i="11" s="1"/>
  <c r="C23" i="11" s="1"/>
  <c r="B2" i="11" s="1"/>
  <c r="C7" i="66" l="1"/>
  <c r="C8" i="66"/>
  <c r="H6" i="3"/>
  <c r="AC6" i="3"/>
  <c r="AY491" i="3"/>
  <c r="AY482" i="3"/>
  <c r="AY496" i="3"/>
  <c r="AY301" i="3"/>
  <c r="AY426" i="3"/>
  <c r="AY419" i="3"/>
  <c r="AY284" i="3"/>
  <c r="AY353" i="3"/>
  <c r="AY251" i="3"/>
  <c r="AY212" i="3"/>
  <c r="AY532" i="3"/>
  <c r="AY554" i="3"/>
  <c r="AY571" i="3"/>
  <c r="AY270" i="3"/>
  <c r="AY334" i="3"/>
  <c r="AY93" i="3"/>
  <c r="AY434" i="3"/>
  <c r="AY478" i="3"/>
  <c r="AY534" i="3"/>
  <c r="AY567" i="3"/>
  <c r="AY506" i="3"/>
  <c r="AY78" i="3"/>
  <c r="AY456" i="3"/>
  <c r="AY367" i="3"/>
  <c r="AY368" i="3"/>
  <c r="AY314" i="3"/>
  <c r="AY200" i="3"/>
  <c r="AY21" i="3"/>
  <c r="AY438" i="3"/>
  <c r="AY476" i="3"/>
  <c r="AY529" i="3"/>
  <c r="AY383" i="3"/>
  <c r="AY324" i="3"/>
  <c r="AY258" i="3"/>
  <c r="AY168" i="3"/>
  <c r="AY295" i="3"/>
  <c r="AY16" i="3"/>
  <c r="BC6" i="3"/>
  <c r="AY543" i="3"/>
  <c r="AY91" i="3"/>
  <c r="AY13" i="3"/>
  <c r="AY274" i="3"/>
  <c r="AY556" i="3"/>
  <c r="AY114" i="3"/>
  <c r="AY38" i="3"/>
  <c r="AY558" i="3"/>
  <c r="AY424" i="3"/>
  <c r="AY156" i="3"/>
  <c r="AY378" i="3"/>
  <c r="AY27" i="3"/>
  <c r="BD6" i="3"/>
  <c r="AY160" i="3"/>
  <c r="AY248" i="3"/>
  <c r="AY96" i="3"/>
  <c r="AY441" i="3"/>
  <c r="AY474" i="3"/>
  <c r="AY466" i="3"/>
  <c r="AY373" i="3"/>
  <c r="AY243" i="3"/>
  <c r="AY79" i="3"/>
  <c r="AY338" i="3"/>
  <c r="AY296" i="3"/>
  <c r="BB6" i="3"/>
  <c r="AY564" i="3"/>
  <c r="AY539" i="3"/>
  <c r="AY509" i="3"/>
  <c r="AY487" i="3"/>
  <c r="AY331" i="3"/>
  <c r="AY130" i="3"/>
  <c r="AY289" i="3"/>
  <c r="AY418" i="3"/>
  <c r="AY557" i="3"/>
  <c r="AY538" i="3"/>
  <c r="AY60" i="3"/>
  <c r="AY375" i="3"/>
  <c r="AY247" i="3"/>
  <c r="BT6" i="3"/>
  <c r="AY471" i="3"/>
  <c r="AY510" i="3"/>
  <c r="AY85" i="3"/>
  <c r="AY411" i="3"/>
  <c r="AY352" i="3"/>
  <c r="AY256" i="3"/>
  <c r="AY69" i="3"/>
  <c r="AY98" i="3"/>
  <c r="AY170" i="3"/>
  <c r="AY39" i="3"/>
  <c r="AY315" i="3"/>
  <c r="AY464" i="3"/>
  <c r="AY194"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357" i="3"/>
  <c r="AY133" i="3"/>
  <c r="AY84"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440" i="3"/>
  <c r="AY483" i="3"/>
  <c r="AY447" i="3"/>
  <c r="AY208" i="3"/>
  <c r="AY415" i="3"/>
  <c r="AY388" i="3"/>
  <c r="AY319" i="3"/>
  <c r="AY29" i="3"/>
  <c r="AY365" i="3"/>
  <c r="AY259" i="3"/>
  <c r="AY207" i="3"/>
  <c r="AY430" i="3"/>
  <c r="AY224" i="3"/>
  <c r="AY445" i="3"/>
  <c r="AY386" i="3"/>
  <c r="AY525" i="3"/>
  <c r="AY253" i="3"/>
  <c r="AY279" i="3"/>
  <c r="AY548" i="3"/>
  <c r="AY214" i="3"/>
  <c r="AY2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206" i="3"/>
  <c r="AY225" i="3"/>
  <c r="AY360" i="3"/>
  <c r="AY565" i="3"/>
  <c r="AY553" i="3"/>
  <c r="AY90" i="3"/>
  <c r="AY344" i="3"/>
  <c r="AY190" i="3"/>
  <c r="AY327" i="3"/>
  <c r="AY535" i="3"/>
  <c r="BJ6" i="3"/>
  <c r="AY511" i="3"/>
  <c r="AY51" i="3"/>
  <c r="AY332" i="3"/>
  <c r="AY89" i="3"/>
  <c r="AY119" i="3"/>
  <c r="AY345" i="3"/>
  <c r="AY513" i="3"/>
  <c r="AY300" i="3"/>
  <c r="AY524" i="3"/>
  <c r="AY177" i="3"/>
  <c r="AY164" i="3"/>
  <c r="AY377" i="3"/>
  <c r="AY297" i="3"/>
  <c r="AY490" i="3"/>
  <c r="AY393" i="3"/>
  <c r="AY395" i="3"/>
  <c r="AY281" i="3"/>
  <c r="AY235" i="3"/>
  <c r="AY185" i="3"/>
  <c r="AY503" i="3"/>
  <c r="AY323" i="3"/>
  <c r="AY138" i="3"/>
  <c r="AY154" i="3"/>
  <c r="AY369" i="3"/>
  <c r="AY187" i="3"/>
  <c r="AY35" i="3"/>
  <c r="AY81" i="3"/>
  <c r="AY217" i="3"/>
  <c r="AY82" i="3"/>
  <c r="AY41" i="3"/>
  <c r="AY128" i="3"/>
  <c r="AY504" i="3"/>
  <c r="AY182" i="3"/>
  <c r="AY175" i="3"/>
  <c r="AY264" i="3"/>
  <c r="AY467" i="3"/>
  <c r="AY479" i="3"/>
  <c r="AY139" i="3"/>
  <c r="AY364" i="3"/>
  <c r="AY70" i="3"/>
  <c r="AY238" i="3"/>
  <c r="BK6" i="3"/>
  <c r="AY115" i="3"/>
  <c r="AY435" i="3"/>
  <c r="AY230" i="3"/>
  <c r="AY132" i="3"/>
  <c r="AY305" i="3"/>
  <c r="AY405" i="3"/>
  <c r="AY87" i="3"/>
  <c r="AY109" i="3"/>
  <c r="AY142" i="3"/>
  <c r="AY537" i="3"/>
  <c r="AY144" i="3"/>
  <c r="AY136" i="3"/>
  <c r="AY232" i="3"/>
  <c r="AY448" i="3"/>
  <c r="AY49" i="3"/>
  <c r="AY381" i="3"/>
  <c r="AY326" i="3"/>
  <c r="AY178" i="3"/>
  <c r="AY294" i="3"/>
  <c r="AY550" i="3"/>
  <c r="AY269" i="3"/>
  <c r="AY389" i="3"/>
  <c r="AY302" i="3"/>
  <c r="AY122" i="3"/>
  <c r="AY457"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22" i="3"/>
  <c r="AY291" i="3"/>
  <c r="AY74" i="3"/>
  <c r="AY129" i="3"/>
  <c r="AY549" i="3"/>
  <c r="AY329" i="3"/>
  <c r="AY249" i="3"/>
  <c r="BQ6" i="3"/>
  <c r="AY137" i="3"/>
  <c r="BP6" i="3"/>
  <c r="AY480" i="3"/>
  <c r="AY358" i="3"/>
  <c r="AY223" i="3"/>
  <c r="AY404" i="3"/>
  <c r="AY523" i="3"/>
  <c r="AY517" i="3"/>
  <c r="AY536" i="3"/>
  <c r="AY94" i="3"/>
  <c r="AY462" i="3"/>
  <c r="AY102" i="3"/>
  <c r="AY533" i="3"/>
  <c r="AY470" i="3"/>
  <c r="AY347" i="3"/>
  <c r="AY19" i="3"/>
  <c r="AY231" i="3"/>
  <c r="AY263" i="3"/>
  <c r="AY469" i="3"/>
  <c r="BI6" i="3"/>
  <c r="AY468" i="3"/>
  <c r="AY210" i="3"/>
  <c r="BO6" i="3"/>
  <c r="AY189" i="3"/>
  <c r="AY322" i="3"/>
  <c r="AY40" i="3"/>
  <c r="AY108" i="3"/>
  <c r="AY299" i="3"/>
  <c r="AY518" i="3"/>
  <c r="AY166" i="3"/>
  <c r="AY409" i="3"/>
  <c r="AY320" i="3"/>
  <c r="AY335" i="3"/>
  <c r="AY92" i="3"/>
  <c r="AY278" i="3"/>
  <c r="AY116" i="3"/>
  <c r="D3" i="6"/>
  <c r="AY37" i="3"/>
  <c r="AY203" i="3"/>
  <c r="AY95" i="3"/>
  <c r="AY83" i="3"/>
  <c r="AY45" i="3"/>
  <c r="AY277" i="3"/>
  <c r="AY384" i="3"/>
  <c r="AY425" i="3"/>
  <c r="AY202" i="3"/>
  <c r="AY286" i="3"/>
  <c r="AY398" i="3"/>
  <c r="AY169" i="3"/>
  <c r="AY348" i="3"/>
  <c r="AY72" i="3"/>
  <c r="AY241" i="3"/>
  <c r="AY30" i="3"/>
  <c r="AY542" i="3"/>
  <c r="AY382" i="3"/>
  <c r="AY420" i="3"/>
  <c r="AY530" i="3"/>
  <c r="AY97" i="3"/>
  <c r="AY198" i="3"/>
  <c r="AY77" i="3"/>
  <c r="AY73" i="3"/>
  <c r="AY57" i="3"/>
  <c r="AY262" i="3"/>
  <c r="AY349" i="3"/>
  <c r="AY397" i="3"/>
  <c r="AY149" i="3"/>
  <c r="AY379" i="3"/>
  <c r="AY463" i="3"/>
  <c r="AY135" i="3"/>
  <c r="AY372" i="3"/>
  <c r="AY62" i="3"/>
  <c r="AY376" i="3"/>
  <c r="AY155" i="3"/>
  <c r="AY450" i="3"/>
  <c r="AY307" i="3"/>
  <c r="AY555" i="3"/>
  <c r="AY188" i="3"/>
  <c r="AY143" i="3"/>
  <c r="AY157" i="3"/>
  <c r="AY308" i="3"/>
  <c r="AY528" i="3"/>
  <c r="AY236" i="3"/>
  <c r="AY516" i="3"/>
  <c r="AY52" i="3"/>
  <c r="AY36" i="3"/>
  <c r="AY24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361" i="3"/>
  <c r="AY104"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146" i="3"/>
  <c r="AY106" i="3"/>
  <c r="AY88" i="3"/>
  <c r="AY427" i="3"/>
  <c r="AY124" i="3"/>
  <c r="AY229" i="3"/>
  <c r="AY316" i="3"/>
  <c r="AY20" i="3"/>
  <c r="AY475" i="3"/>
  <c r="AY192" i="3"/>
  <c r="AY512" i="3"/>
  <c r="AY362" i="3"/>
  <c r="AY260" i="3"/>
  <c r="AY566" i="3"/>
  <c r="AY54" i="3"/>
  <c r="AY134" i="3"/>
  <c r="AY165" i="3"/>
  <c r="AY354" i="3"/>
  <c r="AY366" i="3"/>
  <c r="AY293" i="3"/>
  <c r="AY268" i="3"/>
  <c r="AY413" i="3"/>
  <c r="AY153" i="3"/>
  <c r="AY276" i="3"/>
  <c r="AY387" i="3"/>
  <c r="AY313" i="3"/>
  <c r="AY205" i="3"/>
  <c r="AY423" i="3"/>
  <c r="AY488" i="3"/>
  <c r="AY460" i="3"/>
  <c r="AY261" i="3"/>
  <c r="AY570" i="3"/>
  <c r="BE6" i="3"/>
  <c r="AY53" i="3"/>
  <c r="AY342" i="3"/>
  <c r="AY271" i="3"/>
  <c r="AY75" i="3"/>
  <c r="AY370" i="3"/>
  <c r="AY559" i="3"/>
  <c r="AY436" i="3"/>
  <c r="AY410" i="3"/>
  <c r="AY125" i="3"/>
  <c r="AY252" i="3"/>
  <c r="AY228" i="3"/>
  <c r="AY568" i="3"/>
  <c r="AY312" i="3"/>
  <c r="BG6" i="3"/>
  <c r="AY255" i="3"/>
  <c r="AY121" i="3"/>
  <c r="AY336" i="3"/>
  <c r="AY111" i="3"/>
  <c r="AY171" i="3"/>
  <c r="AY112" i="3"/>
  <c r="AY240" i="3"/>
  <c r="AY113" i="3"/>
  <c r="AY56" i="3"/>
  <c r="AY421" i="3"/>
  <c r="BM6" i="3"/>
  <c r="AY18" i="3"/>
  <c r="AY451" i="3"/>
  <c r="AY444" i="3"/>
  <c r="AY196" i="3"/>
  <c r="AY521" i="3"/>
  <c r="AY508" i="3"/>
  <c r="O14" i="1"/>
  <c r="T9" i="1"/>
  <c r="T7" i="1"/>
  <c r="T11" i="1"/>
  <c r="T8" i="1"/>
  <c r="M16" i="1"/>
  <c r="N16" i="1" s="1"/>
  <c r="C29" i="43" s="1"/>
  <c r="T13" i="1"/>
  <c r="T12" i="1"/>
  <c r="T6" i="1"/>
  <c r="T10" i="1"/>
  <c r="I19" i="6"/>
  <c r="M27" i="6"/>
  <c r="E38" i="46"/>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5" i="59"/>
  <c r="M20" i="46"/>
  <c r="E29" i="46"/>
  <c r="C27" i="46"/>
  <c r="C65" i="15"/>
  <c r="C59" i="15"/>
  <c r="B5" i="11"/>
  <c r="B3" i="11"/>
  <c r="B4" i="11"/>
  <c r="J26" i="15"/>
  <c r="J29" i="15" s="1"/>
  <c r="J24" i="15"/>
  <c r="C38" i="15"/>
  <c r="Q58" i="44"/>
  <c r="Q67" i="44"/>
  <c r="Q49" i="44"/>
  <c r="Q55" i="44" s="1"/>
  <c r="C16" i="44"/>
  <c r="F7" i="67"/>
  <c r="C14" i="15"/>
  <c r="E6" i="3" l="1"/>
  <c r="D11" i="6"/>
  <c r="D15" i="6"/>
  <c r="C22" i="4"/>
  <c r="D10" i="6"/>
  <c r="D28" i="6"/>
  <c r="F45" i="9"/>
  <c r="D24" i="6"/>
  <c r="D9" i="6"/>
  <c r="E46" i="9"/>
  <c r="D26" i="6"/>
  <c r="D5" i="6"/>
  <c r="E63" i="40"/>
  <c r="D25" i="6"/>
  <c r="D14" i="6"/>
  <c r="E45" i="9"/>
  <c r="D6" i="6"/>
  <c r="D21" i="6"/>
  <c r="D23" i="6"/>
  <c r="D8" i="6"/>
  <c r="K38" i="9"/>
  <c r="B2" i="66" s="1"/>
  <c r="D22" i="6"/>
  <c r="D29" i="6"/>
  <c r="D12" i="6"/>
  <c r="F46" i="9"/>
  <c r="D19" i="6"/>
  <c r="D13" i="6"/>
  <c r="D20" i="6"/>
  <c r="H23" i="6"/>
  <c r="R23" i="6" s="1"/>
  <c r="H24" i="6"/>
  <c r="R24" i="6" s="1"/>
  <c r="H25" i="6"/>
  <c r="R25" i="6" s="1"/>
  <c r="H26" i="6"/>
  <c r="H21" i="6"/>
  <c r="H22" i="6"/>
  <c r="R22" i="6" s="1"/>
  <c r="H20" i="6"/>
  <c r="C18" i="15"/>
  <c r="C15" i="15"/>
  <c r="C17" i="44"/>
  <c r="C20" i="44"/>
  <c r="S19" i="6"/>
  <c r="S27" i="6" s="1"/>
  <c r="H19" i="6"/>
  <c r="I27" i="6"/>
  <c r="L16" i="1"/>
  <c r="C13" i="43"/>
  <c r="T16" i="1"/>
  <c r="P14" i="1"/>
  <c r="P16" i="1" s="1"/>
  <c r="C13" i="12" s="1"/>
  <c r="O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R26" i="6" l="1"/>
  <c r="D27" i="6"/>
  <c r="D16" i="6"/>
  <c r="D30" i="6"/>
  <c r="R20" i="6"/>
  <c r="R7" i="1" s="1"/>
  <c r="R21" i="6"/>
  <c r="D7" i="66"/>
  <c r="D8" i="66"/>
  <c r="A6" i="51"/>
  <c r="B7" i="63" s="1"/>
  <c r="A6" i="64"/>
  <c r="A20" i="64"/>
  <c r="A20" i="51"/>
  <c r="B15" i="63" s="1"/>
  <c r="N5" i="54"/>
  <c r="B43" i="63" s="1"/>
  <c r="C21" i="44"/>
  <c r="C19" i="15"/>
  <c r="C20" i="15" s="1"/>
  <c r="C26" i="15" s="1"/>
  <c r="R19" i="6"/>
  <c r="H27" i="6"/>
  <c r="C22" i="44"/>
  <c r="C28" i="44" s="1"/>
  <c r="C14" i="12"/>
  <c r="C17" i="12"/>
  <c r="C17" i="43"/>
  <c r="C14" i="43"/>
  <c r="I65" i="40"/>
  <c r="H67" i="40"/>
  <c r="H72" i="39"/>
  <c r="I70" i="39"/>
  <c r="N46" i="36"/>
  <c r="E3" i="67"/>
  <c r="B2" i="67"/>
  <c r="D4" i="46"/>
  <c r="B3" i="46"/>
  <c r="B4" i="46"/>
  <c r="D31" i="6" l="1"/>
  <c r="C18" i="43"/>
  <c r="C19" i="43" s="1"/>
  <c r="C25" i="43" s="1"/>
  <c r="C24" i="43" s="1"/>
  <c r="C18" i="12"/>
  <c r="C23" i="12" s="1"/>
  <c r="C35" i="12" s="1"/>
  <c r="C33" i="12" s="1"/>
  <c r="R27" i="6"/>
  <c r="R6" i="1"/>
  <c r="R16" i="1" s="1"/>
  <c r="O46" i="36"/>
  <c r="J7" i="36" s="1"/>
  <c r="F7" i="36"/>
  <c r="H7" i="36"/>
  <c r="J65" i="40"/>
  <c r="I67" i="40"/>
  <c r="J70" i="39"/>
  <c r="I72" i="39"/>
  <c r="B3" i="67"/>
  <c r="B4" i="67"/>
  <c r="I6" i="6" l="1"/>
  <c r="I5" i="6"/>
  <c r="K70" i="39"/>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B3" i="12"/>
  <c r="C56" i="15"/>
  <c r="C63" i="15" s="1"/>
  <c r="C36" i="15"/>
  <c r="C38" i="44"/>
  <c r="J14" i="15"/>
  <c r="J22" i="15" s="1"/>
  <c r="C35" i="44"/>
  <c r="C33" i="44" s="1"/>
  <c r="J21" i="44"/>
  <c r="J19" i="44" s="1"/>
  <c r="J19" i="15"/>
  <c r="J17" i="15" s="1"/>
  <c r="J59" i="15"/>
  <c r="J60" i="15" s="1"/>
  <c r="Q49" i="15" s="1"/>
  <c r="C13" i="15"/>
  <c r="C37" i="15" s="1"/>
  <c r="C33" i="15"/>
  <c r="C31" i="15" s="1"/>
  <c r="J16" i="44"/>
  <c r="J24" i="44" s="1"/>
  <c r="Q51" i="44"/>
  <c r="B4" i="43"/>
  <c r="B4" i="12"/>
  <c r="B3" i="43"/>
  <c r="B5" i="12"/>
  <c r="Q72" i="44"/>
  <c r="C39" i="44"/>
  <c r="C43" i="44"/>
  <c r="J13" i="15"/>
  <c r="J23" i="15" s="1"/>
  <c r="C60" i="15"/>
  <c r="C58" i="15" s="1"/>
  <c r="D21" i="9"/>
  <c r="D20" i="9"/>
  <c r="G21" i="9" l="1"/>
  <c r="G20" i="9"/>
  <c r="N43" i="9"/>
  <c r="C32" i="9"/>
  <c r="G22" i="9"/>
  <c r="C32" i="44"/>
  <c r="C42" i="44" s="1"/>
  <c r="Q71" i="44" s="1"/>
  <c r="Q70" i="44" s="1"/>
  <c r="L46" i="15"/>
  <c r="C55" i="15"/>
  <c r="C64" i="15" s="1"/>
  <c r="C57" i="15" s="1"/>
  <c r="C66" i="15" s="1"/>
  <c r="C67" i="15" s="1"/>
  <c r="C70" i="15" s="1"/>
  <c r="J15" i="44"/>
  <c r="J25" i="44" s="1"/>
  <c r="J18" i="44" s="1"/>
  <c r="J27" i="44" s="1"/>
  <c r="Q71" i="15"/>
  <c r="J35" i="15"/>
  <c r="C30" i="15"/>
  <c r="C39" i="15" s="1"/>
  <c r="C40" i="15" s="1"/>
  <c r="J16" i="15"/>
  <c r="J25" i="15" s="1"/>
  <c r="O43" i="9" l="1"/>
  <c r="C35" i="9"/>
  <c r="F42" i="9" s="1"/>
  <c r="O38" i="9"/>
  <c r="C42" i="9"/>
  <c r="C34" i="9"/>
  <c r="C33" i="9"/>
  <c r="C44" i="44"/>
  <c r="C45" i="44" s="1"/>
  <c r="L52" i="44" s="1"/>
  <c r="J39" i="15"/>
  <c r="J40" i="15" s="1"/>
  <c r="Q70" i="15"/>
  <c r="Q69" i="15" s="1"/>
  <c r="C46" i="15"/>
  <c r="Q57" i="15"/>
  <c r="B2" i="15"/>
  <c r="B3" i="15" s="1"/>
  <c r="Q48" i="15"/>
  <c r="Q54" i="15" s="1"/>
  <c r="Q66" i="15"/>
  <c r="C43" i="15"/>
  <c r="J42" i="15"/>
  <c r="J43" i="15" s="1"/>
  <c r="L51" i="15"/>
  <c r="L57" i="15" l="1"/>
  <c r="L60" i="15" s="1"/>
  <c r="Q67" i="15" s="1"/>
  <c r="Q76" i="15" s="1"/>
  <c r="Q68" i="15"/>
  <c r="B2" i="44"/>
  <c r="B5" i="44" s="1"/>
  <c r="D42" i="9"/>
  <c r="Q5" i="54" s="1"/>
  <c r="B47" i="63" s="1"/>
  <c r="N38" i="9"/>
  <c r="K28" i="9" s="1"/>
  <c r="C44" i="9"/>
  <c r="D14" i="66"/>
  <c r="N68" i="9"/>
  <c r="R5" i="54"/>
  <c r="B48" i="63" s="1"/>
  <c r="D63" i="9"/>
  <c r="M38" i="9"/>
  <c r="K27" i="9" s="1"/>
  <c r="E42" i="9"/>
  <c r="P5" i="54" s="1"/>
  <c r="B46" i="63" s="1"/>
  <c r="K26" i="9"/>
  <c r="K25" i="9"/>
  <c r="Q69" i="44"/>
  <c r="L58" i="44"/>
  <c r="L61" i="44" s="1"/>
  <c r="Q58" i="15" l="1"/>
  <c r="Q63" i="15" s="1"/>
  <c r="B4" i="44"/>
  <c r="B3" i="44"/>
  <c r="F14" i="66"/>
  <c r="E14" i="66"/>
  <c r="D73" i="9"/>
  <c r="N73" i="9" s="1"/>
  <c r="C96" i="9"/>
  <c r="C91" i="9" s="1"/>
  <c r="C103" i="9"/>
  <c r="C90" i="9"/>
  <c r="C97" i="9" s="1"/>
  <c r="C111" i="9"/>
  <c r="C104" i="9" s="1"/>
  <c r="C82" i="9"/>
  <c r="C81" i="9" s="1"/>
  <c r="C85" i="9" s="1"/>
  <c r="C86" i="9" s="1"/>
  <c r="D72" i="9" s="1"/>
  <c r="D70" i="9"/>
  <c r="D71" i="9"/>
  <c r="D66" i="9" s="1"/>
  <c r="N72" i="9" s="1"/>
  <c r="O39" i="9"/>
  <c r="F44" i="9"/>
  <c r="G14" i="66"/>
  <c r="D44" i="9"/>
  <c r="E44" i="9"/>
  <c r="N69" i="9"/>
  <c r="Q59" i="44"/>
  <c r="Q64" i="44" s="1"/>
  <c r="Q68" i="44"/>
  <c r="Q77" i="44" s="1"/>
  <c r="R6" i="54" l="1"/>
  <c r="B50" i="63" s="1"/>
  <c r="K29" i="9"/>
  <c r="K30" i="9" s="1"/>
  <c r="C113" i="9"/>
  <c r="M86" i="9"/>
  <c r="N86" i="9" s="1"/>
  <c r="M88" i="9"/>
  <c r="N88" i="9" s="1"/>
  <c r="M85" i="9"/>
  <c r="N85" i="9" s="1"/>
  <c r="M84" i="9"/>
  <c r="N84" i="9" s="1"/>
  <c r="M87" i="9"/>
  <c r="N87" i="9" s="1"/>
  <c r="M83" i="9"/>
  <c r="N83" i="9" s="1"/>
  <c r="C98" i="9"/>
  <c r="E98" i="9" s="1"/>
  <c r="E99" i="9" s="1"/>
  <c r="C99" i="9" l="1"/>
  <c r="N89" i="9"/>
  <c r="O89" i="9" s="1"/>
  <c r="C114" i="9"/>
  <c r="E114" i="9" s="1"/>
  <c r="E115" i="9" s="1"/>
  <c r="C115" i="9" l="1"/>
  <c r="D76" i="9" s="1"/>
  <c r="D74" i="9" s="1"/>
  <c r="N74" i="9" s="1"/>
  <c r="O77" i="9" s="1"/>
  <c r="O78" i="9" s="1"/>
  <c r="Q77" i="9" l="1"/>
  <c r="O79" i="9"/>
  <c r="O81" i="9" s="1"/>
  <c r="O80" i="9" l="1"/>
  <c r="D15" i="66" l="1"/>
  <c r="G15" i="66" l="1"/>
  <c r="B6" i="66" s="1"/>
  <c r="E15" i="66"/>
  <c r="F15" i="66"/>
  <c r="B5" i="66"/>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<sst xmlns="http://schemas.openxmlformats.org/spreadsheetml/2006/main" count="7486" uniqueCount="3288">
  <si>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</si>
  <si>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</si>
  <si>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</si>
  <si>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</si>
  <si>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</si>
  <si>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</si>
  <si>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</si>
  <si>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</si>
  <si>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</si>
  <si>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</si>
  <si>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</si>
  <si>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</si>
  <si>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</si>
  <si>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</si>
  <si>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</si>
  <si>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</si>
  <si>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</si>
  <si>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</si>
  <si>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</si>
  <si>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</si>
  <si>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</si>
  <si>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</si>
  <si>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</si>
  <si>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</si>
  <si>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</si>
  <si>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</si>
  <si>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</si>
  <si>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</si>
  <si>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</si>
  <si>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</si>
  <si>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</si>
  <si>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</si>
  <si>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</si>
  <si>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</si>
  <si>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</si>
  <si>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</si>
  <si>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</si>
  <si>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</si>
  <si>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</si>
  <si>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</si>
  <si>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</si>
  <si>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</si>
  <si>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</si>
  <si>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</si>
  <si>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</si>
  <si>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</si>
  <si>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</si>
  <si>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</si>
  <si>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</si>
  <si>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</si>
  <si>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</si>
  <si>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</si>
  <si>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</si>
  <si>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</si>
  <si>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</si>
  <si>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</si>
  <si>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</si>
  <si>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</si>
  <si>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</si>
  <si>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</si>
  <si>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</si>
  <si>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</si>
  <si>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</si>
  <si>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</si>
  <si>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</si>
  <si>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</si>
  <si>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</si>
  <si>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</si>
  <si>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</si>
  <si>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</si>
  <si>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</si>
  <si>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</si>
  <si>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</si>
  <si>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</si>
  <si>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</si>
  <si>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</si>
  <si>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</si>
  <si>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</si>
  <si>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</si>
  <si>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</si>
  <si>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</si>
  <si>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</si>
  <si>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</si>
  <si>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</si>
  <si>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</si>
  <si>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</si>
  <si>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</si>
  <si>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</si>
  <si>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</si>
  <si>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</si>
  <si>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</si>
  <si>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</si>
  <si>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</si>
  <si>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</si>
  <si>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</si>
  <si>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</si>
  <si>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</si>
  <si>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</si>
  <si>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</si>
  <si>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</si>
  <si>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</si>
  <si>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</si>
  <si>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</si>
  <si>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</si>
  <si>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</si>
  <si>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</si>
  <si>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</si>
  <si>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</si>
  <si>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</si>
  <si>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</si>
  <si>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</si>
  <si>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</si>
  <si>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</si>
  <si>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</si>
  <si>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</si>
  <si>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</si>
  <si>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</si>
  <si>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</si>
  <si>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</si>
  <si>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</si>
  <si>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</si>
  <si>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</si>
  <si>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</si>
  <si>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</si>
  <si>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</si>
  <si>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</si>
  <si>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</si>
  <si>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</si>
  <si>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</si>
  <si>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</si>
  <si>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</si>
  <si>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</si>
  <si>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</si>
  <si>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</si>
  <si>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</si>
  <si>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</si>
  <si>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</si>
  <si>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</si>
  <si>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</si>
  <si>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</si>
  <si>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</si>
  <si>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</si>
  <si>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</si>
  <si>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</si>
  <si>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</si>
  <si>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</si>
  <si>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</si>
  <si>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</si>
  <si>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</si>
  <si>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</si>
  <si>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</si>
  <si>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</si>
  <si>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</si>
  <si>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</si>
  <si>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</si>
  <si>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</si>
  <si>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</si>
  <si>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</si>
  <si>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</si>
  <si>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</si>
  <si>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</si>
  <si>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</si>
  <si>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</si>
  <si>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</si>
  <si>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</si>
  <si>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</si>
  <si>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</si>
  <si>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</si>
  <si>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</si>
  <si>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</si>
  <si>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</si>
  <si>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</si>
  <si>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</si>
  <si>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</si>
  <si>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</si>
  <si>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</si>
  <si>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</si>
  <si>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</si>
  <si>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</si>
  <si>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</si>
  <si>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</si>
  <si>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</si>
  <si>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</si>
  <si>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</si>
  <si>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</si>
  <si>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</si>
  <si>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</si>
  <si>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</si>
  <si>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</si>
  <si>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</si>
  <si>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</si>
  <si>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</si>
  <si>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</si>
  <si>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</si>
  <si>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</si>
  <si>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</si>
  <si>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</si>
  <si>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</si>
  <si>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</si>
  <si>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</si>
  <si>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</si>
  <si>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</si>
  <si>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</si>
  <si>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</si>
  <si>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</si>
  <si>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</si>
  <si>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</si>
  <si>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</si>
  <si>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</si>
  <si>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</si>
  <si>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</si>
  <si>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</si>
  <si>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</si>
  <si>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</si>
  <si>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</si>
  <si>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</si>
  <si>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</si>
  <si>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</si>
  <si>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</si>
  <si>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</si>
  <si>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</si>
  <si>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</si>
  <si>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</si>
  <si>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</si>
  <si>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</si>
  <si>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</si>
  <si>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</si>
  <si>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</si>
  <si>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</si>
  <si>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</si>
  <si>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</si>
  <si>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</si>
  <si>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</si>
  <si>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</si>
  <si>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</si>
  <si>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</si>
  <si>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</si>
  <si>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</si>
  <si>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</si>
  <si>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</si>
  <si>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</si>
  <si>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</si>
  <si>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</si>
  <si>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</si>
  <si>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</si>
  <si>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</si>
  <si>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</si>
  <si>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</si>
  <si>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</si>
  <si>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</si>
  <si>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</si>
  <si>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</si>
  <si>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</si>
  <si>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</si>
  <si>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</si>
  <si>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</si>
  <si>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</si>
  <si>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</si>
  <si>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</si>
  <si>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</si>
  <si>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</si>
  <si>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</si>
  <si>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</si>
  <si>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</si>
  <si>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</si>
  <si>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</si>
  <si>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</si>
  <si>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</si>
  <si>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</si>
  <si>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</si>
  <si>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</si>
  <si>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</si>
  <si>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</si>
  <si>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</si>
  <si>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</si>
  <si>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</si>
  <si>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</si>
  <si>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</si>
  <si>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</si>
  <si>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</si>
  <si>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</si>
  <si>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</si>
  <si>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</si>
  <si>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</si>
  <si>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</si>
  <si>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</si>
  <si>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</si>
  <si>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</si>
  <si>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</si>
  <si>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</si>
  <si>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</si>
  <si>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</si>
  <si>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</si>
  <si>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</si>
  <si>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</si>
  <si>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</si>
  <si>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</si>
  <si>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</si>
  <si>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</si>
  <si>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</si>
  <si>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</si>
  <si>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</si>
  <si>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</si>
  <si>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</si>
  <si>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</si>
  <si>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</si>
  <si>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</si>
  <si>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</si>
  <si>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</si>
  <si>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</si>
  <si>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</si>
  <si>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</si>
  <si>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</si>
  <si>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</si>
  <si>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</si>
  <si>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</si>
  <si>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</si>
  <si>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</si>
  <si>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</si>
  <si>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</si>
  <si>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</si>
  <si>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</si>
  <si>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</si>
  <si>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</si>
  <si>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</si>
  <si>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</si>
  <si>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</si>
  <si>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</si>
  <si>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</si>
  <si>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</si>
  <si>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</si>
  <si>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</si>
  <si>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</si>
  <si>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</si>
  <si>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</si>
  <si>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</si>
  <si>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</si>
  <si>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</si>
  <si>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</si>
  <si>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</si>
  <si>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</si>
  <si>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</si>
  <si>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</si>
  <si>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</si>
  <si>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</si>
  <si>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</si>
  <si>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</si>
  <si>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</si>
  <si>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</si>
  <si>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</si>
  <si>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</si>
  <si>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</si>
  <si>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</si>
  <si>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</si>
  <si>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</si>
  <si>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</si>
  <si>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</si>
  <si>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</si>
  <si>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</si>
  <si>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</si>
  <si>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</si>
  <si>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</si>
  <si>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</si>
  <si>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</si>
  <si>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</si>
  <si>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</si>
  <si>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</si>
  <si>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</si>
  <si>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</si>
  <si>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</si>
  <si>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</si>
  <si>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</si>
  <si>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</si>
  <si>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</si>
  <si>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</si>
  <si>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</si>
  <si>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</si>
  <si>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</si>
  <si>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</si>
  <si>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</si>
  <si>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</si>
  <si>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</si>
  <si>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</si>
  <si>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</si>
  <si>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</si>
  <si>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</si>
  <si>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</si>
  <si>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</si>
  <si>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</si>
  <si>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</si>
  <si>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</si>
  <si>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</si>
  <si>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</si>
  <si>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</si>
  <si>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</si>
  <si>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</si>
  <si>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</si>
  <si>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</si>
  <si>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</si>
  <si>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</si>
  <si>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</si>
  <si>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</si>
  <si>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</si>
  <si>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</si>
  <si>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</si>
  <si>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</si>
  <si>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</si>
  <si>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</si>
  <si>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</si>
  <si>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</si>
  <si>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</si>
  <si>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</si>
  <si>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</si>
  <si>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</si>
  <si>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</si>
  <si>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</si>
  <si>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</si>
  <si>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</si>
  <si>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</si>
  <si>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</si>
  <si>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</si>
  <si>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</si>
  <si>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</si>
  <si>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</si>
  <si>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</si>
  <si>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</si>
  <si>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</si>
  <si>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</si>
  <si>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</si>
  <si>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</si>
  <si>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</si>
  <si>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</si>
  <si>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</si>
  <si>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</si>
  <si>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</si>
  <si>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</si>
  <si>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</si>
  <si>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</si>
  <si>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</si>
  <si>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</si>
  <si>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</si>
  <si>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</si>
  <si>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</si>
  <si>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</si>
  <si>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</si>
  <si>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</si>
  <si>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</si>
  <si>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</si>
  <si>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</si>
  <si>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</si>
  <si>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</si>
  <si>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</si>
  <si>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</si>
  <si>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</si>
  <si>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</si>
  <si>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</si>
  <si>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</si>
  <si>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</si>
  <si>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</si>
  <si>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</si>
  <si>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</si>
  <si>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</si>
  <si>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</si>
  <si>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</si>
  <si>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</si>
  <si>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</si>
  <si>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</si>
  <si>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</si>
  <si>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</si>
  <si>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</si>
  <si>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</si>
  <si>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</si>
  <si>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</si>
  <si>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</si>
  <si>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</si>
  <si>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</si>
  <si>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</si>
  <si>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</si>
  <si>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</si>
  <si>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</si>
  <si>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</si>
  <si>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</si>
  <si>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</si>
  <si>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</si>
  <si>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</si>
  <si>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</si>
  <si>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</si>
  <si>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</si>
  <si>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</si>
  <si>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</si>
  <si>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</si>
  <si>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</si>
  <si>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</si>
  <si>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</si>
  <si>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</si>
  <si>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</si>
  <si>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</si>
  <si>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</si>
  <si>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</si>
  <si>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</si>
  <si>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</si>
  <si>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</si>
  <si>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</si>
  <si>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</si>
  <si>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</si>
  <si>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</si>
  <si>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</si>
  <si>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</si>
  <si>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</si>
  <si>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</si>
  <si>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</si>
  <si>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</si>
  <si>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</si>
  <si>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</si>
  <si>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</si>
  <si>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</si>
  <si>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</si>
  <si>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</si>
  <si>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</si>
  <si>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</si>
  <si>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</si>
  <si>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</si>
  <si>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</si>
  <si>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</si>
  <si>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</si>
  <si>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</si>
  <si>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</si>
  <si>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</si>
  <si>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</si>
  <si>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</si>
  <si>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</si>
  <si>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</si>
  <si>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</si>
  <si>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</si>
  <si>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</si>
  <si>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</si>
  <si>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</si>
  <si>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</si>
  <si>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</si>
  <si>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</si>
  <si>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</si>
  <si>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</si>
  <si>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</si>
  <si>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</si>
  <si>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</si>
  <si>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</si>
  <si>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</si>
  <si>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</si>
  <si>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</si>
  <si>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</si>
  <si>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</si>
  <si>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</si>
  <si>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</si>
  <si>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</si>
  <si>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</si>
  <si>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</si>
  <si>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</si>
  <si>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</si>
  <si>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</si>
  <si>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</si>
  <si>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</si>
  <si>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</si>
  <si>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</si>
  <si>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</si>
  <si>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</si>
  <si>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</si>
  <si>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</si>
  <si>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</si>
  <si>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</si>
  <si>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</si>
  <si>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</si>
  <si>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</si>
  <si>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</si>
  <si>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</si>
  <si>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</si>
  <si>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</si>
  <si>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</si>
  <si>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</si>
  <si>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</si>
  <si>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</si>
  <si>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</si>
  <si>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</si>
  <si>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</si>
  <si>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</si>
  <si>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</si>
  <si>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</si>
  <si>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</si>
  <si>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</si>
  <si>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</si>
  <si>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</si>
  <si>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</si>
  <si>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</si>
  <si>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</si>
  <si>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</si>
  <si>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</si>
  <si>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</si>
  <si>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</si>
  <si>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</si>
  <si>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</si>
  <si>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</si>
  <si>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</si>
  <si>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</si>
  <si>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</si>
  <si>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</si>
  <si>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</si>
  <si>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</si>
  <si>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</si>
  <si>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</si>
  <si>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</si>
  <si>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</si>
  <si>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</si>
  <si>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</si>
  <si>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</si>
  <si>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</si>
  <si>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</si>
  <si>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</si>
  <si>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</si>
  <si>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</si>
  <si>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</si>
  <si>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</si>
  <si>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</si>
  <si>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</si>
  <si>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</si>
  <si>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</si>
  <si>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</si>
  <si>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</si>
  <si>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</si>
  <si>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</si>
  <si>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</si>
  <si>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</si>
  <si>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</si>
  <si>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</si>
  <si>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</si>
  <si>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</si>
  <si>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</si>
  <si>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</si>
  <si>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</si>
  <si>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</si>
  <si>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</si>
  <si>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</si>
  <si>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</si>
  <si>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</si>
  <si>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</si>
  <si>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</si>
  <si>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</si>
  <si>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</si>
  <si>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</si>
  <si>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</si>
  <si>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</si>
  <si>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</si>
  <si>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</si>
  <si>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</si>
  <si>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</si>
  <si>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</si>
  <si>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</si>
  <si>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</si>
  <si>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</si>
  <si>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</si>
  <si>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</si>
  <si>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</si>
  <si>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</si>
  <si>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</si>
  <si>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</si>
  <si>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</si>
  <si>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</si>
  <si>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</si>
  <si>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</si>
  <si>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</si>
  <si>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</si>
  <si>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</si>
  <si>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</si>
  <si>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</si>
  <si>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</si>
  <si>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</si>
  <si>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</si>
  <si>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</si>
  <si>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</si>
  <si>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</si>
  <si>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</si>
  <si>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</si>
  <si>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</si>
  <si>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</si>
  <si>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</si>
  <si>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</si>
  <si>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</si>
  <si>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</si>
  <si>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</si>
  <si>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</si>
  <si>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</si>
  <si>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</si>
  <si>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</si>
  <si>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</si>
  <si>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</si>
  <si>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</si>
  <si>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</si>
  <si>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</si>
  <si>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</si>
  <si>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</si>
  <si>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</si>
  <si>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</si>
  <si>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</si>
  <si>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</si>
  <si>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</si>
  <si>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</si>
  <si>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</si>
  <si>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</si>
  <si>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</si>
  <si>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</si>
  <si>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</si>
  <si>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</si>
  <si>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</si>
  <si>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</si>
  <si>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</si>
  <si>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</si>
  <si>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</si>
  <si>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</si>
  <si>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</si>
  <si>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</si>
  <si>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</si>
  <si>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</si>
  <si>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</si>
  <si>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</si>
  <si>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</si>
  <si>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</si>
  <si>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</si>
  <si>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</si>
  <si>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</si>
  <si>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</si>
  <si>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</si>
  <si>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</si>
  <si>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</si>
  <si>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</si>
  <si>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</si>
  <si>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</si>
  <si>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</si>
  <si>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</si>
  <si>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</si>
  <si>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</si>
  <si>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</si>
  <si>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</si>
  <si>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</si>
  <si>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</si>
  <si>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</si>
  <si>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</si>
  <si>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</si>
  <si>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</si>
  <si>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</si>
  <si>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</si>
  <si>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</si>
  <si>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</si>
  <si>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</si>
  <si>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</si>
  <si>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</si>
  <si>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</si>
  <si>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</si>
  <si>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</si>
  <si>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</si>
  <si>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</si>
  <si>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</si>
  <si>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</si>
  <si>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</si>
  <si>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</si>
  <si>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</si>
  <si>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</si>
  <si>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</si>
  <si>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</si>
  <si>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</si>
  <si>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</si>
  <si>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</si>
  <si>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</si>
  <si>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</si>
  <si>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</si>
  <si>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</si>
  <si>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</si>
  <si>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</si>
  <si>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</si>
  <si>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</si>
  <si>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</si>
  <si>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</si>
  <si>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</si>
  <si>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</si>
  <si>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</si>
  <si>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</si>
  <si>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</si>
  <si>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</si>
  <si>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</si>
  <si>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</si>
  <si>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</si>
  <si>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</si>
  <si>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</si>
  <si>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</si>
  <si>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</si>
  <si>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</si>
  <si>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</si>
  <si>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</si>
  <si>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</si>
  <si>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</si>
  <si>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</si>
  <si>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</si>
  <si>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</si>
  <si>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</si>
  <si>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</si>
  <si>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</si>
  <si>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</si>
  <si>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</si>
  <si>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</si>
  <si>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</si>
  <si>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</si>
  <si>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</si>
  <si>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</si>
  <si>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</si>
  <si>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</si>
  <si>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</si>
  <si>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</si>
  <si>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</si>
  <si>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</si>
  <si>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</si>
  <si>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</si>
  <si>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</si>
  <si>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</si>
  <si>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</si>
  <si>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</si>
  <si>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</si>
  <si>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</si>
  <si>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</si>
  <si>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</si>
  <si>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</si>
  <si>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</si>
  <si>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</si>
  <si>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</si>
  <si>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</si>
  <si>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</si>
  <si>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</si>
  <si>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</si>
  <si>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</si>
  <si>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</si>
  <si>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</si>
  <si>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</si>
  <si>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</si>
  <si>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</si>
  <si>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</si>
  <si>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</si>
  <si>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</si>
  <si>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</si>
  <si>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</si>
  <si>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</si>
  <si>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</si>
  <si>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</si>
  <si>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</si>
  <si>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</si>
  <si>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</si>
  <si>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</si>
  <si>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</si>
  <si>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</si>
  <si>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</si>
  <si>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</si>
  <si>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</si>
  <si>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</si>
  <si>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</si>
  <si>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</si>
  <si>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</si>
  <si>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</si>
  <si>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</si>
  <si>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</si>
  <si>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</si>
  <si>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</si>
  <si>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</si>
  <si>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</si>
  <si>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</si>
  <si>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</si>
  <si>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</si>
  <si>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</si>
  <si>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</si>
  <si>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</si>
  <si>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</si>
  <si>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</si>
  <si>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</si>
  <si>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</si>
  <si>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</si>
  <si>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</si>
  <si>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</si>
  <si>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</si>
  <si>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</si>
  <si>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</si>
  <si>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</si>
  <si>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</si>
  <si>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</si>
  <si>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</si>
  <si>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</si>
  <si>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</si>
  <si>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</si>
  <si>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</si>
  <si>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</si>
  <si>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</si>
  <si>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</si>
  <si>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</si>
  <si>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</si>
  <si>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</si>
  <si>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</si>
  <si>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</si>
  <si>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</si>
  <si>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</si>
  <si>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</si>
  <si>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</si>
  <si>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</si>
  <si>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</si>
  <si>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</si>
  <si>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</si>
  <si>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</si>
  <si>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</si>
  <si>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</si>
  <si>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</si>
  <si>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</si>
  <si>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</si>
  <si>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</si>
  <si>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</si>
  <si>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</si>
  <si>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</si>
  <si>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</si>
  <si>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</si>
  <si>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</si>
  <si>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</si>
  <si>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</si>
  <si>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</si>
  <si>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</si>
  <si>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</si>
  <si>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</si>
  <si>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</si>
  <si>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</si>
  <si>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</si>
  <si>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</si>
  <si>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</si>
  <si>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</si>
  <si>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</si>
  <si>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</si>
  <si>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</si>
  <si>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</si>
  <si>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</si>
  <si>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</si>
  <si>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</si>
  <si>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</si>
  <si>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</si>
  <si>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</si>
  <si>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</si>
  <si>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</si>
  <si>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</si>
  <si>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</si>
  <si>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</si>
  <si>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</si>
  <si>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</si>
  <si>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</si>
  <si>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</si>
  <si>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</si>
  <si>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</si>
  <si>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</si>
  <si>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</si>
  <si>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</si>
  <si>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</si>
  <si>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</si>
  <si>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</si>
  <si>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</si>
  <si>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</si>
  <si>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</si>
  <si>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</si>
  <si>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</si>
  <si>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</si>
  <si>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</si>
  <si>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</si>
  <si>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</si>
  <si>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</si>
  <si>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</si>
  <si>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</si>
  <si>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</si>
  <si>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</si>
  <si>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</si>
  <si>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</si>
  <si>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</si>
  <si>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</si>
  <si>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</si>
  <si>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</si>
  <si>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</si>
  <si>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</si>
  <si>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</si>
  <si>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</si>
  <si>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</si>
  <si>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</si>
  <si>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</si>
  <si>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</si>
  <si>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</si>
  <si>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</si>
  <si>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</si>
  <si>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</si>
  <si>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</si>
  <si>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</si>
  <si>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</si>
  <si>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</si>
  <si>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</si>
  <si>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</si>
  <si>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</si>
  <si>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</si>
  <si>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</si>
  <si>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</si>
  <si>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</si>
  <si>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</si>
  <si>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</si>
  <si>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</si>
  <si>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</si>
  <si>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</si>
  <si>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</si>
  <si>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</si>
  <si>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</si>
  <si>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</si>
  <si>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</si>
  <si>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</si>
  <si>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</si>
  <si>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</si>
  <si>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</si>
  <si>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</si>
  <si>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</si>
  <si>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</si>
  <si>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</si>
  <si>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</si>
  <si>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</si>
  <si>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</si>
  <si>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</si>
  <si>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</si>
  <si>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</si>
  <si>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</si>
  <si>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</si>
  <si>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</si>
  <si>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</si>
  <si>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</si>
  <si>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</si>
  <si>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</si>
  <si>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</si>
  <si>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</si>
  <si>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</si>
  <si>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</si>
  <si>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</si>
  <si>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</si>
  <si>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</si>
  <si>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</si>
  <si>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</si>
  <si>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</si>
  <si>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</si>
  <si>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</si>
  <si>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</si>
  <si>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</si>
  <si>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</si>
  <si>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</si>
  <si>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</si>
  <si>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</si>
  <si>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</si>
  <si>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</si>
  <si>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</si>
  <si>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</si>
  <si>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</si>
  <si>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</si>
  <si>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</si>
  <si>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</si>
  <si>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</si>
  <si>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</si>
  <si>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</si>
  <si>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</si>
  <si>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</si>
  <si>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</si>
  <si>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</si>
  <si>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</si>
  <si>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</si>
  <si>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</si>
  <si>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</si>
  <si>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</si>
  <si>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</si>
  <si>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</si>
  <si>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</si>
  <si>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</si>
  <si>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</si>
  <si>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</si>
  <si>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</si>
  <si>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</si>
  <si>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</si>
  <si>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</si>
  <si>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</si>
  <si>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</si>
  <si>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</si>
  <si>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</si>
  <si>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</si>
  <si>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</si>
  <si>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</si>
  <si>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</si>
  <si>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</si>
  <si>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</si>
  <si>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</si>
  <si>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</si>
  <si>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</si>
  <si>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</si>
  <si>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</si>
  <si>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</si>
  <si>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</si>
  <si>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</si>
  <si>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</si>
  <si>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</si>
  <si>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</si>
  <si>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</si>
  <si>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</si>
  <si>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</si>
  <si>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</si>
  <si>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</si>
  <si>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</si>
  <si>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</si>
  <si>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</si>
  <si>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</si>
  <si>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</si>
  <si>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</si>
  <si>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</si>
  <si>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</si>
  <si>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</si>
  <si>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</si>
  <si>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</si>
  <si>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</si>
  <si>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</si>
  <si>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</si>
  <si>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</si>
  <si>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</si>
  <si>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</si>
  <si>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</si>
  <si>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</si>
  <si>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</si>
  <si>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</si>
  <si>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</si>
  <si>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</si>
  <si>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</si>
  <si>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</si>
  <si>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</si>
  <si>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</si>
  <si>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</si>
  <si>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</si>
  <si>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</si>
  <si>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</si>
  <si>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</si>
  <si>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</si>
  <si>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</si>
  <si>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</si>
  <si>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</si>
  <si>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</si>
  <si>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</si>
  <si>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</si>
  <si>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</si>
  <si>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</si>
  <si>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</si>
  <si>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</si>
  <si>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</si>
  <si>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</si>
  <si>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</si>
  <si>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</si>
  <si>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</si>
  <si>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</si>
  <si>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</si>
  <si>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</si>
  <si>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</si>
  <si>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</si>
  <si>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</si>
  <si>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</si>
  <si>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</si>
  <si>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</si>
  <si>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</si>
  <si>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</si>
  <si>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</si>
  <si>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</si>
  <si>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</si>
  <si>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</si>
  <si>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</si>
  <si>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</si>
  <si>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</si>
  <si>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</si>
  <si>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</si>
  <si>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</si>
  <si>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</si>
  <si>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</si>
  <si>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</si>
  <si>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</si>
  <si>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</si>
  <si>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</si>
  <si>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</si>
  <si>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</si>
  <si>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</si>
  <si>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</si>
  <si>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</si>
  <si>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</si>
  <si>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</si>
  <si>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</si>
  <si>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</si>
  <si>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</si>
  <si>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</si>
  <si>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</si>
  <si>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</si>
  <si>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</si>
  <si>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</si>
  <si>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</si>
  <si>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</si>
  <si>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</si>
  <si>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</si>
  <si>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</si>
  <si>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</si>
  <si>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</si>
  <si>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</si>
  <si>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</si>
  <si>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</si>
  <si>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</si>
  <si>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</si>
  <si>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</si>
  <si>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</si>
  <si>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</si>
  <si>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</si>
  <si>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</si>
  <si>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</si>
  <si>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</si>
  <si>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</si>
  <si>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</si>
  <si>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</si>
  <si>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</si>
  <si>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</si>
  <si>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</si>
  <si>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</si>
  <si>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</si>
  <si>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</si>
  <si>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</si>
  <si>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</si>
  <si>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</si>
  <si>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</si>
  <si>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</si>
  <si>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</si>
  <si>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</si>
  <si>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</si>
  <si>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</si>
  <si>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</si>
  <si>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</si>
  <si>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</si>
  <si>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</si>
  <si>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</si>
  <si>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</si>
  <si>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</si>
  <si>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</si>
  <si>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</si>
  <si>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</si>
  <si>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</si>
  <si>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</si>
  <si>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</si>
  <si>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</si>
  <si>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</si>
  <si>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</si>
  <si>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</si>
  <si>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</si>
  <si>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</si>
  <si>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</si>
  <si>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</si>
  <si>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</si>
  <si>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</si>
  <si>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</si>
  <si>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</si>
  <si>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</si>
  <si>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</si>
  <si>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</si>
  <si>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</si>
  <si>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</si>
  <si>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</si>
  <si>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</si>
  <si>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</si>
  <si>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</si>
  <si>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</si>
  <si>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</si>
  <si>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</si>
  <si>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</si>
  <si>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</si>
  <si>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</si>
  <si>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</si>
  <si>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</si>
  <si>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</si>
  <si>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</si>
  <si>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</si>
  <si>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</si>
  <si>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</si>
  <si>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</si>
  <si>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</si>
  <si>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</si>
  <si>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</si>
  <si>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</si>
  <si>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</si>
  <si>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</si>
  <si>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</si>
  <si>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</si>
  <si>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</si>
  <si>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</si>
  <si>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</si>
  <si>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</si>
  <si>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</si>
  <si>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</si>
  <si>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</si>
  <si>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</si>
  <si>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</si>
  <si>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</si>
  <si>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</si>
  <si>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</si>
  <si>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</si>
  <si>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</si>
  <si>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</si>
  <si>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</si>
  <si>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</si>
  <si>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</si>
  <si>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</si>
  <si>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</si>
  <si>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</si>
  <si>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</si>
  <si>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</si>
  <si>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</si>
  <si>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</si>
  <si>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</si>
  <si>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</si>
  <si>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</si>
  <si>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</si>
  <si>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</si>
  <si>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</si>
  <si>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</si>
  <si>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</si>
  <si>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</si>
  <si>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</si>
  <si>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</si>
  <si>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</si>
  <si>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</si>
  <si>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</si>
  <si>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</si>
  <si>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</si>
  <si>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</si>
  <si>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</si>
  <si>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</si>
  <si>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</si>
  <si>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</si>
  <si>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</si>
  <si>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</si>
  <si>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</si>
  <si>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</si>
  <si>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</si>
  <si>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</si>
  <si>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</si>
  <si>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</si>
  <si>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</si>
  <si>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</si>
  <si>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</si>
  <si>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</si>
  <si>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</si>
  <si>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</si>
  <si>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</si>
  <si>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</si>
  <si>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</si>
  <si>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</si>
  <si>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</si>
  <si>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</si>
  <si>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</si>
  <si>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</si>
  <si>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</si>
  <si>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</si>
  <si>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</si>
  <si>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</si>
  <si>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</si>
  <si>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</si>
  <si>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</si>
  <si>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</si>
  <si>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</si>
  <si>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</si>
  <si>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</si>
  <si>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</si>
  <si>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</si>
  <si>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</si>
  <si>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</si>
  <si>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</si>
  <si>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</si>
  <si>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</si>
  <si>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</si>
  <si>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</si>
  <si>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</si>
  <si>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</si>
  <si>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</si>
  <si>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</si>
  <si>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</si>
  <si>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</si>
  <si>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</si>
  <si>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</si>
  <si>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</si>
  <si>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</si>
  <si>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</si>
  <si>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</si>
  <si>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</si>
  <si>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</si>
  <si>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</si>
  <si>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</si>
  <si>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</si>
  <si>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</si>
  <si>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</si>
  <si>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</si>
  <si>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</si>
  <si>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</si>
  <si>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</si>
  <si>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</si>
  <si>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</si>
  <si>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</si>
  <si>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</si>
  <si>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</si>
  <si>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</si>
  <si>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</si>
  <si>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</si>
  <si>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</si>
  <si>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</si>
  <si>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</si>
  <si>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</si>
  <si>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</si>
  <si>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</si>
  <si>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</si>
  <si>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</si>
  <si>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</si>
  <si>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</si>
  <si>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</si>
  <si>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</si>
  <si>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</si>
  <si>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</si>
  <si>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</si>
  <si>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</si>
  <si>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</si>
  <si>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</si>
  <si>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</si>
  <si>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</si>
  <si>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</si>
  <si>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</si>
  <si>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</si>
  <si>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</si>
  <si>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</si>
  <si>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</si>
  <si>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</si>
  <si>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</si>
  <si>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</si>
  <si>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</si>
  <si>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</si>
  <si>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</si>
  <si>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</si>
  <si>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</si>
  <si>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</si>
  <si>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</si>
  <si>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</si>
  <si>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</si>
  <si>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</si>
  <si>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</si>
  <si>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</si>
  <si>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</si>
  <si>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</si>
  <si>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</si>
  <si>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</si>
  <si>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</si>
  <si>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</si>
  <si>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</si>
  <si>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</si>
  <si>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</si>
  <si>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</si>
  <si>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</si>
  <si>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</si>
  <si>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</si>
  <si>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</si>
  <si>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</si>
  <si>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</si>
  <si>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</si>
  <si>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</si>
  <si>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</si>
  <si>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</si>
  <si>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</si>
  <si>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</si>
  <si>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</si>
  <si>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</si>
  <si>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</si>
  <si>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</si>
  <si>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</si>
  <si>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</si>
  <si>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</si>
  <si>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</si>
  <si>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</si>
  <si>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</si>
  <si>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</si>
  <si>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</si>
  <si>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</si>
  <si>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</si>
  <si>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</si>
  <si>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</si>
  <si>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</si>
  <si>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</si>
  <si>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</si>
  <si>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</si>
  <si>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</si>
  <si>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</si>
  <si>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</si>
  <si>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</si>
  <si>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</si>
  <si>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</si>
  <si>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</si>
  <si>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</si>
  <si>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</si>
  <si>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</si>
  <si>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</si>
  <si>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</si>
  <si>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</si>
  <si>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</si>
  <si>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</si>
  <si>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</si>
  <si>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</si>
  <si>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</si>
  <si>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</si>
  <si>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</si>
  <si>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</si>
  <si>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</si>
  <si>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</si>
  <si>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</si>
  <si>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</si>
  <si>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</si>
  <si>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</si>
  <si>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</si>
  <si>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</si>
  <si>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</si>
  <si>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</si>
  <si>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</si>
  <si>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</si>
  <si>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</si>
  <si>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</si>
  <si>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</si>
  <si>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</si>
  <si>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</si>
  <si>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</si>
  <si>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</si>
  <si>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</si>
  <si>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</si>
  <si>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</si>
  <si>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</si>
  <si>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</si>
  <si>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</si>
  <si>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</si>
  <si>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</si>
  <si>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</si>
  <si>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</si>
  <si>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</si>
  <si>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</si>
  <si>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</si>
  <si>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</si>
  <si>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</si>
  <si>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</si>
  <si>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</si>
  <si>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</si>
  <si>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</si>
  <si>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</si>
  <si>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</si>
  <si>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</si>
  <si>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</si>
  <si>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</si>
  <si>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</si>
  <si>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</si>
  <si>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</si>
  <si>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</si>
  <si>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</si>
  <si>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</si>
  <si>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</si>
  <si>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</si>
  <si>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</si>
  <si>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</si>
  <si>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</si>
  <si>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</si>
  <si>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</si>
  <si>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</si>
  <si>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</si>
  <si>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</si>
  <si>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</si>
  <si>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</si>
  <si>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</si>
  <si>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</si>
  <si>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</si>
  <si>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</si>
  <si>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</si>
  <si>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</si>
  <si>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</si>
  <si>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</si>
  <si>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</si>
  <si>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</si>
  <si>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</si>
  <si>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</si>
  <si>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</si>
  <si>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</si>
  <si>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</si>
  <si>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</si>
  <si>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</si>
  <si>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</si>
  <si>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</si>
  <si>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</si>
  <si>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</si>
  <si>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</si>
  <si>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</si>
  <si>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</si>
  <si>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</si>
  <si>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</si>
  <si>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</si>
  <si>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</si>
  <si>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</si>
  <si>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</si>
  <si>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</si>
  <si>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</si>
  <si>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</si>
  <si>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</si>
  <si>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</si>
  <si>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</si>
  <si>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</si>
  <si>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</si>
  <si>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</si>
  <si>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</si>
  <si>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</si>
  <si>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</si>
  <si>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</si>
  <si>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</si>
  <si>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</si>
  <si>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</si>
  <si>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</si>
  <si>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</si>
  <si>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</si>
  <si>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</si>
  <si>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</si>
  <si>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</si>
  <si>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</si>
  <si>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</si>
  <si>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</si>
  <si>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</si>
  <si>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</si>
  <si>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</si>
  <si>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</si>
  <si>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</si>
  <si>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</si>
  <si>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</si>
  <si>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</si>
  <si>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</si>
  <si>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</si>
  <si>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</si>
  <si>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</si>
  <si>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</si>
  <si>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</si>
  <si>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</si>
  <si>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</si>
  <si>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</si>
  <si>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</si>
  <si>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</si>
  <si>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</si>
  <si>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</si>
  <si>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</si>
  <si>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</si>
  <si>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</si>
  <si>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</si>
  <si>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</si>
  <si>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</si>
  <si>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</si>
  <si>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</si>
  <si>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</si>
  <si>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</si>
  <si>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</si>
  <si>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</si>
  <si>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</si>
  <si>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</si>
  <si>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</si>
  <si>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</si>
  <si>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</si>
  <si>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</si>
  <si>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</si>
  <si>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</si>
  <si>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</si>
  <si>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</si>
  <si>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</si>
  <si>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</si>
  <si>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</si>
  <si>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</si>
  <si>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</si>
  <si>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</si>
  <si>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</si>
  <si>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</si>
  <si>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</si>
  <si>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</si>
  <si>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</si>
  <si>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</si>
  <si>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</si>
  <si>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</si>
  <si>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</si>
  <si>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</si>
  <si>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</si>
  <si>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</si>
  <si>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</si>
  <si>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</si>
  <si>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</si>
  <si>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</si>
  <si>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</si>
  <si>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</si>
  <si>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</si>
  <si>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</si>
  <si>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</si>
  <si>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</si>
  <si>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</si>
  <si>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</si>
  <si>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</si>
  <si>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</si>
  <si>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</si>
  <si>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</si>
  <si>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</si>
  <si>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</si>
  <si>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</si>
  <si>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</si>
  <si>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</si>
  <si>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</si>
  <si>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</si>
  <si>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</si>
  <si>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</si>
  <si>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</si>
  <si>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</si>
  <si>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</si>
  <si>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</si>
  <si>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</si>
  <si>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</si>
  <si>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</si>
  <si>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</si>
  <si>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</si>
  <si>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</si>
  <si>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</si>
  <si>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</si>
  <si>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</si>
  <si>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</si>
  <si>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</si>
  <si>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</si>
  <si>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</si>
  <si>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</si>
  <si>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</si>
  <si>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</si>
  <si>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</si>
  <si>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</si>
  <si>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</si>
  <si>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</si>
  <si>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</si>
  <si>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</si>
  <si>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</si>
  <si>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</si>
  <si>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</si>
  <si>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</si>
  <si>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</si>
  <si>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</si>
  <si>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</si>
  <si>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</si>
  <si>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</si>
  <si>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</si>
  <si>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</si>
  <si>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</si>
  <si>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</si>
  <si>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</si>
  <si>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</si>
  <si>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</si>
  <si>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</si>
  <si>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</si>
  <si>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</si>
  <si>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</si>
  <si>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</si>
  <si>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</si>
  <si>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</si>
  <si>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</si>
  <si>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</si>
  <si>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</si>
  <si>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</si>
  <si>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</si>
  <si>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</si>
  <si>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</si>
  <si>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</si>
  <si>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</si>
  <si>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</si>
  <si>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</si>
  <si>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</si>
  <si>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</si>
  <si>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</si>
  <si>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</si>
  <si>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</si>
  <si>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</si>
  <si>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</si>
  <si>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</si>
  <si>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</si>
  <si>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</si>
  <si>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</si>
  <si>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</si>
  <si>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</si>
  <si>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</si>
  <si>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</si>
  <si>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</si>
  <si>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</si>
  <si>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</si>
  <si>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</si>
  <si>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</si>
  <si>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</si>
  <si>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</si>
  <si>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</si>
  <si>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</si>
  <si>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</si>
  <si>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</si>
  <si>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</si>
  <si>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</si>
  <si>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</si>
  <si>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</si>
  <si>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</si>
  <si>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</si>
  <si>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</si>
  <si>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</si>
  <si>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</si>
  <si>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</si>
  <si>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</si>
  <si>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</si>
  <si>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</si>
  <si>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</si>
  <si>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</si>
  <si>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</si>
  <si>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</si>
  <si>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</si>
  <si>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</si>
  <si>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</si>
  <si>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</si>
  <si>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</si>
  <si>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</si>
  <si>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</si>
  <si>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</si>
  <si>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</si>
  <si>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</si>
  <si>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</si>
  <si>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</si>
  <si>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</si>
  <si>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</si>
  <si>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</si>
  <si>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</si>
  <si>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</si>
  <si>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</si>
  <si>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</si>
  <si>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</si>
  <si>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</si>
  <si>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</si>
  <si>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</si>
  <si>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</si>
  <si>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</si>
  <si>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</si>
  <si>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</si>
  <si>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</si>
  <si>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</si>
  <si>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</si>
  <si>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</si>
  <si>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</si>
  <si>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</si>
  <si>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</si>
  <si>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</si>
  <si>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</si>
  <si>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</si>
  <si>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</si>
  <si>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</si>
  <si>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</si>
  <si>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</si>
  <si>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</si>
  <si>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</si>
  <si>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</si>
  <si>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</si>
  <si>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</si>
  <si>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</si>
  <si>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</si>
  <si>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</si>
  <si>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</si>
  <si>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</si>
  <si>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</si>
  <si>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</si>
  <si>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</si>
  <si>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</si>
  <si>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</si>
  <si>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</si>
  <si>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</si>
  <si>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</si>
  <si>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</si>
  <si>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</si>
  <si>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</si>
  <si>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</si>
  <si>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</si>
  <si>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</si>
  <si>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</si>
  <si>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</si>
  <si>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</si>
  <si>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</si>
  <si>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</si>
  <si>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</si>
  <si>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</si>
  <si>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</si>
  <si>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</si>
  <si>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</si>
  <si>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</si>
  <si>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</si>
  <si>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</si>
  <si>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</si>
  <si>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</si>
  <si>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</si>
  <si>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</si>
  <si>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</si>
  <si>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</si>
  <si>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</si>
  <si>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</si>
  <si>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</si>
  <si>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</si>
  <si>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</si>
  <si>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</si>
  <si>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</si>
  <si>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</si>
  <si>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</si>
  <si>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</si>
  <si>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</si>
  <si>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</si>
  <si>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</si>
  <si>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</si>
  <si>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</si>
  <si>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</si>
  <si>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</si>
  <si>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</si>
  <si>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</si>
  <si>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</si>
  <si>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</si>
  <si>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</si>
  <si>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</si>
  <si>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</si>
  <si>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</si>
  <si>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</si>
  <si>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</si>
  <si>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</si>
  <si>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</si>
  <si>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</si>
  <si>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</si>
  <si>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</si>
  <si>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</si>
  <si>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</si>
  <si>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</si>
  <si>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</si>
  <si>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</si>
  <si>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</si>
  <si>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</si>
  <si>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</si>
  <si>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</si>
  <si>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</si>
  <si>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</si>
  <si>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</si>
  <si>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</si>
  <si>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</si>
  <si>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</si>
  <si>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</si>
  <si>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</si>
  <si>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</si>
  <si>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</si>
  <si>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</si>
  <si>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</si>
  <si>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</si>
  <si>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</si>
  <si>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</si>
  <si>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</si>
  <si>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</si>
  <si>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</si>
  <si>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</si>
  <si>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</si>
  <si>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</si>
  <si>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</si>
  <si>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</si>
  <si>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</si>
  <si>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</si>
  <si>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</si>
  <si>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</si>
  <si>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</si>
  <si>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</si>
  <si>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</si>
  <si>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</si>
  <si>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</si>
  <si>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</si>
  <si>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</si>
  <si>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</si>
  <si>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</si>
  <si>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</si>
  <si>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</si>
  <si>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</si>
  <si>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</si>
  <si>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</si>
  <si>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</si>
  <si>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</si>
  <si>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</si>
  <si>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</si>
  <si>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</si>
  <si>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</si>
  <si>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</si>
  <si>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</si>
  <si>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</si>
  <si>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</si>
  <si>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</si>
  <si>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</si>
  <si>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</si>
  <si>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</si>
  <si>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</si>
  <si>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</si>
  <si>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</si>
  <si>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</si>
  <si>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</si>
  <si>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</si>
  <si>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</si>
  <si>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</si>
  <si>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</si>
  <si>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</si>
  <si>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</si>
  <si>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</si>
  <si>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</si>
  <si>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</si>
  <si>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</si>
  <si>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</si>
  <si>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</si>
  <si>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</si>
  <si>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</si>
  <si>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</si>
  <si>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</si>
  <si>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</si>
  <si>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</si>
  <si>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</si>
  <si>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</si>
  <si>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</si>
  <si>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</si>
  <si>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</si>
  <si>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</si>
  <si>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</si>
  <si>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</si>
  <si>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</si>
  <si>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</si>
  <si>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</si>
  <si>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</si>
  <si>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</si>
  <si>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</si>
  <si>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</si>
  <si>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</si>
  <si>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</si>
  <si>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</si>
  <si>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</si>
  <si>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</si>
  <si>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</si>
  <si>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</si>
  <si>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</si>
  <si>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</si>
  <si>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</si>
  <si>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</si>
  <si>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</si>
  <si>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</si>
  <si>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</si>
  <si>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</si>
  <si>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</si>
  <si>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</si>
  <si>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</si>
  <si>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</si>
  <si>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</si>
  <si>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</si>
  <si>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</si>
  <si>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</si>
  <si>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</si>
  <si>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</si>
  <si>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</si>
  <si>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</si>
  <si>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</si>
  <si>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</si>
  <si>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</si>
  <si>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</si>
  <si>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</si>
  <si>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</si>
  <si>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</si>
  <si>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</si>
  <si>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</si>
  <si>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</si>
  <si>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</si>
  <si>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</si>
  <si>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</si>
  <si>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</si>
  <si>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</si>
  <si>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</si>
  <si>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</si>
  <si>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</si>
  <si>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</si>
  <si>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</si>
  <si>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</si>
  <si>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</si>
  <si>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</si>
  <si>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</si>
  <si>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</si>
  <si>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</si>
  <si>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</si>
  <si>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</si>
  <si>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</si>
  <si>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</si>
  <si>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</si>
  <si>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</si>
  <si>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</si>
  <si>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</si>
  <si>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</si>
  <si>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</si>
  <si>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</si>
  <si>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</si>
  <si>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</si>
  <si>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</si>
  <si>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</si>
  <si>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</si>
  <si>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</si>
  <si>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</si>
  <si>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</si>
  <si>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</si>
  <si>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</si>
  <si>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</si>
  <si>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</si>
  <si>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</si>
  <si>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</si>
  <si>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</si>
  <si>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</si>
  <si>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</si>
  <si>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</si>
  <si>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</si>
  <si>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</si>
  <si>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</si>
  <si>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</si>
  <si>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</si>
  <si>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</si>
  <si>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</si>
  <si>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</si>
  <si>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</si>
  <si>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</si>
  <si>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</si>
  <si>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</si>
  <si>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</si>
  <si>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</si>
  <si>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</si>
  <si>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</si>
  <si>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</si>
  <si>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</si>
  <si>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</si>
  <si>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</si>
  <si>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</si>
  <si>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</si>
  <si>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</si>
  <si>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</si>
  <si>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</si>
  <si>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</si>
  <si>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</si>
  <si>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</si>
  <si>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</si>
  <si>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</si>
  <si>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</si>
  <si>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</si>
  <si>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</si>
  <si>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</si>
  <si>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</si>
  <si>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</si>
  <si>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</si>
  <si>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</si>
  <si>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</si>
  <si>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</si>
  <si>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</si>
  <si>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</si>
  <si>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</si>
  <si>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</si>
  <si>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</si>
  <si>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</si>
  <si>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</si>
  <si>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</si>
  <si>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</si>
  <si>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</si>
  <si>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</si>
  <si>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</si>
  <si>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</si>
  <si>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</si>
  <si>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</si>
  <si>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</si>
  <si>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</si>
  <si>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</si>
  <si>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</si>
  <si>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</si>
  <si>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</si>
  <si>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</si>
  <si>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</si>
  <si>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</si>
  <si>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</si>
  <si>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</si>
  <si>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</si>
  <si>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</si>
  <si>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</si>
  <si>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</si>
  <si>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</si>
  <si>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</si>
  <si>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</si>
  <si>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</si>
  <si>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</si>
  <si>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</si>
  <si>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</si>
  <si>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</si>
  <si>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</si>
  <si>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</si>
  <si>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</si>
  <si>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</si>
  <si>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</si>
  <si>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</si>
  <si>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</si>
  <si>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</si>
  <si>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</si>
  <si>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</si>
  <si>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</si>
  <si>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</si>
  <si>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</si>
  <si>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</si>
  <si>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</si>
  <si>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</si>
  <si>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</si>
  <si>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</si>
  <si>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</si>
  <si>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</si>
  <si>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</si>
  <si>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</si>
  <si>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</si>
  <si>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</si>
  <si>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</si>
  <si>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</si>
  <si>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</si>
  <si>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</si>
  <si>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</si>
  <si>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</si>
  <si>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</si>
  <si>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</si>
  <si>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</si>
  <si>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</si>
  <si>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</si>
  <si>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</si>
  <si>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</si>
  <si>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</si>
  <si>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</si>
  <si>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</si>
  <si>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</si>
  <si>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</si>
  <si>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</si>
  <si>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</si>
  <si>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</si>
  <si>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</si>
  <si>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</si>
  <si>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</si>
  <si>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</si>
  <si>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</si>
  <si>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</si>
  <si>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</si>
  <si>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</si>
  <si>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</si>
  <si>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</si>
  <si>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</si>
  <si>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</si>
  <si>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</si>
  <si>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</si>
  <si>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</si>
  <si>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</si>
  <si>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</si>
  <si>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</si>
  <si>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</si>
  <si>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</si>
  <si>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</si>
  <si>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</si>
  <si>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</si>
  <si>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</si>
  <si>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</si>
  <si>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</si>
  <si>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</si>
  <si>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</si>
  <si>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</si>
  <si>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</si>
  <si>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</si>
  <si>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</si>
  <si>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</si>
  <si>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</si>
  <si>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</si>
  <si>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</si>
  <si>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</si>
  <si>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</si>
  <si>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</si>
  <si>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</si>
  <si>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</si>
  <si>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</si>
  <si>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</si>
  <si>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</si>
  <si>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</si>
  <si>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</si>
  <si>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</si>
  <si>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</si>
  <si>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</si>
  <si>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</si>
  <si>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</si>
  <si>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</si>
  <si>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</si>
  <si>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</si>
  <si>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</si>
  <si>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</si>
  <si>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</si>
  <si>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</si>
  <si>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</si>
  <si>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</si>
  <si>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</si>
  <si>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</si>
  <si>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</si>
  <si>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</si>
  <si>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</si>
  <si>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</si>
  <si>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</si>
  <si>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</si>
  <si>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</si>
  <si>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</si>
  <si>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</si>
  <si>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</si>
  <si>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</si>
  <si>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</si>
  <si>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</si>
  <si>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</si>
  <si>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</si>
  <si>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</si>
  <si>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</si>
  <si>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</si>
  <si>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</si>
  <si>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</si>
  <si>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</si>
  <si>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</si>
  <si>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</si>
  <si>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</si>
  <si>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</si>
  <si>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</si>
  <si>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</si>
  <si>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</si>
  <si>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</si>
  <si>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</si>
  <si>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</si>
  <si>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</si>
  <si>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</si>
  <si>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</si>
  <si>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</si>
  <si>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</si>
  <si>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</si>
  <si>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</si>
  <si>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</si>
  <si>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</si>
  <si>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</si>
  <si>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</si>
  <si>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</si>
  <si>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</si>
  <si>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</si>
  <si>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</si>
  <si>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</si>
  <si>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</si>
  <si>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</si>
  <si>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</si>
  <si>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</si>
  <si>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</si>
  <si>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</si>
  <si>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</si>
  <si>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</si>
  <si>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</si>
  <si>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</si>
  <si>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</si>
  <si>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</si>
  <si>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</si>
  <si>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</si>
  <si>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</si>
  <si>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</si>
  <si>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</si>
  <si>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</si>
  <si>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</si>
  <si>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</si>
  <si>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</si>
  <si>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</si>
  <si>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</si>
  <si>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</si>
  <si>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</si>
  <si>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</si>
  <si>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</si>
  <si>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</si>
  <si>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</si>
  <si>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</si>
  <si>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</si>
  <si>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</si>
  <si>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</si>
  <si>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</si>
  <si>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</si>
  <si>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</si>
  <si>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</si>
  <si>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</si>
  <si>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</si>
  <si>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</si>
  <si>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</si>
  <si>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</si>
  <si>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</si>
  <si>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</si>
  <si>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</si>
  <si>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</si>
  <si>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</si>
  <si>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</si>
  <si>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</si>
  <si>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</si>
  <si>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</si>
  <si>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</si>
  <si>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</si>
  <si>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</si>
  <si>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</si>
  <si>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</si>
  <si>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</si>
  <si>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</si>
  <si>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</si>
  <si>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</si>
  <si>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</si>
  <si>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</si>
  <si>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</si>
  <si>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</si>
  <si>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</si>
  <si>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</si>
  <si>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</si>
  <si>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</si>
  <si>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</si>
  <si>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</si>
  <si>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</si>
  <si>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</si>
  <si>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</si>
  <si>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</si>
  <si>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</si>
  <si>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</si>
  <si>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</si>
  <si>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</si>
  <si>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</si>
  <si>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</si>
  <si>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</si>
  <si>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</si>
  <si>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</si>
  <si>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</si>
  <si>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</si>
  <si>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</si>
  <si>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</si>
  <si>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</si>
  <si>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</si>
  <si>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</si>
  <si>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</si>
  <si>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</si>
  <si>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</si>
  <si>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</si>
  <si>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</si>
  <si>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</si>
  <si>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</si>
  <si>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</si>
  <si>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</si>
  <si>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</si>
  <si>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</si>
  <si>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</si>
  <si>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</si>
  <si>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</si>
  <si>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</si>
  <si>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</si>
  <si>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</si>
  <si>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</si>
  <si>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</si>
  <si>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</si>
  <si>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</si>
  <si>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</si>
  <si>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</si>
  <si>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</si>
  <si>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</si>
  <si>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</si>
  <si>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</si>
  <si>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</si>
  <si>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</si>
  <si>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</si>
  <si>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</si>
  <si>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</si>
  <si>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</si>
  <si>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</si>
  <si>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</si>
  <si>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</si>
  <si>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</si>
  <si>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</si>
  <si>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</si>
  <si>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</si>
  <si>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</si>
  <si>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</si>
  <si>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</si>
  <si>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</si>
  <si>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</si>
  <si>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</si>
  <si>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</si>
  <si>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</si>
  <si>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</si>
  <si>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</si>
  <si>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</si>
  <si>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</si>
  <si>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</si>
  <si>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</si>
  <si>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</si>
  <si>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</si>
  <si>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</si>
  <si>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</si>
  <si>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</si>
  <si>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</si>
  <si>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</si>
  <si>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</si>
  <si>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</si>
  <si>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</si>
  <si>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</si>
  <si>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</si>
  <si>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</si>
  <si>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</si>
  <si>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</si>
  <si>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</si>
  <si>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</si>
  <si>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</si>
  <si>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</si>
  <si>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</si>
  <si>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</si>
  <si>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</si>
  <si>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</si>
  <si>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</si>
  <si>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</si>
  <si>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</si>
  <si>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</si>
  <si>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</si>
  <si>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</si>
  <si>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</si>
  <si>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</si>
  <si>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</si>
  <si>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</si>
  <si>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</si>
  <si>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</si>
  <si>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</si>
  <si>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</si>
  <si>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</si>
  <si>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</si>
  <si>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</si>
  <si>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</si>
  <si>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</si>
  <si>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</si>
  <si>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</si>
  <si>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</si>
  <si>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</si>
  <si>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</si>
  <si>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</si>
  <si>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</si>
  <si>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</si>
  <si>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</si>
  <si>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</si>
  <si>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</si>
  <si>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</si>
  <si>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</si>
  <si>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</si>
  <si>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</si>
  <si>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</si>
  <si>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</si>
  <si>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</si>
  <si>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</si>
  <si>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</si>
  <si>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</si>
  <si>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</si>
  <si>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</si>
  <si>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</si>
  <si>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</si>
  <si>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</si>
  <si>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</si>
  <si>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</si>
  <si>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</si>
  <si>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</si>
  <si>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</si>
  <si>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</si>
  <si>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</si>
  <si>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</si>
  <si>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</si>
  <si>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</si>
  <si>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</si>
  <si>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</si>
  <si>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</si>
  <si>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</si>
  <si>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</si>
  <si>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</si>
  <si>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</si>
  <si>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</si>
  <si>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</si>
  <si>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</si>
  <si>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</si>
  <si>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</si>
  <si>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</si>
  <si>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</si>
  <si>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</si>
  <si>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</si>
  <si>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</si>
  <si>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</si>
  <si>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</si>
  <si>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</si>
  <si>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</si>
  <si>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</si>
  <si>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</si>
  <si>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</si>
  <si>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</si>
  <si>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</si>
  <si>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</si>
  <si>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</si>
  <si>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</si>
  <si>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</si>
  <si>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</si>
  <si>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</si>
  <si>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</si>
  <si>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</si>
  <si>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</si>
  <si>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</si>
  <si>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</si>
  <si>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</si>
  <si>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</si>
  <si>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</si>
  <si>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</si>
  <si>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</si>
  <si>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</si>
  <si>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</si>
  <si>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</si>
  <si>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</si>
  <si>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</si>
  <si>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</si>
  <si>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</si>
  <si>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</si>
  <si>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</si>
  <si>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</si>
  <si>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</si>
  <si>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</si>
  <si>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</si>
  <si>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</si>
  <si>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</si>
  <si>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</si>
  <si>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</si>
  <si>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</si>
  <si>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</si>
  <si>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</si>
  <si>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</si>
  <si>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</si>
  <si>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</si>
  <si>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</si>
  <si>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</si>
  <si>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</si>
  <si>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</si>
  <si>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</si>
  <si>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</si>
  <si>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</si>
  <si>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</si>
  <si>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</si>
  <si>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</si>
  <si>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</si>
  <si>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</si>
  <si>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</si>
  <si>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</si>
  <si>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</si>
  <si>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</si>
  <si>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</si>
  <si>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</si>
  <si>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</si>
  <si>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</si>
  <si>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</si>
  <si>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</si>
  <si>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</si>
  <si>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</si>
  <si>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</si>
  <si>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</si>
  <si>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</si>
  <si>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</si>
  <si>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</si>
  <si>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</si>
  <si>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</si>
  <si>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</si>
  <si>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</si>
  <si>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</si>
  <si>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</si>
  <si>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</si>
  <si>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</si>
  <si>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</si>
  <si>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</si>
  <si>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</si>
  <si>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</si>
  <si>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</si>
  <si>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</si>
  <si>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</si>
  <si>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</si>
  <si>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</si>
  <si>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</si>
  <si>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</si>
  <si>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</si>
  <si>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</si>
  <si>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</si>
  <si>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</si>
  <si>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</si>
  <si>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</si>
  <si>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</si>
  <si>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</si>
  <si>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</si>
  <si>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</si>
  <si>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</si>
  <si>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</si>
  <si>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</si>
  <si>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</si>
  <si>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</si>
  <si>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</si>
  <si>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</si>
  <si>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</si>
  <si>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</si>
  <si>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</si>
  <si>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</si>
  <si>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</si>
  <si>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</si>
  <si>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</si>
  <si>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</si>
  <si>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</si>
  <si>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</si>
  <si>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</si>
  <si>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</si>
  <si>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</si>
  <si>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</si>
  <si>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</si>
  <si>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</si>
  <si>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</si>
  <si>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</si>
  <si>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</si>
  <si>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</si>
  <si>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</si>
  <si>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</si>
  <si>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</si>
  <si>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</si>
  <si>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</si>
  <si>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</si>
  <si>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</si>
  <si>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</si>
  <si>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</si>
  <si>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</si>
  <si>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</si>
  <si>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</si>
  <si>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</si>
  <si>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</si>
  <si>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</si>
  <si>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</si>
  <si>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</si>
  <si>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</si>
  <si>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</si>
  <si>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</si>
  <si>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</si>
  <si>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</si>
  <si>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</si>
  <si>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</si>
  <si>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</si>
  <si>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</si>
  <si>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</si>
  <si>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</si>
  <si>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</si>
  <si>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</si>
  <si>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</si>
  <si>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</si>
  <si>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</si>
  <si>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</si>
  <si>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</si>
  <si>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</si>
  <si>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</si>
  <si>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</si>
  <si>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</si>
  <si>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</si>
  <si>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</si>
  <si>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</si>
  <si>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</si>
  <si>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</si>
  <si>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</si>
  <si>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</si>
  <si>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</si>
  <si>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</si>
  <si>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</si>
  <si>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</si>
  <si>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</si>
  <si>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</si>
  <si>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</si>
  <si>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</si>
  <si>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</si>
  <si>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</si>
  <si>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</si>
  <si>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</si>
  <si>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</si>
  <si>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</si>
  <si>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</si>
  <si>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</si>
  <si>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</si>
  <si>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</si>
  <si>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</si>
  <si>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</si>
  <si>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</si>
  <si>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</si>
  <si>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</si>
  <si>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</si>
  <si>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</si>
  <si>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</si>
  <si>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</si>
  <si>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</si>
  <si>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</si>
  <si>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</si>
  <si>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</si>
  <si>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</si>
  <si>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</si>
  <si>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</si>
  <si>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</si>
  <si>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</si>
  <si>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</si>
  <si>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</si>
  <si>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</si>
  <si>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</si>
  <si>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</si>
  <si>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</si>
  <si>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</si>
  <si>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</si>
  <si>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</si>
  <si>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</si>
  <si>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</si>
  <si>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</si>
  <si>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</si>
  <si>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</si>
  <si>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</si>
  <si>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</si>
  <si>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</si>
  <si>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</si>
  <si>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</si>
  <si>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</si>
  <si>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</si>
  <si>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</si>
  <si>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</si>
  <si>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</si>
  <si>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</si>
  <si>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</si>
  <si>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</si>
  <si>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</si>
  <si>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</si>
  <si>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</si>
  <si>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</si>
  <si>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</si>
  <si>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</si>
  <si>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</si>
  <si>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</si>
  <si>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</si>
  <si>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</si>
  <si>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</si>
  <si>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</si>
  <si>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</si>
  <si>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</si>
  <si>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</si>
  <si>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</si>
  <si>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</si>
  <si>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</si>
  <si>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</si>
  <si>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</si>
  <si>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</si>
  <si>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</si>
  <si>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</si>
  <si>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</si>
  <si>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</si>
  <si>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</si>
  <si>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</si>
  <si>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</si>
  <si>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</si>
  <si>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</si>
  <si>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</si>
  <si>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</si>
  <si>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</si>
  <si>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</si>
  <si>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</si>
  <si>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</si>
  <si>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</si>
  <si>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</si>
  <si>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</si>
  <si>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</si>
  <si>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</si>
  <si>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</si>
  <si>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</si>
  <si>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</si>
  <si>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</si>
  <si>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</si>
  <si>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</si>
  <si>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</si>
  <si>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</si>
  <si>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</si>
  <si>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</si>
  <si>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</si>
  <si>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</si>
  <si>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</si>
  <si>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</si>
  <si>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</si>
  <si>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</si>
  <si>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</si>
  <si>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</si>
  <si>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</si>
  <si>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</si>
  <si>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</si>
  <si>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</si>
  <si>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</si>
  <si>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</si>
  <si>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</si>
  <si>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</si>
  <si>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</si>
  <si>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</si>
  <si>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</si>
  <si>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</si>
  <si>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</si>
  <si>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</si>
  <si>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</si>
  <si>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</si>
  <si>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</si>
  <si>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</si>
  <si>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</si>
  <si>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</si>
  <si>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</si>
  <si>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</si>
  <si>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</si>
  <si>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</si>
  <si>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</si>
  <si>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</si>
  <si>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</si>
  <si>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</si>
  <si>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</si>
  <si>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</si>
  <si>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</si>
  <si>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</si>
  <si>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</si>
  <si>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</si>
  <si>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</si>
  <si>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</si>
  <si>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</si>
  <si>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</si>
  <si>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</si>
  <si>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</si>
  <si>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</si>
  <si>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</si>
  <si>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</si>
  <si>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</si>
  <si>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</si>
  <si>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</si>
  <si>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</si>
  <si>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</si>
  <si>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</si>
  <si>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</si>
  <si>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</si>
  <si>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</si>
  <si>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</si>
  <si>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</si>
  <si>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</si>
  <si>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</si>
  <si>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</si>
  <si>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</si>
  <si>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</si>
  <si>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</si>
  <si>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</si>
  <si>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</si>
  <si>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</si>
  <si>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</si>
  <si>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</si>
  <si>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</si>
  <si>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</si>
  <si>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</si>
  <si>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</si>
  <si>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</si>
  <si>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</si>
  <si>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</si>
  <si>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</si>
  <si>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</si>
  <si>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</si>
  <si>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</si>
  <si>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</si>
  <si>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</si>
  <si>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</si>
  <si>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</si>
  <si>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</si>
  <si>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</si>
  <si>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</si>
  <si>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</si>
  <si>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</si>
  <si>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</si>
  <si>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</si>
  <si>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</si>
  <si>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</si>
  <si>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</si>
  <si>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</si>
  <si>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</si>
  <si>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</si>
  <si>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</si>
  <si>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</si>
  <si>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</si>
  <si>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</si>
  <si>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</si>
  <si>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</si>
  <si>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</si>
  <si>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</si>
  <si>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</si>
  <si>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</si>
  <si>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</si>
  <si>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</si>
  <si>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</si>
  <si>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</si>
  <si>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</si>
  <si>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</si>
  <si>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</si>
  <si>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</si>
  <si>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LPR</t>
  </si>
  <si>
    <t>利息：取LPR</t>
  </si>
  <si>
    <t>抵押价格</t>
  </si>
  <si>
    <t>企业</t>
  </si>
  <si>
    <t>一致</t>
  </si>
  <si>
    <t>符合</t>
  </si>
  <si>
    <t>地下仓储</t>
  </si>
  <si>
    <t>居住项目</t>
  </si>
  <si>
    <t>场地平整</t>
  </si>
  <si>
    <t>通路</t>
  </si>
  <si>
    <t>通电</t>
  </si>
  <si>
    <t>通讯</t>
  </si>
  <si>
    <t>通上水</t>
  </si>
  <si>
    <t>通下水</t>
  </si>
  <si>
    <t>通热</t>
  </si>
  <si>
    <t>燃气</t>
  </si>
  <si>
    <t>地上</t>
  </si>
  <si>
    <t>地下</t>
  </si>
  <si>
    <t>住宅</t>
    <phoneticPr fontId="8" type="noConversion"/>
  </si>
  <si>
    <r>
      <rPr>
        <sz val="11"/>
        <color theme="9" tint="-0.249977111117893"/>
        <rFont val="宋体"/>
        <family val="3"/>
        <charset val="134"/>
      </rPr>
      <t>项目位置</t>
    </r>
    <phoneticPr fontId="4" type="noConversion"/>
  </si>
  <si>
    <t>正常</t>
  </si>
  <si>
    <t>一般</t>
  </si>
  <si>
    <t>较好</t>
  </si>
  <si>
    <t>五通</t>
  </si>
  <si>
    <r>
      <rPr>
        <sz val="11"/>
        <color indexed="8"/>
        <rFont val="宋体"/>
        <family val="3"/>
        <charset val="134"/>
      </rPr>
      <t>正常</t>
    </r>
  </si>
  <si>
    <t>七通</t>
  </si>
  <si>
    <t>楼面地价</t>
  </si>
  <si>
    <t>比较法-住宅、综合</t>
  </si>
  <si>
    <t>剩余法-待开发</t>
  </si>
  <si>
    <t>车库</t>
  </si>
  <si>
    <t>改规部分</t>
    <phoneticPr fontId="4" type="noConversion"/>
  </si>
  <si>
    <t>车库</t>
    <phoneticPr fontId="8" type="noConversion"/>
  </si>
  <si>
    <r>
      <rPr>
        <b/>
        <sz val="16"/>
        <color indexed="10"/>
        <rFont val="宋体"/>
        <family val="3"/>
        <charset val="134"/>
      </rPr>
      <t>比较法</t>
    </r>
    <phoneticPr fontId="4" type="noConversion"/>
  </si>
  <si>
    <r>
      <rPr>
        <b/>
        <sz val="16"/>
        <rFont val="宋体"/>
        <family val="3"/>
        <charset val="134"/>
      </rPr>
      <t>─</t>
    </r>
    <phoneticPr fontId="4"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</si>
  <si>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</si>
  <si>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</si>
  <si>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</si>
  <si>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</si>
  <si>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</si>
  <si>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</si>
  <si>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2"/>
        <rFont val="宋体"/>
        <family val="3"/>
        <charset val="134"/>
      </rPr>
      <t>车位数</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</si>
  <si>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</si>
  <si>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</si>
  <si>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</si>
  <si>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</si>
  <si>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</si>
  <si>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</si>
  <si>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</si>
  <si>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</si>
  <si>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t>北京绿地中心</t>
    <phoneticPr fontId="4" type="noConversion"/>
  </si>
  <si>
    <t>中海枫丹公馆</t>
    <phoneticPr fontId="4" type="noConversion"/>
  </si>
  <si>
    <t>禧瑞春秋</t>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</si>
  <si>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</si>
  <si>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</si>
  <si>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</si>
  <si>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</si>
  <si>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</si>
  <si>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</si>
  <si>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</si>
  <si>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</si>
  <si>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</si>
  <si>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</si>
  <si>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</si>
  <si>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</si>
  <si>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20-30（含）</t>
  </si>
  <si>
    <t>40-50（含）</t>
  </si>
  <si>
    <r>
      <rPr>
        <b/>
        <sz val="11"/>
        <rFont val="宋体"/>
        <family val="3"/>
        <charset val="134"/>
      </rPr>
      <t>区位状况</t>
    </r>
    <phoneticPr fontId="4" type="noConversion"/>
  </si>
  <si>
    <r>
      <rPr>
        <sz val="11"/>
        <color indexed="8"/>
        <rFont val="宋体"/>
        <family val="3"/>
        <charset val="134"/>
      </rPr>
      <t>交通便捷度</t>
    </r>
    <phoneticPr fontId="4" type="noConversion"/>
  </si>
  <si>
    <r>
      <rPr>
        <sz val="11"/>
        <rFont val="宋体"/>
        <family val="3"/>
        <charset val="134"/>
      </rPr>
      <t>区位状况</t>
    </r>
    <phoneticPr fontId="4" type="noConversion"/>
  </si>
  <si>
    <t>好</t>
  </si>
  <si>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</si>
  <si>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</si>
  <si>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color indexed="8"/>
        <rFont val="宋体"/>
        <family val="3"/>
        <charset val="134"/>
      </rPr>
      <t>自然及人文环境</t>
    </r>
    <phoneticPr fontId="4" type="noConversion"/>
  </si>
  <si>
    <r>
      <rPr>
        <sz val="11"/>
        <color indexed="8"/>
        <rFont val="宋体"/>
        <family val="3"/>
        <charset val="134"/>
      </rPr>
      <t>楼层</t>
    </r>
    <phoneticPr fontId="4" type="noConversion"/>
  </si>
  <si>
    <r>
      <rPr>
        <b/>
        <sz val="11"/>
        <rFont val="宋体"/>
        <family val="3"/>
        <charset val="134"/>
      </rPr>
      <t>实物状况</t>
    </r>
    <phoneticPr fontId="4" type="noConversion"/>
  </si>
  <si>
    <r>
      <rPr>
        <sz val="11"/>
        <color indexed="8"/>
        <rFont val="宋体"/>
        <family val="3"/>
        <charset val="134"/>
      </rPr>
      <t>配套类型</t>
    </r>
    <phoneticPr fontId="4" type="noConversion"/>
  </si>
  <si>
    <r>
      <rPr>
        <sz val="11"/>
        <rFont val="宋体"/>
        <family val="3"/>
        <charset val="134"/>
      </rPr>
      <t>实物状况</t>
    </r>
    <phoneticPr fontId="4" type="noConversion"/>
  </si>
  <si>
    <r>
      <rPr>
        <sz val="11"/>
        <color indexed="8"/>
        <rFont val="宋体"/>
        <family val="3"/>
        <charset val="134"/>
      </rPr>
      <t>项目停车位配比</t>
    </r>
    <phoneticPr fontId="4" type="noConversion"/>
  </si>
  <si>
    <r>
      <rPr>
        <sz val="11"/>
        <color indexed="8"/>
        <rFont val="宋体"/>
        <family val="3"/>
        <charset val="134"/>
      </rPr>
      <t>公共部分装修</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</si>
  <si>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</si>
  <si>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4"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</si>
  <si>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</si>
  <si>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</si>
  <si>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</si>
  <si>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</si>
  <si>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</si>
  <si>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</si>
  <si>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</si>
  <si>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</si>
  <si>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</si>
  <si>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</si>
  <si>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</si>
  <si>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</si>
  <si>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权益状况</t>
    </r>
    <phoneticPr fontId="4" type="noConversion"/>
  </si>
  <si>
    <r>
      <rPr>
        <sz val="11"/>
        <color indexed="8"/>
        <rFont val="宋体"/>
        <family val="3"/>
        <charset val="134"/>
      </rPr>
      <t>土地使用年限（年）</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</si>
  <si>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</si>
  <si>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</si>
  <si>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</si>
  <si>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</si>
  <si>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</si>
  <si>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</si>
  <si>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</si>
  <si>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t>-</t>
    <phoneticPr fontId="4" type="noConversion"/>
  </si>
  <si>
    <r>
      <rPr>
        <b/>
        <sz val="11"/>
        <rFont val="宋体"/>
        <family val="3"/>
        <charset val="134"/>
      </rPr>
      <t>区位状况</t>
    </r>
    <phoneticPr fontId="4" type="noConversion"/>
  </si>
  <si>
    <r>
      <rPr>
        <sz val="11"/>
        <color indexed="8"/>
        <rFont val="宋体"/>
        <family val="3"/>
        <charset val="134"/>
      </rPr>
      <t>交通便捷度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</si>
  <si>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</si>
  <si>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</si>
  <si>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</si>
  <si>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</si>
  <si>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</si>
  <si>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</si>
  <si>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</si>
  <si>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</si>
  <si>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</si>
  <si>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</si>
  <si>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</si>
  <si>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</si>
  <si>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</si>
  <si>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</si>
  <si>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</si>
  <si>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</si>
  <si>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</si>
  <si>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</si>
  <si>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楼层</t>
    </r>
    <phoneticPr fontId="4" type="noConversion"/>
  </si>
  <si>
    <r>
      <rPr>
        <b/>
        <sz val="11"/>
        <rFont val="宋体"/>
        <family val="3"/>
        <charset val="134"/>
      </rPr>
      <t>实物状况</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</si>
  <si>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</si>
  <si>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</si>
  <si>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公共部分装修</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</si>
  <si>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</si>
  <si>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4" type="noConversion"/>
  </si>
  <si>
    <r>
      <rPr>
        <sz val="11"/>
        <color indexed="8"/>
        <rFont val="宋体"/>
        <family val="3"/>
        <charset val="134"/>
      </rPr>
      <t>停车位面积</t>
    </r>
    <phoneticPr fontId="4"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</si>
  <si>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</si>
  <si>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</si>
  <si>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</si>
  <si>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</si>
  <si>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</si>
  <si>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</si>
  <si>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</si>
  <si>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</si>
  <si>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</si>
  <si>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</si>
  <si>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</si>
  <si>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</si>
  <si>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</si>
  <si>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</si>
  <si>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</si>
  <si>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</si>
  <si>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</si>
  <si>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t>碧海方舟</t>
    <phoneticPr fontId="4" type="noConversion"/>
  </si>
  <si>
    <t>泛海国际樱海园</t>
    <phoneticPr fontId="4" type="noConversion"/>
  </si>
  <si>
    <t>远洋万和公馆</t>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</si>
  <si>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</si>
  <si>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</si>
  <si>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</si>
  <si>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</si>
  <si>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</si>
  <si>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</si>
  <si>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住宅</t>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</si>
  <si>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</si>
  <si>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</si>
  <si>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</si>
  <si>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50-60（含）</t>
  </si>
  <si>
    <t>60-70（含）</t>
  </si>
  <si>
    <r>
      <rPr>
        <sz val="11"/>
        <color indexed="8"/>
        <rFont val="宋体"/>
        <family val="3"/>
        <charset val="134"/>
      </rPr>
      <t>容积率</t>
    </r>
    <phoneticPr fontId="4" type="noConversion"/>
  </si>
  <si>
    <r>
      <rPr>
        <b/>
        <sz val="11"/>
        <rFont val="宋体"/>
        <family val="3"/>
        <charset val="134"/>
      </rPr>
      <t>区位状况</t>
    </r>
    <phoneticPr fontId="4" type="noConversion"/>
  </si>
  <si>
    <r>
      <rPr>
        <sz val="11"/>
        <color indexed="8"/>
        <rFont val="宋体"/>
        <family val="3"/>
        <charset val="134"/>
      </rPr>
      <t>居住社区成熟度</t>
    </r>
  </si>
  <si>
    <r>
      <rPr>
        <sz val="11"/>
        <rFont val="宋体"/>
        <family val="3"/>
        <charset val="134"/>
      </rPr>
      <t>区位状况</t>
    </r>
    <phoneticPr fontId="4" type="noConversion"/>
  </si>
  <si>
    <r>
      <rPr>
        <sz val="11"/>
        <color indexed="8"/>
        <rFont val="宋体"/>
        <family val="3"/>
        <charset val="134"/>
      </rPr>
      <t>交通便捷度</t>
    </r>
  </si>
  <si>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</si>
  <si>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</si>
  <si>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</si>
  <si>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</si>
  <si>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</si>
  <si>
    <t>100/</t>
    <phoneticPr fontId="4" type="noConversion"/>
  </si>
  <si>
    <r>
      <rPr>
        <b/>
        <sz val="11"/>
        <rFont val="宋体"/>
        <family val="3"/>
        <charset val="134"/>
      </rPr>
      <t>实物状况</t>
    </r>
    <phoneticPr fontId="4" type="noConversion"/>
  </si>
  <si>
    <r>
      <rPr>
        <sz val="11"/>
        <color indexed="8"/>
        <rFont val="宋体"/>
        <family val="3"/>
        <charset val="134"/>
      </rPr>
      <t>建筑类型</t>
    </r>
  </si>
  <si>
    <t>平层</t>
  </si>
  <si>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</si>
  <si>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</si>
  <si>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</si>
  <si>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</si>
  <si>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</si>
  <si>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</si>
  <si>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</si>
  <si>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</si>
  <si>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</si>
  <si>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</si>
  <si>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</si>
  <si>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4" type="noConversion"/>
  </si>
  <si>
    <r>
      <rPr>
        <sz val="11"/>
        <color indexed="8"/>
        <rFont val="宋体"/>
        <family val="3"/>
        <charset val="134"/>
      </rPr>
      <t>市政基础设施</t>
    </r>
    <phoneticPr fontId="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</si>
  <si>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</si>
  <si>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</si>
  <si>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</si>
  <si>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</si>
  <si>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t>现状</t>
    <phoneticPr fontId="4" type="noConversion"/>
  </si>
  <si>
    <t>现房</t>
  </si>
  <si>
    <t>现房</t>
    <phoneticPr fontId="4" type="noConversion"/>
  </si>
  <si>
    <t>赠送花园</t>
    <phoneticPr fontId="4" type="noConversion"/>
  </si>
  <si>
    <t>是</t>
    <phoneticPr fontId="4" type="noConversion"/>
  </si>
  <si>
    <t>否</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</si>
  <si>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</si>
  <si>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</si>
  <si>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</si>
  <si>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</si>
  <si>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</si>
  <si>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</si>
  <si>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</si>
  <si>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</si>
  <si>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</si>
  <si>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</si>
  <si>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</si>
  <si>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</si>
  <si>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</si>
  <si>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</si>
  <si>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</si>
  <si>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</si>
  <si>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</si>
  <si>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</si>
  <si>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</si>
  <si>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</si>
  <si>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</si>
  <si>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</si>
  <si>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</si>
  <si>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</si>
  <si>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</si>
  <si>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</si>
  <si>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</si>
  <si>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</si>
  <si>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</si>
  <si>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</si>
  <si>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</si>
  <si>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</si>
  <si>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</si>
  <si>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</si>
  <si>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</si>
  <si>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t>独栋别墅</t>
    <phoneticPr fontId="4" type="noConversion"/>
  </si>
  <si>
    <t>双拼别墅</t>
    <phoneticPr fontId="4" type="noConversion"/>
  </si>
  <si>
    <t>联排别墅</t>
    <phoneticPr fontId="4" type="noConversion"/>
  </si>
  <si>
    <t>叠拼别墅</t>
    <phoneticPr fontId="4" type="noConversion"/>
  </si>
  <si>
    <t>平层</t>
    <phoneticPr fontId="4" type="noConversion"/>
  </si>
  <si>
    <t>洋房</t>
    <phoneticPr fontId="4" type="noConversion"/>
  </si>
  <si>
    <t>高层</t>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</si>
  <si>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</si>
  <si>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</si>
  <si>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</si>
  <si>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</si>
  <si>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</si>
  <si>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</si>
  <si>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</si>
  <si>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</si>
  <si>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</si>
  <si>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</si>
  <si>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</si>
  <si>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</si>
  <si>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</si>
  <si>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内部装修维护情况</t>
    </r>
    <phoneticPr fontId="4" type="noConversion"/>
  </si>
  <si>
    <t>期房</t>
    <phoneticPr fontId="4" type="noConversion"/>
  </si>
  <si>
    <t>现房</t>
    <phoneticPr fontId="4" type="noConversion"/>
  </si>
  <si>
    <t>是</t>
    <phoneticPr fontId="4" type="noConversion"/>
  </si>
  <si>
    <t>否</t>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</si>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</sst>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0_);[Red]\(#,##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
      <b/>
      <sz val="16"/>
      <color indexed="10"/>
      <name val="宋体"/>
      <family val="3"/>
      <charset val="134"/>
    </font>
    <font>
      <b/>
      <sz val="11"/>
      <color theme="9" tint="-0.249977111117893"/>
      <name val="宋体"/>
      <family val="3"/>
      <charset val="134"/>
    </font>
    <font>
      <b/>
      <sz val="11"/>
      <color indexed="10"/>
      <name val="宋体"/>
      <family val="3"/>
      <charset val="134"/>
    </font>
    <font>
      <b/>
      <sz val="16"/>
      <color indexed="8"/>
      <name val="宋体"/>
      <family val="3"/>
      <charset val="134"/>
    </font>
    <font>
      <sz val="11"/>
      <color indexed="8"/>
      <name val="宋体"/>
      <family val="2"/>
      <scheme val="minor"/>
    </font>
    <font>
      <sz val="11"/>
      <color rgb="FF000000"/>
      <name val="宋体"/>
      <family val="3"/>
      <charset val="134"/>
    </font>
    <font>
      <b/>
      <sz val="16"/>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bottom style="double">
        <color indexed="64"/>
      </bottom>
      <diagonal/>
    </border>
  </borders>
  <cellStyleXfs count="200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9" fontId="14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7" fillId="0" borderId="0"/>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82" fillId="0" borderId="0">
      <alignment vertical="center"/>
    </xf>
    <xf numFmtId="190" fontId="146" fillId="0" borderId="0">
      <alignment vertical="center"/>
    </xf>
    <xf numFmtId="190" fontId="146" fillId="0" borderId="0">
      <alignment vertical="center"/>
    </xf>
    <xf numFmtId="190" fontId="146"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286" fillId="0" borderId="0">
      <alignment vertical="center"/>
    </xf>
    <xf numFmtId="190" fontId="1" fillId="0" borderId="0">
      <alignment vertical="center"/>
    </xf>
    <xf numFmtId="190" fontId="145" fillId="0" borderId="0">
      <alignment vertical="center"/>
    </xf>
    <xf numFmtId="190" fontId="257" fillId="0" borderId="0"/>
    <xf numFmtId="190" fontId="257" fillId="0" borderId="0"/>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33" fillId="0" borderId="0">
      <protection locked="0"/>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33" fillId="0" borderId="0">
      <protection locked="0"/>
    </xf>
    <xf numFmtId="190" fontId="33" fillId="0" borderId="0">
      <protection locked="0"/>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82" fillId="0" borderId="0">
      <alignment vertical="center"/>
    </xf>
    <xf numFmtId="190" fontId="82"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0" fontId="2"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46"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287" fillId="0" borderId="0">
      <protection locked="0"/>
    </xf>
    <xf numFmtId="194" fontId="82" fillId="0" borderId="0" applyFont="0" applyFill="0" applyBorder="0" applyAlignment="0" applyProtection="0">
      <alignment vertical="center"/>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33" fillId="0" borderId="0">
      <protection locked="0"/>
    </xf>
    <xf numFmtId="194" fontId="1" fillId="0" borderId="0" applyFont="0" applyFill="0" applyBorder="0" applyAlignment="0" applyProtection="0">
      <alignment vertical="center"/>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5" fontId="33" fillId="0" borderId="0">
      <protection locked="0"/>
    </xf>
    <xf numFmtId="194" fontId="33" fillId="0" borderId="0">
      <protection locked="0"/>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46"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82"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xf numFmtId="194" fontId="1" fillId="0" borderId="0" applyFont="0" applyFill="0" applyBorder="0" applyAlignment="0" applyProtection="0">
      <alignment vertical="center"/>
    </xf>
  </cellStyleXfs>
  <cellXfs count="411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4"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4"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7"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4" fontId="158" fillId="12" borderId="120" xfId="13" applyNumberFormat="1" applyFont="1" applyFill="1" applyBorder="1" applyAlignment="1" applyProtection="1">
      <alignment horizontal="left" vertical="center" wrapText="1"/>
    </xf>
    <xf numFmtId="184" fontId="158" fillId="12" borderId="127" xfId="13" applyNumberFormat="1" applyFont="1" applyFill="1" applyBorder="1" applyAlignment="1" applyProtection="1">
      <alignment horizontal="left" vertical="center" wrapText="1"/>
    </xf>
    <xf numFmtId="181" fontId="153" fillId="0" borderId="122" xfId="10" applyNumberFormat="1" applyFont="1" applyBorder="1" applyAlignment="1">
      <alignment horizontal="left" vertical="center"/>
    </xf>
    <xf numFmtId="181"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4" fontId="158" fillId="12" borderId="120" xfId="13" applyNumberFormat="1" applyFont="1" applyFill="1" applyBorder="1" applyAlignment="1">
      <alignment horizontal="left" vertical="center" wrapText="1"/>
    </xf>
    <xf numFmtId="184"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4" fontId="158" fillId="12" borderId="120" xfId="10" applyNumberFormat="1" applyFont="1" applyFill="1" applyBorder="1" applyAlignment="1">
      <alignment horizontal="left" vertical="center" wrapText="1"/>
    </xf>
    <xf numFmtId="184"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4" fontId="158" fillId="12" borderId="124" xfId="10" applyNumberFormat="1" applyFont="1" applyFill="1" applyBorder="1" applyAlignment="1">
      <alignment horizontal="left" vertical="center" wrapText="1"/>
    </xf>
    <xf numFmtId="184"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4"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7"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4" fontId="158" fillId="12" borderId="130" xfId="10" applyNumberFormat="1" applyFont="1" applyFill="1" applyBorder="1" applyAlignment="1">
      <alignment horizontal="left" vertical="center" wrapText="1"/>
    </xf>
    <xf numFmtId="184" fontId="158" fillId="12" borderId="134" xfId="10" applyNumberFormat="1" applyFont="1" applyFill="1" applyBorder="1" applyAlignment="1">
      <alignment horizontal="left" vertical="center" wrapText="1"/>
    </xf>
    <xf numFmtId="184" fontId="153" fillId="14" borderId="0" xfId="10" applyNumberFormat="1" applyFont="1" applyFill="1" applyAlignment="1">
      <alignment horizontal="left" vertical="center"/>
    </xf>
    <xf numFmtId="184"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7"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8"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8"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0" fontId="153" fillId="0" borderId="0" xfId="10" applyNumberFormat="1" applyFont="1" applyAlignment="1">
      <alignment horizontal="left" vertical="center"/>
    </xf>
    <xf numFmtId="180" fontId="153" fillId="0" borderId="122" xfId="10" applyNumberFormat="1" applyFont="1" applyBorder="1" applyAlignment="1">
      <alignment horizontal="left" vertical="center"/>
    </xf>
    <xf numFmtId="177"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0"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8"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0" fontId="159" fillId="0" borderId="0" xfId="10" applyNumberFormat="1" applyFont="1" applyAlignment="1">
      <alignment horizontal="left" vertical="center"/>
    </xf>
    <xf numFmtId="180"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1" fontId="84" fillId="17" borderId="48" xfId="0" applyNumberFormat="1" applyFont="1" applyFill="1" applyBorder="1" applyAlignment="1" applyProtection="1">
      <alignment horizontal="left" vertical="center" wrapText="1"/>
      <protection locked="0"/>
    </xf>
    <xf numFmtId="176"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1"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6"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3" fontId="276" fillId="0" borderId="2" xfId="7" applyNumberFormat="1" applyFont="1" applyFill="1" applyBorder="1" applyAlignment="1">
      <alignment horizontal="left" vertical="center"/>
    </xf>
    <xf numFmtId="190"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3"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0"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3"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79"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79"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79"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79"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79" fontId="154" fillId="13" borderId="0" xfId="0" applyNumberFormat="1" applyFont="1" applyFill="1" applyAlignment="1" applyProtection="1">
      <alignment vertical="center"/>
    </xf>
    <xf numFmtId="181"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4"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1"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7" fontId="85" fillId="13" borderId="0" xfId="0" applyNumberFormat="1" applyFont="1" applyFill="1" applyAlignment="1" applyProtection="1">
      <alignment horizontal="center" vertical="center"/>
      <protection locked="0"/>
    </xf>
    <xf numFmtId="187"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7"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7" fontId="102" fillId="5" borderId="19" xfId="0" applyNumberFormat="1" applyFont="1" applyFill="1" applyBorder="1" applyAlignment="1" applyProtection="1">
      <protection locked="0"/>
    </xf>
    <xf numFmtId="177"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7"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7"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9" fillId="0" borderId="11" xfId="0" applyNumberFormat="1" applyFont="1" applyFill="1" applyBorder="1" applyAlignment="1" applyProtection="1">
      <alignment vertical="center"/>
      <protection locked="0"/>
    </xf>
    <xf numFmtId="183" fontId="77" fillId="0" borderId="2" xfId="0" applyNumberFormat="1" applyFont="1" applyFill="1" applyBorder="1" applyAlignment="1" applyProtection="1">
      <alignment horizontal="center" vertical="center" shrinkToFit="1"/>
      <protection locked="0"/>
    </xf>
    <xf numFmtId="0" fontId="12" fillId="0" borderId="2" xfId="0" applyFont="1" applyBorder="1" applyAlignment="1" applyProtection="1">
      <alignment horizontal="left" vertical="center" wrapText="1"/>
      <protection locked="0"/>
    </xf>
    <xf numFmtId="0" fontId="152" fillId="5" borderId="84" xfId="1" applyFont="1" applyFill="1" applyBorder="1" applyAlignment="1" applyProtection="1">
      <alignment vertical="center"/>
    </xf>
    <xf numFmtId="0" fontId="102" fillId="2" borderId="85" xfId="1" applyFont="1" applyFill="1" applyBorder="1" applyAlignment="1" applyProtection="1">
      <alignment horizontal="right" vertical="center"/>
      <protection locked="0"/>
    </xf>
    <xf numFmtId="0" fontId="102" fillId="5" borderId="91" xfId="1" applyFont="1" applyFill="1" applyBorder="1" applyAlignment="1" applyProtection="1">
      <alignment horizontal="center" vertical="center"/>
    </xf>
    <xf numFmtId="0" fontId="102" fillId="2" borderId="85" xfId="1" applyFont="1" applyFill="1" applyBorder="1" applyAlignment="1" applyProtection="1">
      <alignment vertical="center"/>
      <protection locked="0"/>
    </xf>
    <xf numFmtId="0" fontId="102" fillId="5" borderId="85" xfId="1" applyFont="1" applyFill="1" applyBorder="1" applyAlignment="1" applyProtection="1">
      <alignment vertical="center"/>
      <protection locked="0"/>
    </xf>
    <xf numFmtId="0" fontId="102" fillId="6" borderId="71" xfId="1" applyFont="1" applyFill="1" applyBorder="1" applyAlignment="1" applyProtection="1">
      <alignment horizontal="center" vertical="center"/>
      <protection locked="0"/>
    </xf>
    <xf numFmtId="0" fontId="103" fillId="5" borderId="85" xfId="1" applyFont="1" applyFill="1" applyBorder="1" applyAlignment="1" applyProtection="1">
      <alignment vertical="center"/>
      <protection locked="0"/>
    </xf>
    <xf numFmtId="187" fontId="102" fillId="5" borderId="85" xfId="1" applyNumberFormat="1" applyFont="1" applyFill="1" applyBorder="1" applyAlignment="1" applyProtection="1">
      <alignment horizontal="center" vertical="center"/>
      <protection locked="0"/>
    </xf>
    <xf numFmtId="181" fontId="102" fillId="5" borderId="85" xfId="1" applyNumberFormat="1" applyFont="1" applyFill="1" applyBorder="1" applyAlignment="1" applyProtection="1">
      <alignment vertical="center"/>
      <protection locked="0"/>
    </xf>
    <xf numFmtId="0" fontId="102" fillId="5" borderId="85" xfId="1" applyFont="1" applyFill="1" applyBorder="1" applyAlignment="1" applyProtection="1">
      <alignment horizontal="center" vertical="center"/>
      <protection locked="0"/>
    </xf>
    <xf numFmtId="0" fontId="102" fillId="5" borderId="102" xfId="1" applyFont="1" applyFill="1" applyBorder="1" applyAlignment="1" applyProtection="1">
      <alignment horizontal="center" vertical="center"/>
    </xf>
    <xf numFmtId="0" fontId="99" fillId="5" borderId="91" xfId="1" applyFont="1" applyFill="1" applyBorder="1" applyAlignment="1" applyProtection="1">
      <alignment horizontal="center" vertical="center"/>
    </xf>
    <xf numFmtId="0" fontId="99" fillId="0" borderId="91" xfId="1" applyFont="1" applyFill="1" applyBorder="1" applyAlignment="1" applyProtection="1">
      <alignment horizontal="center" vertical="center"/>
      <protection locked="0"/>
    </xf>
    <xf numFmtId="0" fontId="98" fillId="5" borderId="21" xfId="2" applyFont="1" applyFill="1" applyBorder="1" applyAlignment="1" applyProtection="1">
      <alignment vertical="center"/>
    </xf>
    <xf numFmtId="0" fontId="98" fillId="5" borderId="21" xfId="1" applyFont="1" applyFill="1" applyBorder="1" applyAlignment="1" applyProtection="1">
      <alignment horizontal="right" vertical="center"/>
    </xf>
    <xf numFmtId="0" fontId="96" fillId="6" borderId="17" xfId="2" applyFont="1" applyFill="1" applyBorder="1" applyAlignment="1" applyProtection="1">
      <alignment vertical="center"/>
      <protection locked="0"/>
    </xf>
    <xf numFmtId="0" fontId="98" fillId="5" borderId="0" xfId="1" applyFont="1" applyFill="1" applyBorder="1" applyAlignment="1" applyProtection="1">
      <alignment vertical="center"/>
      <protection locked="0"/>
    </xf>
    <xf numFmtId="0" fontId="98" fillId="5" borderId="20" xfId="2" applyFont="1" applyFill="1" applyBorder="1" applyAlignment="1" applyProtection="1">
      <alignment vertical="center"/>
      <protection locked="0"/>
    </xf>
    <xf numFmtId="0" fontId="98" fillId="6" borderId="21" xfId="2"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2" fillId="5" borderId="0" xfId="1" applyNumberFormat="1" applyFont="1" applyFill="1" applyBorder="1" applyAlignment="1" applyProtection="1">
      <alignment horizontal="center" vertical="center"/>
      <protection locked="0"/>
    </xf>
    <xf numFmtId="181" fontId="102" fillId="13" borderId="0" xfId="1" applyNumberFormat="1" applyFont="1" applyFill="1" applyBorder="1" applyAlignment="1" applyProtection="1">
      <alignment vertical="center"/>
      <protection locked="0"/>
    </xf>
    <xf numFmtId="0" fontId="102" fillId="13" borderId="0" xfId="1" applyFont="1" applyFill="1" applyBorder="1" applyAlignment="1" applyProtection="1">
      <alignment horizontal="center" vertical="center"/>
      <protection locked="0"/>
    </xf>
    <xf numFmtId="0" fontId="102" fillId="5" borderId="13"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Alignment="1" applyProtection="1">
      <alignment horizontal="center" vertical="center"/>
      <protection locked="0"/>
    </xf>
    <xf numFmtId="184" fontId="98" fillId="5" borderId="10" xfId="1" applyNumberFormat="1" applyFont="1" applyFill="1" applyBorder="1" applyAlignment="1" applyProtection="1">
      <alignment horizontal="right" vertical="center"/>
    </xf>
    <xf numFmtId="0" fontId="98" fillId="5" borderId="10" xfId="1" applyFont="1" applyFill="1" applyBorder="1" applyAlignment="1" applyProtection="1">
      <alignment horizontal="center" vertical="center"/>
    </xf>
    <xf numFmtId="0" fontId="98" fillId="5" borderId="10" xfId="1" applyFont="1" applyFill="1" applyBorder="1" applyAlignment="1" applyProtection="1">
      <alignment horizontal="right" vertical="center"/>
    </xf>
    <xf numFmtId="0" fontId="102" fillId="5" borderId="19" xfId="1" applyFont="1" applyFill="1" applyBorder="1" applyAlignment="1" applyProtection="1">
      <alignment horizontal="center" vertical="center"/>
    </xf>
    <xf numFmtId="0" fontId="99" fillId="5" borderId="0" xfId="1" applyFont="1" applyFill="1" applyAlignment="1" applyProtection="1">
      <alignment horizontal="center"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7" fontId="72" fillId="5" borderId="9" xfId="1" applyNumberFormat="1" applyFont="1" applyFill="1" applyBorder="1" applyAlignment="1" applyProtection="1">
      <alignment horizontal="center" vertical="center" wrapText="1"/>
    </xf>
    <xf numFmtId="181" fontId="72" fillId="13" borderId="0" xfId="1" applyNumberFormat="1" applyFont="1" applyFill="1" applyBorder="1" applyAlignment="1" applyProtection="1">
      <alignment vertical="center" wrapText="1"/>
      <protection locked="0"/>
    </xf>
    <xf numFmtId="0" fontId="85" fillId="13"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protection locked="0"/>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84" fillId="5" borderId="54" xfId="1" applyFont="1" applyFill="1" applyBorder="1" applyAlignment="1" applyProtection="1">
      <alignment vertical="center" wrapText="1"/>
    </xf>
    <xf numFmtId="0" fontId="84" fillId="5" borderId="61" xfId="1" applyFont="1" applyFill="1" applyBorder="1" applyAlignment="1" applyProtection="1">
      <alignment vertical="center" wrapText="1"/>
    </xf>
    <xf numFmtId="0" fontId="76" fillId="5" borderId="36" xfId="1" applyFont="1" applyFill="1" applyBorder="1" applyAlignment="1" applyProtection="1">
      <alignment vertical="center" wrapText="1"/>
    </xf>
    <xf numFmtId="0" fontId="76" fillId="5" borderId="37" xfId="1" applyFont="1" applyFill="1" applyBorder="1" applyAlignment="1" applyProtection="1">
      <alignment vertical="center" wrapText="1"/>
    </xf>
    <xf numFmtId="183" fontId="72" fillId="5" borderId="33"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3"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0" fontId="72" fillId="5" borderId="9" xfId="1" applyNumberFormat="1" applyFont="1" applyFill="1" applyBorder="1" applyAlignment="1" applyProtection="1">
      <alignment horizontal="center" vertical="center" wrapText="1"/>
    </xf>
    <xf numFmtId="181" fontId="72" fillId="13" borderId="0" xfId="1" applyNumberFormat="1" applyFont="1" applyFill="1" applyBorder="1" applyAlignment="1" applyProtection="1">
      <alignment horizontal="center" vertical="center" wrapText="1"/>
      <protection locked="0"/>
    </xf>
    <xf numFmtId="0" fontId="72" fillId="13" borderId="0" xfId="1" applyFont="1" applyFill="1" applyBorder="1" applyAlignment="1" applyProtection="1">
      <alignment horizontal="center" vertical="center"/>
      <protection locked="0"/>
    </xf>
    <xf numFmtId="186"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protection locked="0"/>
    </xf>
    <xf numFmtId="49" fontId="72" fillId="2" borderId="33" xfId="1" applyNumberFormat="1" applyFont="1" applyFill="1" applyBorder="1" applyAlignment="1" applyProtection="1">
      <alignment horizontal="center" vertical="center" wrapText="1"/>
      <protection locked="0"/>
    </xf>
    <xf numFmtId="0" fontId="76" fillId="5" borderId="35" xfId="1" applyFont="1" applyFill="1" applyBorder="1" applyAlignment="1" applyProtection="1">
      <alignment vertical="center" wrapText="1"/>
    </xf>
    <xf numFmtId="0" fontId="72" fillId="5" borderId="30" xfId="1" applyFont="1" applyFill="1" applyBorder="1" applyAlignment="1" applyProtection="1">
      <alignment horizontal="center" vertical="center" wrapText="1"/>
    </xf>
    <xf numFmtId="0" fontId="72" fillId="0" borderId="59"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49" fontId="72" fillId="2" borderId="1" xfId="1" applyNumberFormat="1" applyFont="1" applyFill="1" applyBorder="1" applyAlignment="1" applyProtection="1">
      <alignment horizontal="center" vertical="center" wrapText="1"/>
      <protection locked="0"/>
    </xf>
    <xf numFmtId="49" fontId="72" fillId="2" borderId="42" xfId="1" applyNumberFormat="1" applyFont="1" applyFill="1" applyBorder="1" applyAlignment="1" applyProtection="1">
      <alignment horizontal="center" vertical="center" wrapText="1"/>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79" xfId="1" applyFont="1" applyFill="1" applyBorder="1" applyAlignment="1" applyProtection="1">
      <alignment vertical="center" wrapText="1"/>
    </xf>
    <xf numFmtId="0" fontId="72" fillId="5" borderId="8" xfId="1" applyFont="1" applyFill="1" applyBorder="1" applyAlignment="1" applyProtection="1">
      <alignment horizontal="center" vertical="center" wrapText="1"/>
    </xf>
    <xf numFmtId="49" fontId="72" fillId="2" borderId="11"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2" borderId="9"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181" fontId="105" fillId="13" borderId="0" xfId="1" applyNumberFormat="1" applyFont="1" applyFill="1" applyBorder="1" applyAlignment="1" applyProtection="1">
      <alignment horizontal="center" vertical="center" wrapText="1"/>
      <protection locked="0"/>
    </xf>
    <xf numFmtId="0" fontId="105" fillId="13" borderId="0"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84" fillId="5" borderId="79" xfId="1" applyFont="1" applyFill="1" applyBorder="1" applyAlignment="1" applyProtection="1">
      <alignment vertical="center" wrapText="1"/>
    </xf>
    <xf numFmtId="0" fontId="72" fillId="0" borderId="14" xfId="1" applyFont="1" applyFill="1" applyBorder="1" applyAlignment="1" applyProtection="1">
      <alignment horizontal="center" vertical="center" wrapText="1"/>
      <protection locked="0"/>
    </xf>
    <xf numFmtId="0" fontId="72" fillId="0" borderId="5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181" fontId="81" fillId="13" borderId="0" xfId="1" applyNumberFormat="1" applyFont="1" applyFill="1" applyBorder="1" applyAlignment="1" applyProtection="1">
      <alignment horizontal="center" vertical="center" wrapText="1"/>
      <protection locked="0"/>
    </xf>
    <xf numFmtId="0" fontId="76" fillId="5" borderId="79" xfId="1" applyFont="1" applyFill="1" applyBorder="1" applyAlignment="1" applyProtection="1">
      <alignment vertical="center" wrapText="1"/>
    </xf>
    <xf numFmtId="0" fontId="72" fillId="5" borderId="63" xfId="1" applyNumberFormat="1" applyFont="1" applyFill="1" applyBorder="1" applyAlignment="1" applyProtection="1">
      <alignment horizontal="center" vertical="center" wrapText="1"/>
    </xf>
    <xf numFmtId="0" fontId="84" fillId="5" borderId="80" xfId="1" applyFont="1" applyFill="1" applyBorder="1" applyAlignment="1" applyProtection="1">
      <alignment vertical="center" wrapText="1"/>
    </xf>
    <xf numFmtId="0" fontId="85" fillId="0" borderId="64"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1" fontId="106" fillId="13" borderId="0" xfId="1" applyNumberFormat="1" applyFont="1" applyFill="1" applyBorder="1" applyAlignment="1" applyProtection="1">
      <alignment horizontal="center" vertical="center" wrapText="1"/>
      <protection locked="0"/>
    </xf>
    <xf numFmtId="0" fontId="72" fillId="5" borderId="41" xfId="1" applyFont="1" applyFill="1" applyBorder="1" applyAlignment="1" applyProtection="1">
      <alignment horizontal="center" vertical="center" wrapText="1"/>
    </xf>
    <xf numFmtId="0" fontId="85" fillId="5" borderId="53" xfId="1" applyNumberFormat="1" applyFont="1" applyFill="1" applyBorder="1" applyAlignment="1" applyProtection="1">
      <alignment horizontal="center" vertical="center" wrapText="1"/>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107" fillId="0" borderId="22"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6"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5" fillId="5" borderId="52" xfId="1" applyFont="1" applyFill="1" applyBorder="1" applyAlignment="1" applyProtection="1">
      <alignment horizontal="center" vertical="center"/>
    </xf>
    <xf numFmtId="0"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0" fontId="85" fillId="5" borderId="17" xfId="1" applyNumberFormat="1" applyFont="1" applyFill="1" applyBorder="1" applyAlignment="1" applyProtection="1">
      <alignment horizontal="center" vertical="center" wrapText="1"/>
    </xf>
    <xf numFmtId="0" fontId="85" fillId="5" borderId="52" xfId="1" applyNumberFormat="1" applyFont="1" applyFill="1" applyBorder="1" applyAlignment="1" applyProtection="1">
      <alignment horizontal="center" vertical="center" wrapText="1"/>
    </xf>
    <xf numFmtId="0" fontId="107" fillId="5" borderId="50"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0" fontId="85" fillId="5" borderId="22" xfId="1" applyNumberFormat="1" applyFont="1" applyFill="1" applyBorder="1" applyAlignment="1" applyProtection="1">
      <alignment horizontal="center" vertical="center" wrapText="1"/>
    </xf>
    <xf numFmtId="0" fontId="85" fillId="5" borderId="25" xfId="1" applyNumberFormat="1" applyFont="1" applyFill="1" applyBorder="1" applyAlignment="1" applyProtection="1">
      <alignment horizontal="center" vertical="center" wrapText="1"/>
    </xf>
    <xf numFmtId="49" fontId="85" fillId="0" borderId="32"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0" fontId="72" fillId="5" borderId="51" xfId="1" applyFont="1" applyFill="1" applyBorder="1" applyAlignment="1" applyProtection="1">
      <alignment horizontal="center" vertical="center" wrapText="1"/>
    </xf>
    <xf numFmtId="0" fontId="72" fillId="5" borderId="52" xfId="1" applyFont="1" applyFill="1" applyBorder="1" applyAlignment="1" applyProtection="1">
      <alignment horizontal="center" vertical="center" wrapText="1"/>
    </xf>
    <xf numFmtId="49" fontId="85" fillId="0" borderId="18" xfId="1" applyNumberFormat="1" applyFont="1" applyFill="1" applyBorder="1" applyAlignment="1" applyProtection="1">
      <alignment horizontal="center" vertical="center" wrapText="1"/>
      <protection locked="0"/>
    </xf>
    <xf numFmtId="49" fontId="85" fillId="0" borderId="24" xfId="1" applyNumberFormat="1" applyFont="1" applyFill="1" applyBorder="1" applyAlignment="1" applyProtection="1">
      <alignment horizontal="center" vertical="center" wrapText="1"/>
      <protection locked="0"/>
    </xf>
    <xf numFmtId="0" fontId="85" fillId="2" borderId="24" xfId="1" applyNumberFormat="1" applyFont="1" applyFill="1" applyBorder="1" applyAlignment="1" applyProtection="1">
      <alignment horizontal="center" vertical="center" wrapText="1"/>
      <protection locked="0"/>
    </xf>
    <xf numFmtId="0" fontId="85" fillId="5" borderId="13" xfId="1" applyNumberFormat="1" applyFont="1" applyFill="1" applyBorder="1" applyAlignment="1" applyProtection="1">
      <alignment horizontal="center" vertical="center" wrapText="1"/>
    </xf>
    <xf numFmtId="0" fontId="107" fillId="5" borderId="24"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72" fillId="0" borderId="25" xfId="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72" fillId="0" borderId="46" xfId="1" applyFont="1" applyFill="1" applyBorder="1" applyAlignment="1" applyProtection="1">
      <alignment horizontal="center" vertical="center" wrapText="1"/>
      <protection locked="0"/>
    </xf>
    <xf numFmtId="0" fontId="85" fillId="0" borderId="60" xfId="1" applyNumberFormat="1" applyFont="1" applyFill="1" applyBorder="1" applyAlignment="1" applyProtection="1">
      <alignment horizontal="center" vertical="center" wrapText="1"/>
      <protection locked="0"/>
    </xf>
    <xf numFmtId="0" fontId="72" fillId="5" borderId="69" xfId="1" applyNumberFormat="1" applyFont="1" applyFill="1" applyBorder="1" applyAlignment="1" applyProtection="1">
      <alignment horizontal="center" vertical="center" wrapText="1"/>
    </xf>
    <xf numFmtId="0" fontId="72" fillId="0" borderId="23" xfId="1" applyNumberFormat="1" applyFont="1" applyFill="1" applyBorder="1" applyAlignment="1" applyProtection="1">
      <alignment horizontal="center" vertical="center" wrapText="1"/>
      <protection locked="0"/>
    </xf>
    <xf numFmtId="0" fontId="72" fillId="5" borderId="68" xfId="1" applyNumberFormat="1" applyFont="1" applyFill="1" applyBorder="1" applyAlignment="1" applyProtection="1">
      <alignment horizontal="center" vertical="center" wrapText="1"/>
    </xf>
    <xf numFmtId="0" fontId="84" fillId="5" borderId="26" xfId="1" applyFont="1" applyFill="1" applyBorder="1" applyAlignment="1" applyProtection="1">
      <alignment vertical="center" textRotation="255" wrapText="1"/>
    </xf>
    <xf numFmtId="0" fontId="72" fillId="5" borderId="7" xfId="1" applyFont="1" applyFill="1" applyBorder="1" applyAlignment="1" applyProtection="1">
      <alignment horizontal="center" vertical="center" wrapText="1"/>
    </xf>
    <xf numFmtId="0" fontId="85" fillId="5" borderId="50" xfId="1" applyNumberFormat="1" applyFont="1" applyFill="1" applyBorder="1" applyAlignment="1" applyProtection="1">
      <alignment horizontal="center" vertical="center" wrapText="1"/>
    </xf>
    <xf numFmtId="0" fontId="101" fillId="5" borderId="31" xfId="1" applyFont="1" applyFill="1" applyBorder="1" applyAlignment="1" applyProtection="1">
      <alignment vertical="center" textRotation="255" wrapText="1"/>
    </xf>
    <xf numFmtId="0" fontId="72" fillId="5" borderId="12" xfId="1" applyFont="1" applyFill="1" applyBorder="1" applyAlignment="1" applyProtection="1">
      <alignment horizontal="center" vertical="center" wrapText="1"/>
    </xf>
    <xf numFmtId="49" fontId="72" fillId="0" borderId="64" xfId="1" applyNumberFormat="1" applyFont="1" applyFill="1" applyBorder="1" applyAlignment="1" applyProtection="1">
      <alignment horizontal="center" vertical="center" wrapText="1"/>
      <protection locked="0"/>
    </xf>
    <xf numFmtId="0" fontId="81" fillId="13" borderId="0" xfId="1" applyFont="1" applyFill="1" applyBorder="1" applyAlignment="1" applyProtection="1">
      <alignment horizontal="center" vertical="center"/>
      <protection locked="0"/>
    </xf>
    <xf numFmtId="0" fontId="81" fillId="5" borderId="2" xfId="1" applyFont="1" applyFill="1" applyBorder="1" applyAlignment="1" applyProtection="1">
      <alignment horizontal="center" vertical="center" wrapText="1"/>
    </xf>
    <xf numFmtId="186"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protection locked="0"/>
    </xf>
    <xf numFmtId="0" fontId="84" fillId="5" borderId="31" xfId="1" applyFont="1" applyFill="1" applyBorder="1" applyAlignment="1" applyProtection="1">
      <alignment vertical="center" textRotation="255" wrapText="1"/>
    </xf>
    <xf numFmtId="0" fontId="85" fillId="2" borderId="11" xfId="1" applyNumberFormat="1" applyFont="1" applyFill="1" applyBorder="1" applyAlignment="1" applyProtection="1">
      <alignment horizontal="center" vertical="center" wrapText="1"/>
      <protection locked="0"/>
    </xf>
    <xf numFmtId="0" fontId="72" fillId="0" borderId="64" xfId="1" applyNumberFormat="1" applyFont="1" applyFill="1" applyBorder="1" applyAlignment="1" applyProtection="1">
      <alignment horizontal="center" vertical="center" wrapText="1"/>
      <protection locked="0"/>
    </xf>
    <xf numFmtId="9" fontId="72" fillId="0" borderId="64" xfId="1" applyNumberFormat="1" applyFont="1" applyFill="1" applyBorder="1" applyAlignment="1" applyProtection="1">
      <alignment horizontal="center" vertical="center" wrapText="1"/>
      <protection locked="0"/>
    </xf>
    <xf numFmtId="0" fontId="72" fillId="2" borderId="64"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textRotation="255" wrapText="1"/>
    </xf>
    <xf numFmtId="0" fontId="84" fillId="5" borderId="54" xfId="1" applyFont="1" applyFill="1" applyBorder="1" applyAlignment="1" applyProtection="1">
      <alignment vertical="center" textRotation="255" wrapText="1"/>
    </xf>
    <xf numFmtId="49" fontId="84" fillId="5" borderId="59" xfId="1" applyNumberFormat="1" applyFont="1" applyFill="1" applyBorder="1" applyAlignment="1" applyProtection="1">
      <alignment vertical="center"/>
    </xf>
    <xf numFmtId="49" fontId="84" fillId="6" borderId="30" xfId="1" applyNumberFormat="1" applyFont="1" applyFill="1" applyBorder="1" applyAlignment="1" applyProtection="1">
      <alignment vertical="center"/>
      <protection locked="0"/>
    </xf>
    <xf numFmtId="0" fontId="84" fillId="5" borderId="59" xfId="1" applyNumberFormat="1" applyFont="1" applyFill="1" applyBorder="1" applyAlignment="1" applyProtection="1">
      <alignment horizontal="right" vertical="center" wrapText="1"/>
    </xf>
    <xf numFmtId="0" fontId="84" fillId="5" borderId="57" xfId="1" applyNumberFormat="1" applyFont="1" applyFill="1" applyBorder="1" applyAlignment="1" applyProtection="1">
      <alignment vertical="center" wrapText="1"/>
    </xf>
    <xf numFmtId="0" fontId="109" fillId="3" borderId="30" xfId="1" applyNumberFormat="1" applyFont="1" applyFill="1" applyBorder="1" applyAlignment="1" applyProtection="1">
      <alignment vertical="center" wrapText="1"/>
      <protection locked="0"/>
    </xf>
    <xf numFmtId="0" fontId="109" fillId="5" borderId="30" xfId="1" applyNumberFormat="1" applyFont="1" applyFill="1" applyBorder="1" applyAlignment="1" applyProtection="1">
      <alignment vertical="center" wrapText="1"/>
    </xf>
    <xf numFmtId="0" fontId="109" fillId="3" borderId="59" xfId="1" applyNumberFormat="1" applyFont="1" applyFill="1" applyBorder="1" applyAlignment="1" applyProtection="1">
      <alignment vertical="center" wrapText="1"/>
      <protection locked="0"/>
    </xf>
    <xf numFmtId="0" fontId="109" fillId="5" borderId="57" xfId="1" applyNumberFormat="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protection locked="0"/>
    </xf>
    <xf numFmtId="181" fontId="85" fillId="13" borderId="0" xfId="1" applyNumberFormat="1" applyFont="1" applyFill="1" applyBorder="1" applyAlignment="1" applyProtection="1">
      <alignment vertical="center" wrapText="1"/>
      <protection locked="0"/>
    </xf>
    <xf numFmtId="0" fontId="85" fillId="13"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56" xfId="1" applyNumberFormat="1" applyFont="1" applyFill="1" applyBorder="1" applyAlignment="1" applyProtection="1">
      <alignment vertical="center"/>
    </xf>
    <xf numFmtId="0" fontId="84" fillId="5" borderId="60" xfId="1" applyNumberFormat="1" applyFont="1" applyFill="1" applyBorder="1" applyAlignment="1" applyProtection="1">
      <alignment vertical="center" wrapText="1"/>
    </xf>
    <xf numFmtId="0" fontId="96" fillId="17" borderId="48" xfId="1" applyNumberFormat="1" applyFont="1" applyFill="1" applyBorder="1" applyAlignment="1" applyProtection="1">
      <alignment horizontal="left" vertical="center" wrapText="1"/>
      <protection locked="0"/>
    </xf>
    <xf numFmtId="0" fontId="84" fillId="5" borderId="56" xfId="1" applyNumberFormat="1" applyFont="1" applyFill="1" applyBorder="1" applyAlignment="1" applyProtection="1">
      <alignment vertical="center" wrapText="1"/>
    </xf>
    <xf numFmtId="181" fontId="84" fillId="17" borderId="48" xfId="1" applyNumberFormat="1" applyFont="1" applyFill="1" applyBorder="1" applyAlignment="1" applyProtection="1">
      <alignment horizontal="left" vertical="center" wrapText="1"/>
      <protection locked="0"/>
    </xf>
    <xf numFmtId="176" fontId="85" fillId="5" borderId="16" xfId="1" applyNumberFormat="1" applyFont="1" applyFill="1" applyBorder="1" applyAlignment="1" applyProtection="1">
      <alignment horizontal="left"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0" fontId="84" fillId="5" borderId="61" xfId="1" applyNumberFormat="1" applyFont="1" applyFill="1" applyBorder="1" applyAlignment="1" applyProtection="1">
      <alignment vertical="center" wrapText="1"/>
    </xf>
    <xf numFmtId="187" fontId="85" fillId="3" borderId="2" xfId="1" applyNumberFormat="1" applyFont="1" applyFill="1" applyBorder="1" applyAlignment="1" applyProtection="1">
      <alignment horizontal="center" vertical="center" wrapText="1"/>
      <protection locked="0"/>
    </xf>
    <xf numFmtId="9" fontId="85" fillId="13" borderId="0" xfId="1" applyNumberFormat="1" applyFont="1" applyFill="1" applyAlignment="1" applyProtection="1">
      <alignment horizontal="center" vertical="center"/>
      <protection locked="0"/>
    </xf>
    <xf numFmtId="187" fontId="85" fillId="13" borderId="0" xfId="1" applyNumberFormat="1" applyFont="1" applyFill="1" applyAlignment="1" applyProtection="1">
      <alignment horizontal="center" vertical="center"/>
      <protection locked="0"/>
    </xf>
    <xf numFmtId="181" fontId="85" fillId="13" borderId="0" xfId="1" applyNumberFormat="1" applyFont="1" applyFill="1" applyAlignment="1" applyProtection="1">
      <alignment horizontal="center" vertical="center"/>
      <protection locked="0"/>
    </xf>
    <xf numFmtId="0" fontId="85" fillId="13" borderId="13" xfId="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1" fontId="85" fillId="5" borderId="5" xfId="1" applyNumberFormat="1" applyFont="1" applyFill="1" applyBorder="1" applyAlignment="1" applyProtection="1">
      <alignment horizontal="center" vertical="center"/>
    </xf>
    <xf numFmtId="181"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13" borderId="0" xfId="1" applyFont="1" applyFill="1" applyAlignment="1" applyProtection="1">
      <alignment horizontal="center" vertical="center"/>
      <protection locked="0"/>
    </xf>
    <xf numFmtId="187" fontId="106" fillId="13" borderId="0" xfId="1" applyNumberFormat="1" applyFont="1" applyFill="1" applyAlignment="1" applyProtection="1">
      <alignment horizontal="center" vertical="center"/>
      <protection locked="0"/>
    </xf>
    <xf numFmtId="181" fontId="106" fillId="13" borderId="0" xfId="1" applyNumberFormat="1" applyFont="1" applyFill="1" applyAlignment="1" applyProtection="1">
      <alignment horizontal="center" vertical="center"/>
      <protection locked="0"/>
    </xf>
    <xf numFmtId="0" fontId="106" fillId="13" borderId="13"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protection locked="0"/>
    </xf>
    <xf numFmtId="14" fontId="85" fillId="13" borderId="0" xfId="1" applyNumberFormat="1" applyFont="1" applyFill="1" applyAlignment="1" applyProtection="1">
      <alignment horizontal="center" vertical="center"/>
      <protection locked="0"/>
    </xf>
    <xf numFmtId="176" fontId="85" fillId="13" borderId="0" xfId="1" applyNumberFormat="1" applyFont="1" applyFill="1" applyAlignment="1" applyProtection="1">
      <alignment horizontal="center" vertical="center"/>
      <protection locked="0"/>
    </xf>
    <xf numFmtId="0" fontId="111" fillId="5" borderId="0" xfId="1" applyFont="1" applyFill="1" applyBorder="1" applyAlignment="1" applyProtection="1">
      <protection locked="0"/>
    </xf>
    <xf numFmtId="0" fontId="85" fillId="5" borderId="0" xfId="1" applyFont="1" applyFill="1" applyAlignment="1" applyProtection="1">
      <alignment horizontal="center" vertical="center"/>
      <protection locked="0"/>
    </xf>
    <xf numFmtId="0" fontId="85" fillId="5" borderId="0" xfId="1" applyFont="1" applyFill="1" applyBorder="1" applyAlignment="1" applyProtection="1">
      <protection locked="0"/>
    </xf>
    <xf numFmtId="0" fontId="85" fillId="5" borderId="0" xfId="1" applyFont="1" applyFill="1" applyBorder="1" applyAlignment="1" applyProtection="1">
      <alignment horizontal="center"/>
      <protection locked="0"/>
    </xf>
    <xf numFmtId="187" fontId="85" fillId="5" borderId="0" xfId="1" applyNumberFormat="1" applyFont="1" applyFill="1" applyBorder="1" applyAlignment="1" applyProtection="1">
      <alignment horizontal="center"/>
      <protection locked="0"/>
    </xf>
    <xf numFmtId="181" fontId="85" fillId="5" borderId="0" xfId="1" applyNumberFormat="1" applyFont="1" applyFill="1" applyBorder="1" applyAlignment="1" applyProtection="1">
      <protection locked="0"/>
    </xf>
    <xf numFmtId="0" fontId="85" fillId="13" borderId="0" xfId="1" applyFont="1" applyFill="1" applyBorder="1" applyAlignment="1" applyProtection="1">
      <protection locked="0"/>
    </xf>
    <xf numFmtId="0" fontId="85" fillId="13" borderId="13" xfId="1" applyFont="1" applyFill="1" applyBorder="1" applyAlignment="1" applyProtection="1">
      <protection locked="0"/>
    </xf>
    <xf numFmtId="9" fontId="72" fillId="13" borderId="0" xfId="1" applyNumberFormat="1" applyFont="1" applyFill="1" applyBorder="1" applyAlignment="1" applyProtection="1">
      <alignment horizontal="center" vertical="center" wrapText="1"/>
      <protection locked="0"/>
    </xf>
    <xf numFmtId="0" fontId="76" fillId="5" borderId="26" xfId="1" applyNumberFormat="1" applyFont="1" applyFill="1" applyBorder="1" applyAlignment="1" applyProtection="1">
      <alignment vertical="center" wrapText="1"/>
    </xf>
    <xf numFmtId="0" fontId="76" fillId="5" borderId="58" xfId="1" applyNumberFormat="1" applyFont="1" applyFill="1" applyBorder="1" applyAlignment="1" applyProtection="1">
      <alignment vertical="center" wrapText="1"/>
    </xf>
    <xf numFmtId="188" fontId="72" fillId="5" borderId="42" xfId="1" applyNumberFormat="1" applyFont="1" applyFill="1" applyBorder="1" applyAlignment="1" applyProtection="1">
      <alignment horizontal="center" vertical="center" wrapText="1"/>
    </xf>
    <xf numFmtId="188" fontId="72" fillId="5" borderId="6" xfId="1" applyNumberFormat="1" applyFont="1" applyFill="1" applyBorder="1" applyAlignment="1" applyProtection="1">
      <alignment horizontal="center" vertical="center" wrapText="1"/>
    </xf>
    <xf numFmtId="49" fontId="72" fillId="13" borderId="13" xfId="1" applyNumberFormat="1" applyFont="1" applyFill="1" applyBorder="1" applyAlignment="1" applyProtection="1">
      <alignment horizontal="center" vertical="center"/>
      <protection locked="0"/>
    </xf>
    <xf numFmtId="49" fontId="72" fillId="13"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protection locked="0"/>
    </xf>
    <xf numFmtId="0" fontId="76" fillId="5" borderId="31"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32" xfId="1" applyNumberFormat="1" applyFont="1" applyFill="1" applyBorder="1" applyAlignment="1" applyProtection="1">
      <alignment horizontal="center" vertical="center" wrapText="1"/>
      <protection locked="0"/>
    </xf>
    <xf numFmtId="0" fontId="72" fillId="0" borderId="10" xfId="1" applyNumberFormat="1" applyFont="1" applyFill="1" applyBorder="1" applyAlignment="1" applyProtection="1">
      <alignment horizontal="center" vertical="center" wrapText="1"/>
      <protection locked="0"/>
    </xf>
    <xf numFmtId="0" fontId="72" fillId="0" borderId="4" xfId="1" applyNumberFormat="1" applyFont="1" applyFill="1" applyBorder="1" applyAlignment="1" applyProtection="1">
      <alignment horizontal="center" vertical="center" wrapText="1"/>
      <protection locked="0"/>
    </xf>
    <xf numFmtId="9" fontId="72" fillId="13" borderId="13" xfId="1" applyNumberFormat="1" applyFont="1" applyFill="1" applyBorder="1" applyAlignment="1" applyProtection="1">
      <alignment horizontal="center" vertical="center" wrapText="1"/>
      <protection locked="0"/>
    </xf>
    <xf numFmtId="0" fontId="72" fillId="13" borderId="0" xfId="1" applyFont="1" applyFill="1" applyAlignment="1" applyProtection="1">
      <alignment horizontal="center" vertical="center"/>
      <protection locked="0"/>
    </xf>
    <xf numFmtId="0" fontId="76" fillId="5" borderId="54" xfId="1" applyNumberFormat="1" applyFont="1" applyFill="1" applyBorder="1" applyAlignment="1" applyProtection="1">
      <alignment vertical="center"/>
    </xf>
    <xf numFmtId="0" fontId="76" fillId="5" borderId="67" xfId="1" applyNumberFormat="1" applyFont="1" applyFill="1" applyBorder="1" applyAlignment="1" applyProtection="1">
      <alignment vertical="center" wrapText="1"/>
    </xf>
    <xf numFmtId="0" fontId="72" fillId="0" borderId="67" xfId="1" applyNumberFormat="1" applyFont="1" applyFill="1" applyBorder="1" applyAlignment="1" applyProtection="1">
      <alignment horizontal="center" vertical="center" wrapText="1"/>
      <protection locked="0"/>
    </xf>
    <xf numFmtId="0" fontId="72" fillId="0" borderId="55" xfId="1" applyNumberFormat="1" applyFont="1" applyFill="1" applyBorder="1" applyAlignment="1" applyProtection="1">
      <alignment horizontal="center" vertical="center" wrapText="1"/>
      <protection locked="0"/>
    </xf>
    <xf numFmtId="0" fontId="72" fillId="0" borderId="68"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72" fillId="13" borderId="0" xfId="1" applyNumberFormat="1" applyFont="1" applyFill="1" applyBorder="1" applyAlignment="1" applyProtection="1">
      <alignment horizontal="center" vertical="center" wrapText="1"/>
      <protection locked="0"/>
    </xf>
    <xf numFmtId="0" fontId="150" fillId="13" borderId="13"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13" borderId="0" xfId="1" applyNumberFormat="1" applyFont="1" applyFill="1" applyBorder="1" applyAlignment="1" applyProtection="1">
      <alignment horizontal="center" vertical="center" wrapText="1"/>
      <protection locked="0"/>
    </xf>
    <xf numFmtId="0" fontId="72" fillId="13" borderId="13"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13"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85" fillId="5" borderId="3" xfId="1" applyNumberFormat="1" applyFont="1" applyFill="1" applyBorder="1" applyAlignment="1" applyProtection="1">
      <alignment horizontal="center" vertical="center" wrapText="1"/>
    </xf>
    <xf numFmtId="0" fontId="85"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72" fillId="0" borderId="71"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13" borderId="0" xfId="1" applyNumberFormat="1" applyFont="1" applyFill="1" applyBorder="1" applyAlignment="1" applyProtection="1">
      <alignment horizontal="center" vertical="center" wrapText="1"/>
      <protection locked="0"/>
    </xf>
    <xf numFmtId="0" fontId="81" fillId="13" borderId="13" xfId="1" applyFont="1" applyFill="1" applyBorder="1" applyAlignment="1" applyProtection="1">
      <alignment horizontal="center" vertical="center" wrapText="1"/>
      <protection locked="0"/>
    </xf>
    <xf numFmtId="9" fontId="81" fillId="13" borderId="0" xfId="1" applyNumberFormat="1" applyFont="1" applyFill="1" applyBorder="1" applyAlignment="1" applyProtection="1">
      <alignment horizontal="center" vertical="center" wrapText="1"/>
      <protection locked="0"/>
    </xf>
    <xf numFmtId="0" fontId="81" fillId="13" borderId="0" xfId="1" applyFont="1" applyFill="1" applyAlignment="1" applyProtection="1">
      <alignment horizontal="center" vertical="center"/>
      <protection locked="0"/>
    </xf>
    <xf numFmtId="0" fontId="81" fillId="13" borderId="13" xfId="1" applyFont="1" applyFill="1" applyBorder="1" applyAlignment="1" applyProtection="1">
      <alignment horizontal="center" vertical="center"/>
      <protection locked="0"/>
    </xf>
    <xf numFmtId="9" fontId="81" fillId="13"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13" borderId="13"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75"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76" fillId="5" borderId="24" xfId="1" applyNumberFormat="1" applyFont="1" applyFill="1" applyBorder="1" applyAlignment="1" applyProtection="1">
      <alignment vertical="center" wrapText="1"/>
    </xf>
    <xf numFmtId="0" fontId="72" fillId="0" borderId="74" xfId="1" applyNumberFormat="1" applyFont="1" applyFill="1" applyBorder="1" applyAlignment="1" applyProtection="1">
      <alignment horizontal="left" vertical="center" wrapText="1"/>
      <protection locked="0"/>
    </xf>
    <xf numFmtId="0" fontId="72" fillId="0" borderId="75" xfId="1" applyNumberFormat="1" applyFont="1" applyFill="1" applyBorder="1" applyAlignment="1" applyProtection="1">
      <alignment horizontal="center" vertical="center" wrapText="1"/>
      <protection locked="0"/>
    </xf>
    <xf numFmtId="49" fontId="85" fillId="0" borderId="6" xfId="1" applyNumberFormat="1" applyFont="1" applyFill="1" applyBorder="1" applyAlignment="1" applyProtection="1">
      <alignment horizontal="center" vertical="center" wrapText="1"/>
      <protection locked="0"/>
    </xf>
    <xf numFmtId="49" fontId="106" fillId="0" borderId="6" xfId="1" applyNumberFormat="1" applyFont="1" applyFill="1" applyBorder="1" applyAlignment="1" applyProtection="1">
      <alignment horizontal="center" vertical="center" wrapText="1"/>
      <protection locked="0"/>
    </xf>
    <xf numFmtId="49" fontId="106" fillId="0" borderId="6" xfId="1" applyNumberFormat="1" applyFont="1" applyFill="1" applyBorder="1" applyAlignment="1" applyProtection="1">
      <alignment horizontal="left" vertical="center" wrapText="1"/>
      <protection locked="0"/>
    </xf>
    <xf numFmtId="49" fontId="106" fillId="0" borderId="7"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72" fillId="5" borderId="2" xfId="1" applyNumberFormat="1" applyFont="1" applyFill="1" applyBorder="1" applyAlignment="1" applyProtection="1">
      <alignment horizontal="center" vertical="center" wrapText="1"/>
    </xf>
    <xf numFmtId="0" fontId="85" fillId="0" borderId="3" xfId="1" applyNumberFormat="1" applyFont="1" applyFill="1" applyBorder="1" applyAlignment="1" applyProtection="1">
      <alignment horizontal="center" vertical="center" wrapText="1"/>
      <protection locked="0"/>
    </xf>
    <xf numFmtId="0" fontId="106" fillId="0" borderId="3" xfId="1" applyNumberFormat="1" applyFont="1" applyFill="1" applyBorder="1" applyAlignment="1" applyProtection="1">
      <alignment horizontal="center" vertical="center" wrapText="1"/>
      <protection locked="0"/>
    </xf>
    <xf numFmtId="0" fontId="106" fillId="0" borderId="3" xfId="1" applyNumberFormat="1" applyFont="1" applyFill="1" applyBorder="1" applyAlignment="1" applyProtection="1">
      <alignment horizontal="left" vertical="center" wrapText="1"/>
      <protection locked="0"/>
    </xf>
    <xf numFmtId="0" fontId="106" fillId="0" borderId="52" xfId="1" applyNumberFormat="1" applyFont="1" applyFill="1" applyBorder="1" applyAlignment="1" applyProtection="1">
      <alignment horizontal="center" vertical="center" wrapText="1"/>
      <protection locked="0"/>
    </xf>
    <xf numFmtId="0" fontId="72" fillId="5" borderId="71" xfId="1" applyNumberFormat="1" applyFont="1" applyFill="1" applyBorder="1" applyAlignment="1" applyProtection="1">
      <alignment horizontal="center" vertical="center" wrapText="1"/>
    </xf>
    <xf numFmtId="0" fontId="101" fillId="5" borderId="24" xfId="1" applyNumberFormat="1" applyFont="1" applyFill="1" applyBorder="1" applyAlignment="1" applyProtection="1">
      <alignment vertical="center" textRotation="255" wrapText="1"/>
    </xf>
    <xf numFmtId="0" fontId="72" fillId="5" borderId="75" xfId="1" applyNumberFormat="1" applyFont="1" applyFill="1" applyBorder="1" applyAlignment="1" applyProtection="1">
      <alignment horizontal="center" vertical="center" wrapText="1"/>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5" borderId="73" xfId="1" applyNumberFormat="1" applyFont="1" applyFill="1" applyBorder="1" applyAlignment="1" applyProtection="1">
      <alignment horizontal="center" vertical="center" wrapText="1"/>
    </xf>
    <xf numFmtId="0" fontId="85" fillId="13" borderId="13" xfId="1" applyFont="1" applyFill="1" applyBorder="1" applyAlignment="1" applyProtection="1">
      <alignment horizontal="center" vertical="center" wrapText="1"/>
      <protection locked="0"/>
    </xf>
    <xf numFmtId="9" fontId="85" fillId="13" borderId="0" xfId="1" applyNumberFormat="1" applyFont="1" applyFill="1" applyBorder="1" applyAlignment="1" applyProtection="1">
      <alignment horizontal="center" vertical="center" wrapText="1"/>
      <protection locked="0"/>
    </xf>
    <xf numFmtId="187" fontId="85" fillId="0" borderId="0" xfId="1" applyNumberFormat="1" applyFont="1" applyFill="1" applyAlignment="1" applyProtection="1">
      <alignment horizontal="center" vertical="center"/>
      <protection locked="0"/>
    </xf>
    <xf numFmtId="181" fontId="85" fillId="0" borderId="0" xfId="1" applyNumberFormat="1" applyFont="1" applyFill="1" applyAlignment="1" applyProtection="1">
      <alignment horizontal="center" vertical="center"/>
      <protection locked="0"/>
    </xf>
    <xf numFmtId="0" fontId="85" fillId="0" borderId="13" xfId="1" applyFont="1" applyFill="1" applyBorder="1" applyAlignment="1" applyProtection="1">
      <alignment horizontal="center" vertical="center"/>
      <protection locked="0"/>
    </xf>
    <xf numFmtId="0" fontId="102" fillId="5" borderId="84" xfId="1" applyFont="1" applyFill="1" applyBorder="1" applyAlignment="1" applyProtection="1">
      <alignment horizontal="right" vertical="center"/>
    </xf>
    <xf numFmtId="0" fontId="102" fillId="5" borderId="85" xfId="1" applyFont="1" applyFill="1" applyBorder="1" applyAlignment="1" applyProtection="1">
      <alignment horizontal="center" vertical="center"/>
    </xf>
    <xf numFmtId="0" fontId="102" fillId="5" borderId="86" xfId="1" applyFont="1" applyFill="1" applyBorder="1" applyAlignment="1" applyProtection="1">
      <alignment vertical="center"/>
      <protection locked="0"/>
    </xf>
    <xf numFmtId="0" fontId="103" fillId="5" borderId="85" xfId="1" applyFont="1" applyFill="1" applyBorder="1" applyAlignment="1" applyProtection="1">
      <alignment vertical="center"/>
    </xf>
    <xf numFmtId="0" fontId="102" fillId="5" borderId="85" xfId="1" applyFont="1" applyFill="1" applyBorder="1" applyAlignment="1" applyProtection="1">
      <alignment vertical="center"/>
    </xf>
    <xf numFmtId="187" fontId="102" fillId="5" borderId="85" xfId="1" applyNumberFormat="1" applyFont="1" applyFill="1" applyBorder="1" applyAlignment="1" applyProtection="1">
      <alignment horizontal="center" vertical="center"/>
    </xf>
    <xf numFmtId="181" fontId="102" fillId="5" borderId="85" xfId="1" applyNumberFormat="1" applyFont="1" applyFill="1" applyBorder="1" applyAlignment="1" applyProtection="1">
      <alignment vertical="center"/>
    </xf>
    <xf numFmtId="0" fontId="102" fillId="5" borderId="157" xfId="1" applyFont="1" applyFill="1" applyBorder="1" applyAlignment="1" applyProtection="1">
      <alignment horizontal="center" vertical="center"/>
    </xf>
    <xf numFmtId="0" fontId="98" fillId="5" borderId="0" xfId="1" applyFont="1" applyFill="1" applyBorder="1" applyAlignment="1" applyProtection="1">
      <alignment vertical="center"/>
    </xf>
    <xf numFmtId="187" fontId="98" fillId="5" borderId="0" xfId="1" applyNumberFormat="1" applyFont="1" applyFill="1" applyBorder="1" applyAlignment="1" applyProtection="1">
      <alignment horizontal="center" vertical="center"/>
      <protection locked="0"/>
    </xf>
    <xf numFmtId="181" fontId="98" fillId="13" borderId="0" xfId="1" applyNumberFormat="1" applyFont="1" applyFill="1" applyBorder="1" applyAlignment="1" applyProtection="1">
      <alignment vertical="center"/>
      <protection locked="0"/>
    </xf>
    <xf numFmtId="0" fontId="98" fillId="13" borderId="0" xfId="1" applyFont="1" applyFill="1" applyBorder="1" applyAlignment="1" applyProtection="1">
      <alignment horizontal="center" vertical="center"/>
      <protection locked="0"/>
    </xf>
    <xf numFmtId="0" fontId="98" fillId="5" borderId="31"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7" fillId="5" borderId="0" xfId="1" applyFont="1" applyFill="1" applyBorder="1" applyAlignment="1" applyProtection="1">
      <alignment horizontal="center" vertical="center"/>
    </xf>
    <xf numFmtId="0" fontId="107" fillId="0" borderId="0" xfId="1" applyFont="1" applyFill="1" applyAlignment="1" applyProtection="1">
      <alignment horizontal="center" vertical="center"/>
      <protection locked="0"/>
    </xf>
    <xf numFmtId="0" fontId="74" fillId="5" borderId="0" xfId="1" applyFont="1" applyFill="1" applyBorder="1" applyAlignment="1" applyProtection="1">
      <alignment vertical="center"/>
      <protection locked="0"/>
    </xf>
    <xf numFmtId="0" fontId="107" fillId="5" borderId="0" xfId="1" applyFont="1" applyFill="1" applyAlignment="1" applyProtection="1">
      <alignment horizontal="center" vertical="center"/>
    </xf>
    <xf numFmtId="187" fontId="72" fillId="5" borderId="57" xfId="1" applyNumberFormat="1" applyFont="1" applyFill="1" applyBorder="1" applyAlignment="1" applyProtection="1">
      <alignment horizontal="center" vertical="center" wrapText="1"/>
    </xf>
    <xf numFmtId="187" fontId="72" fillId="5" borderId="16" xfId="1" applyNumberFormat="1" applyFont="1" applyFill="1" applyBorder="1" applyAlignment="1" applyProtection="1">
      <alignment horizontal="center" vertical="center" wrapText="1"/>
    </xf>
    <xf numFmtId="0" fontId="72" fillId="5" borderId="16" xfId="1" applyNumberFormat="1" applyFont="1" applyFill="1" applyBorder="1" applyAlignment="1" applyProtection="1">
      <alignment horizontal="center" vertical="center" wrapText="1"/>
    </xf>
    <xf numFmtId="49" fontId="72" fillId="2" borderId="62" xfId="1" applyNumberFormat="1" applyFont="1" applyFill="1" applyBorder="1" applyAlignment="1" applyProtection="1">
      <alignment horizontal="center" vertical="center" wrapText="1"/>
      <protection locked="0"/>
    </xf>
    <xf numFmtId="0" fontId="76" fillId="5" borderId="53" xfId="1" applyFont="1" applyFill="1" applyBorder="1" applyAlignment="1" applyProtection="1">
      <alignment vertical="center" wrapText="1"/>
    </xf>
    <xf numFmtId="0" fontId="72" fillId="5" borderId="29" xfId="1" applyFont="1" applyFill="1" applyBorder="1" applyAlignment="1" applyProtection="1">
      <alignment horizontal="center" vertical="center" wrapText="1"/>
    </xf>
    <xf numFmtId="0" fontId="82" fillId="0" borderId="59" xfId="1" applyNumberFormat="1" applyFont="1" applyFill="1" applyBorder="1" applyAlignment="1" applyProtection="1">
      <alignment horizontal="center" vertical="center" wrapText="1"/>
      <protection locked="0"/>
    </xf>
    <xf numFmtId="49" fontId="287" fillId="2" borderId="42" xfId="1" applyNumberFormat="1" applyFont="1" applyFill="1" applyBorder="1" applyAlignment="1" applyProtection="1">
      <alignment horizontal="center" vertical="center" wrapText="1"/>
      <protection locked="0"/>
    </xf>
    <xf numFmtId="0" fontId="72" fillId="5" borderId="29" xfId="1" applyNumberFormat="1" applyFont="1" applyFill="1" applyBorder="1" applyAlignment="1" applyProtection="1">
      <alignment horizontal="center" vertical="center" wrapText="1"/>
    </xf>
    <xf numFmtId="0" fontId="104" fillId="5" borderId="24" xfId="1" applyFont="1" applyFill="1" applyBorder="1" applyAlignment="1" applyProtection="1">
      <alignment vertical="center" wrapText="1"/>
    </xf>
    <xf numFmtId="0" fontId="72" fillId="5" borderId="5" xfId="1" applyFont="1" applyFill="1" applyBorder="1" applyAlignment="1" applyProtection="1">
      <alignment horizontal="center" vertical="center" wrapText="1"/>
    </xf>
    <xf numFmtId="0" fontId="72" fillId="5" borderId="5" xfId="1" applyNumberFormat="1" applyFont="1" applyFill="1" applyBorder="1" applyAlignment="1" applyProtection="1">
      <alignment horizontal="center" vertical="center" wrapText="1"/>
    </xf>
    <xf numFmtId="0" fontId="107" fillId="0" borderId="1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wrapText="1"/>
    </xf>
    <xf numFmtId="0" fontId="72" fillId="0" borderId="11" xfId="1" applyNumberFormat="1" applyFont="1" applyFill="1" applyBorder="1" applyAlignment="1" applyProtection="1">
      <alignment horizontal="center" vertical="center" wrapText="1"/>
      <protection locked="0"/>
    </xf>
    <xf numFmtId="0" fontId="72" fillId="0" borderId="9"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wrapText="1"/>
    </xf>
    <xf numFmtId="0" fontId="72" fillId="0" borderId="4" xfId="1" applyFont="1" applyFill="1" applyBorder="1" applyAlignment="1" applyProtection="1">
      <alignment horizontal="center" vertical="center" wrapText="1"/>
      <protection locked="0"/>
    </xf>
    <xf numFmtId="0" fontId="107" fillId="5" borderId="16" xfId="1" applyNumberFormat="1" applyFont="1" applyFill="1" applyBorder="1" applyAlignment="1" applyProtection="1">
      <alignment horizontal="center" vertical="center" wrapText="1"/>
    </xf>
    <xf numFmtId="0" fontId="84" fillId="5" borderId="23" xfId="1" applyFont="1" applyFill="1" applyBorder="1" applyAlignment="1" applyProtection="1">
      <alignment vertical="center" wrapText="1"/>
    </xf>
    <xf numFmtId="0" fontId="72" fillId="0" borderId="45" xfId="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85" fillId="5" borderId="45" xfId="1" applyNumberFormat="1" applyFont="1" applyFill="1" applyBorder="1" applyAlignment="1" applyProtection="1">
      <alignment horizontal="center" vertical="center" wrapText="1"/>
    </xf>
    <xf numFmtId="0" fontId="84" fillId="5" borderId="53" xfId="1" applyFont="1" applyFill="1" applyBorder="1" applyAlignment="1" applyProtection="1">
      <alignment vertical="center" wrapText="1"/>
    </xf>
    <xf numFmtId="0" fontId="72" fillId="5" borderId="40" xfId="1" applyFont="1" applyFill="1" applyBorder="1" applyAlignment="1" applyProtection="1">
      <alignment horizontal="center" vertical="center" wrapText="1"/>
    </xf>
    <xf numFmtId="49" fontId="85" fillId="5" borderId="53" xfId="1" applyNumberFormat="1" applyFont="1" applyFill="1" applyBorder="1" applyAlignment="1" applyProtection="1">
      <alignment horizontal="center" vertical="center" wrapText="1"/>
    </xf>
    <xf numFmtId="0" fontId="107" fillId="0" borderId="76" xfId="1" applyNumberFormat="1" applyFont="1" applyFill="1" applyBorder="1" applyAlignment="1" applyProtection="1">
      <alignment horizontal="center" vertical="center" wrapText="1"/>
      <protection locked="0"/>
    </xf>
    <xf numFmtId="0" fontId="85" fillId="5" borderId="0" xfId="1" applyFont="1" applyFill="1" applyBorder="1" applyAlignment="1" applyProtection="1">
      <alignment horizontal="center" vertical="center"/>
    </xf>
    <xf numFmtId="0" fontId="107" fillId="5" borderId="77" xfId="1" applyNumberFormat="1" applyFont="1" applyFill="1" applyBorder="1" applyAlignment="1" applyProtection="1">
      <alignment horizontal="center" vertical="center" wrapText="1"/>
    </xf>
    <xf numFmtId="0" fontId="72" fillId="5" borderId="4" xfId="1" applyFont="1" applyFill="1" applyBorder="1" applyAlignment="1" applyProtection="1">
      <alignment horizontal="center" vertical="center" wrapText="1"/>
    </xf>
    <xf numFmtId="0" fontId="72" fillId="5" borderId="17" xfId="1" applyFont="1" applyFill="1" applyBorder="1" applyAlignment="1" applyProtection="1">
      <alignment horizontal="center" vertical="center" wrapText="1"/>
    </xf>
    <xf numFmtId="0" fontId="72" fillId="5" borderId="13" xfId="1" applyFont="1" applyFill="1" applyBorder="1" applyAlignment="1" applyProtection="1">
      <alignment horizontal="center" vertical="center" wrapText="1"/>
    </xf>
    <xf numFmtId="0" fontId="107" fillId="5" borderId="79" xfId="1" applyNumberFormat="1" applyFont="1" applyFill="1" applyBorder="1" applyAlignment="1" applyProtection="1">
      <alignment horizontal="center" vertical="center" wrapText="1"/>
    </xf>
    <xf numFmtId="49" fontId="85" fillId="2" borderId="9" xfId="1" applyNumberFormat="1" applyFont="1" applyFill="1" applyBorder="1" applyAlignment="1" applyProtection="1">
      <alignment horizontal="center" vertical="center" wrapText="1"/>
      <protection locked="0"/>
    </xf>
    <xf numFmtId="0" fontId="72" fillId="0" borderId="5" xfId="1" applyFont="1" applyFill="1" applyBorder="1" applyAlignment="1" applyProtection="1">
      <alignment horizontal="center" vertical="center" wrapText="1"/>
      <protection locked="0"/>
    </xf>
    <xf numFmtId="0" fontId="72" fillId="5" borderId="51"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85" fillId="2" borderId="1" xfId="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145" fillId="2" borderId="42" xfId="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4" fillId="5" borderId="24" xfId="1" applyFont="1" applyFill="1" applyBorder="1" applyAlignment="1" applyProtection="1">
      <alignment vertical="center" textRotation="255" wrapText="1"/>
    </xf>
    <xf numFmtId="0" fontId="85" fillId="2" borderId="11" xfId="1" applyFont="1" applyFill="1" applyBorder="1" applyAlignment="1" applyProtection="1">
      <alignment horizontal="center" vertical="center" wrapText="1"/>
      <protection locked="0"/>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82" fillId="0" borderId="5" xfId="1" applyFont="1" applyFill="1" applyBorder="1" applyAlignment="1" applyProtection="1">
      <alignment horizontal="center" vertical="center" wrapText="1"/>
      <protection locked="0"/>
    </xf>
    <xf numFmtId="0" fontId="287" fillId="0" borderId="64" xfId="1" applyNumberFormat="1" applyFont="1" applyFill="1" applyBorder="1" applyAlignment="1" applyProtection="1">
      <alignment horizontal="center" vertical="center" wrapText="1"/>
      <protection locked="0"/>
    </xf>
    <xf numFmtId="0" fontId="145" fillId="0" borderId="64" xfId="1" applyNumberFormat="1" applyFont="1" applyFill="1" applyBorder="1" applyAlignment="1" applyProtection="1">
      <alignment horizontal="center" vertical="center" wrapText="1"/>
      <protection locked="0"/>
    </xf>
    <xf numFmtId="0" fontId="84" fillId="5" borderId="23" xfId="1" applyFont="1" applyFill="1" applyBorder="1" applyAlignment="1" applyProtection="1">
      <alignment vertical="center" textRotation="255" wrapText="1"/>
    </xf>
    <xf numFmtId="49" fontId="84" fillId="5" borderId="30" xfId="1" applyNumberFormat="1" applyFont="1" applyFill="1" applyBorder="1" applyAlignment="1" applyProtection="1">
      <alignment vertical="center"/>
    </xf>
    <xf numFmtId="187" fontId="85" fillId="5" borderId="16" xfId="1" applyNumberFormat="1" applyFont="1" applyFill="1" applyBorder="1" applyAlignment="1" applyProtection="1">
      <alignment horizontal="center" vertical="center"/>
    </xf>
    <xf numFmtId="176" fontId="85" fillId="17" borderId="16" xfId="1" applyNumberFormat="1" applyFont="1" applyFill="1" applyBorder="1" applyAlignment="1" applyProtection="1">
      <alignment horizontal="left" vertical="center" wrapText="1"/>
    </xf>
    <xf numFmtId="0" fontId="84" fillId="5" borderId="61" xfId="1" applyNumberFormat="1" applyFont="1" applyFill="1" applyBorder="1" applyAlignment="1" applyProtection="1">
      <alignment vertical="center" wrapText="1"/>
      <protection locked="0"/>
    </xf>
    <xf numFmtId="187" fontId="85" fillId="5" borderId="46" xfId="1" applyNumberFormat="1" applyFont="1" applyFill="1" applyBorder="1" applyAlignment="1" applyProtection="1">
      <alignment horizontal="center" vertical="center" wrapText="1"/>
    </xf>
    <xf numFmtId="0" fontId="85" fillId="0" borderId="31" xfId="1" applyFont="1" applyFill="1" applyBorder="1" applyAlignment="1" applyProtection="1">
      <alignment horizontal="center" vertical="center"/>
      <protection locked="0"/>
    </xf>
    <xf numFmtId="0" fontId="106" fillId="0" borderId="31" xfId="1" applyFont="1" applyFill="1" applyBorder="1" applyAlignment="1" applyProtection="1">
      <alignment horizontal="center" vertical="center"/>
      <protection locked="0"/>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0" fontId="85" fillId="0" borderId="31" xfId="1" applyFont="1" applyBorder="1" applyAlignment="1" applyProtection="1">
      <protection locked="0"/>
    </xf>
    <xf numFmtId="9" fontId="72" fillId="0" borderId="0" xfId="1" applyNumberFormat="1" applyFont="1" applyFill="1" applyBorder="1" applyAlignment="1" applyProtection="1">
      <alignment horizontal="center" vertical="center" wrapText="1"/>
      <protection locked="0"/>
    </xf>
    <xf numFmtId="188" fontId="72" fillId="5" borderId="58" xfId="1" applyNumberFormat="1" applyFont="1" applyFill="1" applyBorder="1" applyAlignment="1" applyProtection="1">
      <alignment horizontal="center" vertical="center" wrapText="1"/>
    </xf>
    <xf numFmtId="49" fontId="72" fillId="0" borderId="31" xfId="1" applyNumberFormat="1" applyFont="1" applyFill="1" applyBorder="1" applyAlignment="1" applyProtection="1">
      <alignment horizontal="center" vertical="center"/>
      <protection locked="0"/>
    </xf>
    <xf numFmtId="0" fontId="76" fillId="5" borderId="0" xfId="1" applyNumberFormat="1" applyFont="1" applyFill="1" applyBorder="1" applyAlignment="1" applyProtection="1">
      <alignment vertical="center" wrapText="1"/>
    </xf>
    <xf numFmtId="0" fontId="85" fillId="5" borderId="10" xfId="1" applyNumberFormat="1" applyFont="1" applyFill="1" applyBorder="1" applyAlignment="1" applyProtection="1">
      <alignment horizontal="center" vertical="center" wrapText="1"/>
      <protection locked="0"/>
    </xf>
    <xf numFmtId="0" fontId="72" fillId="0" borderId="32" xfId="1" applyNumberFormat="1" applyFont="1" applyFill="1" applyBorder="1" applyAlignment="1" applyProtection="1">
      <alignment horizontal="center" vertical="center" wrapText="1"/>
      <protection locked="0"/>
    </xf>
    <xf numFmtId="9" fontId="72" fillId="0" borderId="31"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150" fillId="0" borderId="31" xfId="1" applyFont="1" applyFill="1" applyBorder="1" applyAlignment="1" applyProtection="1">
      <alignment vertical="center"/>
      <protection locked="0"/>
    </xf>
    <xf numFmtId="0" fontId="106" fillId="5" borderId="0" xfId="1" applyNumberFormat="1" applyFont="1" applyFill="1" applyBorder="1" applyAlignment="1" applyProtection="1">
      <alignment horizontal="center" vertical="center" wrapText="1"/>
      <protection locked="0"/>
    </xf>
    <xf numFmtId="0" fontId="72" fillId="0" borderId="31" xfId="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81" fillId="5" borderId="0"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horizontal="center" vertical="center" wrapText="1"/>
      <protection locked="0"/>
    </xf>
    <xf numFmtId="9" fontId="81" fillId="0" borderId="0"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horizontal="center" vertical="center"/>
      <protection locked="0"/>
    </xf>
    <xf numFmtId="9" fontId="81" fillId="0" borderId="0" xfId="1" applyNumberFormat="1" applyFont="1" applyFill="1" applyBorder="1" applyAlignment="1" applyProtection="1">
      <alignment horizontal="center" vertical="center"/>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0" borderId="31" xfId="1" applyFont="1" applyFill="1" applyBorder="1" applyAlignment="1" applyProtection="1">
      <alignment vertical="center" wrapText="1"/>
      <protection locked="0"/>
    </xf>
    <xf numFmtId="0" fontId="72" fillId="0" borderId="78" xfId="1" applyNumberFormat="1" applyFont="1" applyFill="1" applyBorder="1" applyAlignment="1" applyProtection="1">
      <alignment horizontal="center" vertical="center"/>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4" fillId="5" borderId="23" xfId="1" applyNumberFormat="1" applyFont="1" applyFill="1" applyBorder="1" applyAlignment="1" applyProtection="1">
      <alignment vertical="center" wrapText="1"/>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45" fillId="0" borderId="6" xfId="1" applyNumberFormat="1" applyFont="1" applyFill="1" applyBorder="1" applyAlignment="1" applyProtection="1">
      <alignment horizontal="center" vertical="center" wrapText="1"/>
      <protection locked="0"/>
    </xf>
    <xf numFmtId="0" fontId="72" fillId="5" borderId="13" xfId="1" applyNumberFormat="1" applyFont="1" applyFill="1" applyBorder="1" applyAlignment="1" applyProtection="1">
      <alignment horizontal="center" vertical="center"/>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2" xfId="1" applyNumberFormat="1" applyFont="1" applyFill="1" applyBorder="1" applyAlignment="1" applyProtection="1">
      <alignment horizontal="center" vertical="center" wrapText="1"/>
    </xf>
    <xf numFmtId="0" fontId="81" fillId="5" borderId="2" xfId="1" applyNumberFormat="1" applyFont="1" applyFill="1" applyBorder="1" applyAlignment="1" applyProtection="1">
      <alignment horizontal="left" vertical="center" wrapText="1"/>
    </xf>
    <xf numFmtId="0" fontId="81" fillId="5" borderId="12"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82" fillId="0" borderId="74" xfId="1" applyNumberFormat="1" applyFont="1" applyFill="1" applyBorder="1" applyAlignment="1" applyProtection="1">
      <alignment horizontal="center" vertical="center" wrapText="1"/>
      <protection locked="0"/>
    </xf>
    <xf numFmtId="0" fontId="145" fillId="0" borderId="74" xfId="1" applyNumberFormat="1" applyFont="1" applyFill="1" applyBorder="1" applyAlignment="1" applyProtection="1">
      <alignment horizontal="center" vertical="center" wrapText="1"/>
      <protection locked="0"/>
    </xf>
    <xf numFmtId="0" fontId="154" fillId="0" borderId="0" xfId="1" applyFont="1" applyFill="1" applyAlignment="1" applyProtection="1">
      <alignment horizontal="left" vertical="center"/>
      <protection locked="0"/>
    </xf>
    <xf numFmtId="0" fontId="150" fillId="5" borderId="26" xfId="1" applyFont="1" applyFill="1" applyBorder="1" applyAlignment="1" applyProtection="1">
      <alignment horizontal="center" vertical="center"/>
    </xf>
    <xf numFmtId="0" fontId="107" fillId="5" borderId="28" xfId="1" applyFont="1" applyFill="1" applyBorder="1" applyAlignment="1" applyProtection="1">
      <alignment horizontal="center" vertical="center"/>
    </xf>
    <xf numFmtId="0" fontId="85" fillId="5" borderId="28" xfId="1" applyFont="1" applyFill="1" applyBorder="1" applyAlignment="1" applyProtection="1">
      <alignment horizontal="center" vertical="center"/>
    </xf>
    <xf numFmtId="0" fontId="85" fillId="5" borderId="39" xfId="1" applyFont="1" applyFill="1" applyBorder="1" applyAlignment="1" applyProtection="1">
      <alignment horizontal="center" vertical="center"/>
    </xf>
    <xf numFmtId="0" fontId="150" fillId="5" borderId="28" xfId="1" applyFont="1" applyFill="1" applyBorder="1" applyAlignment="1" applyProtection="1">
      <alignment horizontal="center" vertical="center"/>
    </xf>
    <xf numFmtId="0" fontId="107" fillId="5" borderId="39" xfId="1" applyFont="1" applyFill="1" applyBorder="1" applyAlignment="1" applyProtection="1">
      <alignment horizontal="center" vertical="center"/>
    </xf>
    <xf numFmtId="0" fontId="107" fillId="5" borderId="87" xfId="1" applyFont="1" applyFill="1" applyBorder="1" applyProtection="1">
      <alignment vertical="center"/>
    </xf>
    <xf numFmtId="0" fontId="150" fillId="5" borderId="2" xfId="1" applyFont="1" applyFill="1" applyBorder="1" applyAlignment="1" applyProtection="1">
      <alignment horizontal="center" vertical="center"/>
    </xf>
    <xf numFmtId="0" fontId="150" fillId="5" borderId="5" xfId="1" applyFont="1" applyFill="1" applyBorder="1" applyAlignment="1" applyProtection="1">
      <alignment horizontal="center" vertical="center"/>
    </xf>
    <xf numFmtId="0" fontId="150" fillId="5" borderId="94" xfId="1" applyFont="1" applyFill="1" applyBorder="1" applyAlignment="1" applyProtection="1">
      <alignment horizontal="center" vertical="center"/>
    </xf>
    <xf numFmtId="0" fontId="150" fillId="5" borderId="12" xfId="1" applyFont="1" applyFill="1" applyBorder="1" applyAlignment="1" applyProtection="1">
      <alignment horizontal="center" vertical="center"/>
    </xf>
    <xf numFmtId="0" fontId="107" fillId="5" borderId="19" xfId="1" applyFont="1" applyFill="1" applyBorder="1" applyAlignment="1" applyProtection="1">
      <alignment horizontal="center" vertical="center"/>
    </xf>
    <xf numFmtId="0" fontId="107" fillId="5" borderId="50" xfId="1" applyFont="1" applyFill="1" applyBorder="1" applyAlignment="1" applyProtection="1">
      <alignment horizontal="center" vertical="center"/>
    </xf>
    <xf numFmtId="0" fontId="107" fillId="0" borderId="21" xfId="1" applyFont="1" applyBorder="1" applyAlignment="1" applyProtection="1">
      <alignment horizontal="center" vertical="center"/>
      <protection locked="0"/>
    </xf>
    <xf numFmtId="0" fontId="150" fillId="0" borderId="21" xfId="1" applyFont="1" applyBorder="1" applyAlignment="1" applyProtection="1">
      <alignment horizontal="center" vertical="center"/>
      <protection locked="0"/>
    </xf>
    <xf numFmtId="0" fontId="107" fillId="0" borderId="17" xfId="1" applyFont="1" applyBorder="1" applyAlignment="1" applyProtection="1">
      <alignment horizontal="center" vertical="center"/>
      <protection locked="0"/>
    </xf>
    <xf numFmtId="0" fontId="107" fillId="0" borderId="93" xfId="1" applyFont="1" applyFill="1" applyBorder="1" applyAlignment="1" applyProtection="1">
      <alignment horizontal="center" vertical="center"/>
      <protection locked="0"/>
    </xf>
    <xf numFmtId="0" fontId="107" fillId="0" borderId="51" xfId="1" applyFont="1" applyBorder="1" applyAlignment="1" applyProtection="1">
      <alignment horizontal="center" vertical="center"/>
      <protection locked="0"/>
    </xf>
    <xf numFmtId="0" fontId="150" fillId="5" borderId="20" xfId="1" applyFont="1" applyFill="1" applyBorder="1" applyAlignment="1" applyProtection="1">
      <alignment horizontal="center" vertical="center"/>
    </xf>
    <xf numFmtId="185" fontId="107" fillId="5" borderId="51" xfId="1" applyNumberFormat="1" applyFont="1" applyFill="1" applyBorder="1" applyAlignment="1" applyProtection="1">
      <alignment horizontal="center" vertical="center"/>
    </xf>
    <xf numFmtId="0" fontId="107" fillId="5" borderId="11" xfId="1" applyFont="1" applyFill="1" applyBorder="1" applyAlignment="1" applyProtection="1">
      <alignment horizontal="center" vertical="center"/>
    </xf>
    <xf numFmtId="0" fontId="107" fillId="0" borderId="2" xfId="1" applyFont="1" applyBorder="1" applyAlignment="1" applyProtection="1">
      <alignment horizontal="center" vertical="center"/>
      <protection locked="0"/>
    </xf>
    <xf numFmtId="0" fontId="107" fillId="0" borderId="5" xfId="1" applyFont="1" applyBorder="1" applyAlignment="1" applyProtection="1">
      <alignment horizontal="center" vertical="center"/>
      <protection locked="0"/>
    </xf>
    <xf numFmtId="0" fontId="107" fillId="0" borderId="94" xfId="1" applyFont="1" applyFill="1" applyBorder="1" applyAlignment="1" applyProtection="1">
      <alignment horizontal="center" vertical="center"/>
      <protection locked="0"/>
    </xf>
    <xf numFmtId="0" fontId="107" fillId="0" borderId="12" xfId="1" applyFont="1" applyBorder="1" applyAlignment="1" applyProtection="1">
      <alignment horizontal="center" vertical="center"/>
      <protection locked="0"/>
    </xf>
    <xf numFmtId="0" fontId="150" fillId="5" borderId="9" xfId="1" applyFont="1" applyFill="1" applyBorder="1" applyAlignment="1" applyProtection="1">
      <alignment horizontal="center" vertical="center"/>
    </xf>
    <xf numFmtId="0" fontId="107" fillId="5" borderId="2" xfId="1" applyFont="1" applyFill="1" applyBorder="1" applyAlignment="1" applyProtection="1">
      <alignment horizontal="center" vertical="center"/>
    </xf>
    <xf numFmtId="0" fontId="107" fillId="5" borderId="12" xfId="1" applyFont="1" applyFill="1" applyBorder="1" applyAlignment="1" applyProtection="1">
      <alignment horizontal="center" vertical="center"/>
    </xf>
    <xf numFmtId="178" fontId="107" fillId="5" borderId="12" xfId="1" applyNumberFormat="1" applyFont="1" applyFill="1" applyBorder="1" applyAlignment="1" applyProtection="1">
      <alignment horizontal="center" vertical="center"/>
    </xf>
    <xf numFmtId="178" fontId="107" fillId="0" borderId="12" xfId="1" applyNumberFormat="1" applyFont="1" applyBorder="1" applyAlignment="1" applyProtection="1">
      <alignment horizontal="center" vertical="center"/>
      <protection locked="0"/>
    </xf>
    <xf numFmtId="0" fontId="150" fillId="0" borderId="2" xfId="1" applyFont="1" applyBorder="1" applyAlignment="1" applyProtection="1">
      <alignment horizontal="center" vertical="center"/>
      <protection locked="0"/>
    </xf>
    <xf numFmtId="0" fontId="150" fillId="0" borderId="94" xfId="1" applyFont="1" applyFill="1" applyBorder="1" applyAlignment="1" applyProtection="1">
      <alignment horizontal="center" vertical="center"/>
      <protection locked="0"/>
    </xf>
    <xf numFmtId="0" fontId="150" fillId="5" borderId="43" xfId="1" applyFont="1" applyFill="1" applyBorder="1" applyAlignment="1" applyProtection="1">
      <alignment horizontal="center" vertical="center"/>
    </xf>
    <xf numFmtId="0" fontId="107" fillId="5" borderId="44" xfId="1" applyFont="1" applyFill="1" applyBorder="1" applyAlignment="1" applyProtection="1">
      <alignment horizontal="center" vertical="center"/>
    </xf>
    <xf numFmtId="0" fontId="107" fillId="5" borderId="61" xfId="1" applyFont="1" applyFill="1" applyBorder="1" applyAlignment="1" applyProtection="1">
      <alignment horizontal="center" vertical="center"/>
    </xf>
    <xf numFmtId="0" fontId="107" fillId="5" borderId="95" xfId="1" applyFont="1" applyFill="1" applyBorder="1" applyAlignment="1" applyProtection="1">
      <alignment horizontal="left" vertical="center"/>
    </xf>
    <xf numFmtId="0" fontId="85" fillId="5" borderId="61" xfId="1" applyFont="1" applyFill="1" applyBorder="1" applyAlignment="1" applyProtection="1">
      <alignment horizontal="center" vertical="center"/>
    </xf>
    <xf numFmtId="0" fontId="85" fillId="5" borderId="66" xfId="1" applyFont="1" applyFill="1" applyBorder="1" applyAlignment="1" applyProtection="1">
      <alignment horizontal="center" vertical="center"/>
    </xf>
    <xf numFmtId="0" fontId="150" fillId="5" borderId="47" xfId="1" applyFont="1" applyFill="1" applyBorder="1" applyAlignment="1" applyProtection="1">
      <alignment horizontal="center" vertical="center"/>
    </xf>
    <xf numFmtId="0" fontId="107" fillId="0" borderId="44" xfId="1" applyFont="1" applyBorder="1" applyAlignment="1" applyProtection="1">
      <alignment horizontal="center" vertical="center"/>
      <protection locked="0"/>
    </xf>
    <xf numFmtId="178" fontId="107" fillId="5" borderId="46" xfId="1" applyNumberFormat="1" applyFont="1" applyFill="1" applyBorder="1" applyAlignment="1" applyProtection="1">
      <alignment horizontal="center" vertical="center"/>
    </xf>
    <xf numFmtId="0" fontId="59" fillId="5" borderId="3"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5" fillId="5" borderId="2" xfId="1" applyFont="1" applyFill="1" applyBorder="1" applyAlignment="1" applyProtection="1">
      <alignment horizontal="center" vertical="center" wrapText="1"/>
    </xf>
    <xf numFmtId="0" fontId="85" fillId="5" borderId="2" xfId="1" applyNumberFormat="1" applyFont="1" applyFill="1" applyBorder="1" applyAlignment="1" applyProtection="1">
      <alignment horizontal="center" vertical="center"/>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0" fontId="84" fillId="17" borderId="2" xfId="1" applyNumberFormat="1" applyFont="1" applyFill="1" applyBorder="1" applyAlignment="1" applyProtection="1">
      <alignment horizontal="center" vertical="center"/>
    </xf>
    <xf numFmtId="0" fontId="85" fillId="5" borderId="22" xfId="1" applyFont="1" applyFill="1" applyBorder="1" applyAlignment="1" applyProtection="1">
      <alignment horizontal="center" vertical="center" textRotation="255" wrapText="1"/>
    </xf>
    <xf numFmtId="0" fontId="85" fillId="5" borderId="24" xfId="1" applyFont="1" applyFill="1" applyBorder="1" applyAlignment="1" applyProtection="1">
      <alignment horizontal="center" vertical="center" textRotation="255" wrapText="1"/>
    </xf>
    <xf numFmtId="0" fontId="85" fillId="5" borderId="5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85" fillId="5" borderId="21" xfId="1" applyFont="1" applyFill="1" applyBorder="1" applyAlignment="1" applyProtection="1">
      <alignment horizontal="center" vertical="center" textRotation="255" wrapText="1"/>
    </xf>
    <xf numFmtId="0" fontId="72" fillId="5" borderId="5"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85" fillId="5" borderId="11"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wrapText="1"/>
    </xf>
    <xf numFmtId="0" fontId="85" fillId="5" borderId="22" xfId="1" applyFont="1" applyFill="1" applyBorder="1" applyAlignment="1" applyProtection="1">
      <alignment horizontal="center" vertical="center" wrapText="1"/>
    </xf>
    <xf numFmtId="0" fontId="85" fillId="5" borderId="24" xfId="1"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0" fontId="263" fillId="0" borderId="22" xfId="1" applyFont="1" applyFill="1" applyBorder="1" applyAlignment="1" applyProtection="1">
      <alignment horizontal="center" vertical="center" wrapText="1"/>
      <protection locked="0"/>
    </xf>
    <xf numFmtId="0" fontId="263" fillId="0" borderId="25" xfId="1" applyFont="1" applyFill="1" applyBorder="1" applyAlignment="1" applyProtection="1">
      <alignment horizontal="center" vertical="center" wrapText="1"/>
      <protection locked="0"/>
    </xf>
    <xf numFmtId="0" fontId="263" fillId="0" borderId="32" xfId="1" applyFont="1" applyFill="1" applyBorder="1" applyAlignment="1" applyProtection="1">
      <alignment horizontal="center" vertical="center" wrapText="1"/>
      <protection locked="0"/>
    </xf>
    <xf numFmtId="0" fontId="263" fillId="0" borderId="4" xfId="1" applyFont="1" applyFill="1" applyBorder="1" applyAlignment="1" applyProtection="1">
      <alignment horizontal="center" vertical="center" wrapText="1"/>
      <protection locked="0"/>
    </xf>
    <xf numFmtId="0" fontId="72" fillId="5" borderId="8" xfId="1" applyFont="1" applyFill="1" applyBorder="1" applyAlignment="1" applyProtection="1">
      <alignment horizontal="center" vertical="center"/>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2" xfId="1" applyFont="1" applyFill="1" applyBorder="1" applyAlignment="1" applyProtection="1">
      <alignment horizontal="center" vertical="center" wrapText="1"/>
    </xf>
    <xf numFmtId="0" fontId="85" fillId="5" borderId="29"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263" fillId="0" borderId="11" xfId="1" applyFont="1" applyFill="1" applyBorder="1" applyAlignment="1" applyProtection="1">
      <alignment horizontal="center" vertical="center" wrapText="1"/>
      <protection locked="0"/>
    </xf>
    <xf numFmtId="0" fontId="263" fillId="0" borderId="12" xfId="1" applyFont="1" applyFill="1" applyBorder="1" applyAlignment="1" applyProtection="1">
      <alignment horizontal="center" vertical="center" wrapText="1"/>
      <protection locked="0"/>
    </xf>
    <xf numFmtId="0" fontId="281" fillId="0" borderId="9" xfId="1" applyFont="1" applyFill="1" applyBorder="1" applyAlignment="1" applyProtection="1">
      <alignment horizontal="center" vertical="center" wrapText="1"/>
      <protection locked="0"/>
    </xf>
    <xf numFmtId="0" fontId="263" fillId="0" borderId="5" xfId="1" applyFont="1" applyFill="1" applyBorder="1" applyAlignment="1" applyProtection="1">
      <alignment horizontal="center" vertical="center" wrapText="1"/>
      <protection locked="0"/>
    </xf>
    <xf numFmtId="0" fontId="262" fillId="0" borderId="11" xfId="1" applyFont="1" applyFill="1" applyBorder="1" applyAlignment="1" applyProtection="1">
      <alignment horizontal="center" vertical="center" wrapText="1"/>
      <protection locked="0"/>
    </xf>
    <xf numFmtId="0"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281" fillId="0" borderId="11" xfId="1" applyFont="1" applyFill="1" applyBorder="1" applyAlignment="1" applyProtection="1">
      <alignment horizontal="center" vertical="center" wrapText="1"/>
      <protection locked="0"/>
    </xf>
  </cellXfs>
  <cellStyles count="2003">
    <cellStyle name="百分比 2" xfId="11"/>
    <cellStyle name="百分比 3" xfId="16"/>
    <cellStyle name="百分比 3 2" xfId="17"/>
    <cellStyle name="百分比 3 2 2" xfId="18"/>
    <cellStyle name="百分比 3 2 2 2" xfId="19"/>
    <cellStyle name="百分比 3 2 3" xfId="20"/>
    <cellStyle name="百分比 3 3" xfId="21"/>
    <cellStyle name="百分比 3 3 2" xfId="22"/>
    <cellStyle name="百分比 3 3 2 2" xfId="23"/>
    <cellStyle name="百分比 3 3 3" xfId="24"/>
    <cellStyle name="百分比 3 4" xfId="25"/>
    <cellStyle name="百分比 3 4 2" xfId="26"/>
    <cellStyle name="百分比 3 5" xfId="27"/>
    <cellStyle name="百分比 4" xfId="28"/>
    <cellStyle name="百分比 4 2" xfId="29"/>
    <cellStyle name="百分比 4 2 2" xfId="30"/>
    <cellStyle name="百分比 4 3" xfId="31"/>
    <cellStyle name="百分比 5" xfId="32"/>
    <cellStyle name="百分比 5 2" xfId="33"/>
    <cellStyle name="百分比 6" xfId="34"/>
    <cellStyle name="百分比 6 2" xfId="35"/>
    <cellStyle name="常规" xfId="0" builtinId="0"/>
    <cellStyle name="常规 10" xfId="36"/>
    <cellStyle name="常规 10 2" xfId="37"/>
    <cellStyle name="常规 10 2 2" xfId="38"/>
    <cellStyle name="常规 10 2 2 2" xfId="39"/>
    <cellStyle name="常规 10 2 2 2 2" xfId="40"/>
    <cellStyle name="常规 10 2 2 2 2 2" xfId="41"/>
    <cellStyle name="常规 10 2 2 2 3" xfId="42"/>
    <cellStyle name="常规 10 2 2 3" xfId="43"/>
    <cellStyle name="常规 10 2 2 3 2" xfId="44"/>
    <cellStyle name="常规 10 2 2 3 2 2" xfId="45"/>
    <cellStyle name="常规 10 2 2 3 3" xfId="46"/>
    <cellStyle name="常规 10 2 2 4" xfId="47"/>
    <cellStyle name="常规 10 2 2 4 2" xfId="48"/>
    <cellStyle name="常规 10 2 2 5" xfId="49"/>
    <cellStyle name="常规 10 2 3" xfId="50"/>
    <cellStyle name="常规 10 2 3 2" xfId="51"/>
    <cellStyle name="常规 10 2 3 2 2" xfId="52"/>
    <cellStyle name="常规 10 2 3 3" xfId="53"/>
    <cellStyle name="常规 10 2 4" xfId="54"/>
    <cellStyle name="常规 10 2 4 2" xfId="55"/>
    <cellStyle name="常规 10 2 4 2 2" xfId="56"/>
    <cellStyle name="常规 10 2 4 3" xfId="57"/>
    <cellStyle name="常规 10 2 5" xfId="58"/>
    <cellStyle name="常规 10 2 5 2" xfId="59"/>
    <cellStyle name="常规 10 2 6" xfId="60"/>
    <cellStyle name="常规 10 3" xfId="61"/>
    <cellStyle name="常规 10 3 2" xfId="62"/>
    <cellStyle name="常规 10 3 2 2" xfId="63"/>
    <cellStyle name="常规 10 3 2 2 2" xfId="64"/>
    <cellStyle name="常规 10 3 2 3" xfId="65"/>
    <cellStyle name="常规 10 3 3" xfId="66"/>
    <cellStyle name="常规 10 3 3 2" xfId="67"/>
    <cellStyle name="常规 10 3 3 2 2" xfId="68"/>
    <cellStyle name="常规 10 3 3 3" xfId="69"/>
    <cellStyle name="常规 10 3 4" xfId="70"/>
    <cellStyle name="常规 10 3 4 2" xfId="71"/>
    <cellStyle name="常规 10 3 5" xfId="72"/>
    <cellStyle name="常规 10 4" xfId="73"/>
    <cellStyle name="常规 10 4 2" xfId="74"/>
    <cellStyle name="常规 10 4 2 2" xfId="75"/>
    <cellStyle name="常规 10 4 2 2 2" xfId="76"/>
    <cellStyle name="常规 10 4 2 3" xfId="77"/>
    <cellStyle name="常规 10 4 3" xfId="78"/>
    <cellStyle name="常规 10 4 3 2" xfId="79"/>
    <cellStyle name="常规 10 4 3 2 2" xfId="80"/>
    <cellStyle name="常规 10 4 3 3" xfId="81"/>
    <cellStyle name="常规 10 4 4" xfId="82"/>
    <cellStyle name="常规 10 4 4 2" xfId="83"/>
    <cellStyle name="常规 10 4 5" xfId="84"/>
    <cellStyle name="常规 10 5" xfId="85"/>
    <cellStyle name="常规 10 5 2" xfId="86"/>
    <cellStyle name="常规 10 5 2 2" xfId="87"/>
    <cellStyle name="常规 10 5 3" xfId="88"/>
    <cellStyle name="常规 10 6" xfId="89"/>
    <cellStyle name="常规 10 6 2" xfId="90"/>
    <cellStyle name="常规 10 6 2 2" xfId="91"/>
    <cellStyle name="常规 10 6 3" xfId="92"/>
    <cellStyle name="常规 10 7" xfId="93"/>
    <cellStyle name="常规 10 7 2" xfId="94"/>
    <cellStyle name="常规 10 8" xfId="95"/>
    <cellStyle name="常规 11" xfId="96"/>
    <cellStyle name="常规 11 2" xfId="97"/>
    <cellStyle name="常规 11 2 2" xfId="98"/>
    <cellStyle name="常规 12" xfId="99"/>
    <cellStyle name="常规 13" xfId="100"/>
    <cellStyle name="常规 13 2" xfId="101"/>
    <cellStyle name="常规 13 2 2" xfId="102"/>
    <cellStyle name="常规 13 3" xfId="103"/>
    <cellStyle name="常规 14" xfId="104"/>
    <cellStyle name="常规 14 2" xfId="105"/>
    <cellStyle name="常规 15" xfId="106"/>
    <cellStyle name="常规 16" xfId="1"/>
    <cellStyle name="常规 16 2" xfId="107"/>
    <cellStyle name="常规 17" xfId="108"/>
    <cellStyle name="常规 18" xfId="109"/>
    <cellStyle name="常规 19" xfId="110"/>
    <cellStyle name="常规 2" xfId="2"/>
    <cellStyle name="常规 2 10" xfId="111"/>
    <cellStyle name="常规 2 11" xfId="112"/>
    <cellStyle name="常规 2 12" xfId="113"/>
    <cellStyle name="常规 2 13" xfId="114"/>
    <cellStyle name="常规 2 14" xfId="115"/>
    <cellStyle name="常规 2 15" xfId="116"/>
    <cellStyle name="常规 2 16" xfId="117"/>
    <cellStyle name="常规 2 17" xfId="118"/>
    <cellStyle name="常规 2 18" xfId="119"/>
    <cellStyle name="常规 2 19" xfId="120"/>
    <cellStyle name="常规 2 2" xfId="3"/>
    <cellStyle name="常规 2 2 10" xfId="121"/>
    <cellStyle name="常规 2 2 10 2" xfId="122"/>
    <cellStyle name="常规 2 2 11" xfId="123"/>
    <cellStyle name="常规 2 2 11 2" xfId="124"/>
    <cellStyle name="常规 2 2 12" xfId="125"/>
    <cellStyle name="常规 2 2 12 2" xfId="126"/>
    <cellStyle name="常规 2 2 13" xfId="127"/>
    <cellStyle name="常规 2 2 14" xfId="128"/>
    <cellStyle name="常规 2 2 15" xfId="129"/>
    <cellStyle name="常规 2 2 16" xfId="130"/>
    <cellStyle name="常规 2 2 17" xfId="131"/>
    <cellStyle name="常规 2 2 18" xfId="132"/>
    <cellStyle name="常规 2 2 19" xfId="133"/>
    <cellStyle name="常规 2 2 2" xfId="134"/>
    <cellStyle name="常规 2 2 2 2" xfId="135"/>
    <cellStyle name="常规 2 2 2 2 2" xfId="136"/>
    <cellStyle name="常规 2 2 2 2 2 2" xfId="137"/>
    <cellStyle name="常规 2 2 2 2 2 2 2" xfId="138"/>
    <cellStyle name="常规 2 2 2 2 2 2 2 2" xfId="139"/>
    <cellStyle name="常规 2 2 2 2 2 2 3" xfId="140"/>
    <cellStyle name="常规 2 2 2 2 2 3" xfId="141"/>
    <cellStyle name="常规 2 2 2 2 2 3 2" xfId="142"/>
    <cellStyle name="常规 2 2 2 2 2 3 2 2" xfId="143"/>
    <cellStyle name="常规 2 2 2 2 2 3 3" xfId="144"/>
    <cellStyle name="常规 2 2 2 2 2 4" xfId="145"/>
    <cellStyle name="常规 2 2 2 2 2 4 2" xfId="146"/>
    <cellStyle name="常规 2 2 2 2 2 5" xfId="147"/>
    <cellStyle name="常规 2 2 2 2 3" xfId="12"/>
    <cellStyle name="常规 2 2 2 2 3 2" xfId="148"/>
    <cellStyle name="常规 2 2 2 2 3 2 2" xfId="149"/>
    <cellStyle name="常规 2 2 2 2 3 3" xfId="150"/>
    <cellStyle name="常规 2 2 2 2 4" xfId="151"/>
    <cellStyle name="常规 2 2 2 2 4 2" xfId="152"/>
    <cellStyle name="常规 2 2 2 2 4 2 2" xfId="153"/>
    <cellStyle name="常规 2 2 2 2 4 3" xfId="154"/>
    <cellStyle name="常规 2 2 2 2 5" xfId="155"/>
    <cellStyle name="常规 2 2 2 2 5 2" xfId="156"/>
    <cellStyle name="常规 2 2 2 2 6" xfId="157"/>
    <cellStyle name="常规 2 2 2 3" xfId="158"/>
    <cellStyle name="常规 2 2 2 3 2" xfId="159"/>
    <cellStyle name="常规 2 2 2 3 2 2" xfId="160"/>
    <cellStyle name="常规 2 2 2 3 2 2 2" xfId="161"/>
    <cellStyle name="常规 2 2 2 3 2 3" xfId="162"/>
    <cellStyle name="常规 2 2 2 3 3" xfId="163"/>
    <cellStyle name="常规 2 2 2 3 3 2" xfId="164"/>
    <cellStyle name="常规 2 2 2 3 3 2 2" xfId="165"/>
    <cellStyle name="常规 2 2 2 3 3 3" xfId="166"/>
    <cellStyle name="常规 2 2 2 3 4" xfId="167"/>
    <cellStyle name="常规 2 2 2 3 4 2" xfId="168"/>
    <cellStyle name="常规 2 2 2 3 5" xfId="169"/>
    <cellStyle name="常规 2 2 2 4" xfId="170"/>
    <cellStyle name="常规 2 2 2 4 2" xfId="171"/>
    <cellStyle name="常规 2 2 2 4 2 2" xfId="172"/>
    <cellStyle name="常规 2 2 2 4 2 2 2" xfId="173"/>
    <cellStyle name="常规 2 2 2 4 2 3" xfId="174"/>
    <cellStyle name="常规 2 2 2 4 3" xfId="175"/>
    <cellStyle name="常规 2 2 2 4 3 2" xfId="176"/>
    <cellStyle name="常规 2 2 2 4 3 2 2" xfId="177"/>
    <cellStyle name="常规 2 2 2 4 3 3" xfId="178"/>
    <cellStyle name="常规 2 2 2 4 4" xfId="179"/>
    <cellStyle name="常规 2 2 2 4 4 2" xfId="180"/>
    <cellStyle name="常规 2 2 2 4 5" xfId="181"/>
    <cellStyle name="常规 2 2 2 5" xfId="182"/>
    <cellStyle name="常规 2 2 2 5 2" xfId="183"/>
    <cellStyle name="常规 2 2 2 5 2 2" xfId="184"/>
    <cellStyle name="常规 2 2 2 5 3" xfId="185"/>
    <cellStyle name="常规 2 2 2 6" xfId="186"/>
    <cellStyle name="常规 2 2 2 6 2" xfId="187"/>
    <cellStyle name="常规 2 2 2 6 2 2" xfId="188"/>
    <cellStyle name="常规 2 2 2 6 3" xfId="189"/>
    <cellStyle name="常规 2 2 2 7" xfId="190"/>
    <cellStyle name="常规 2 2 2 7 2" xfId="191"/>
    <cellStyle name="常规 2 2 2 8" xfId="192"/>
    <cellStyle name="常规 2 2 20" xfId="193"/>
    <cellStyle name="常规 2 2 21" xfId="194"/>
    <cellStyle name="常规 2 2 22" xfId="195"/>
    <cellStyle name="常规 2 2 23" xfId="196"/>
    <cellStyle name="常规 2 2 24" xfId="197"/>
    <cellStyle name="常规 2 2 25" xfId="198"/>
    <cellStyle name="常规 2 2 3" xfId="199"/>
    <cellStyle name="常规 2 2 3 2" xfId="200"/>
    <cellStyle name="常规 2 2 3 2 2" xfId="201"/>
    <cellStyle name="常规 2 2 3 2 2 2" xfId="202"/>
    <cellStyle name="常规 2 2 3 2 2 2 2" xfId="203"/>
    <cellStyle name="常规 2 2 3 2 2 3" xfId="204"/>
    <cellStyle name="常规 2 2 3 2 3" xfId="205"/>
    <cellStyle name="常规 2 2 3 2 3 2" xfId="206"/>
    <cellStyle name="常规 2 2 3 2 3 2 2" xfId="207"/>
    <cellStyle name="常规 2 2 3 2 3 3" xfId="208"/>
    <cellStyle name="常规 2 2 3 2 4" xfId="209"/>
    <cellStyle name="常规 2 2 3 2 4 2" xfId="210"/>
    <cellStyle name="常规 2 2 3 2 5" xfId="211"/>
    <cellStyle name="常规 2 2 3 3" xfId="212"/>
    <cellStyle name="常规 2 2 3 3 2" xfId="213"/>
    <cellStyle name="常规 2 2 3 3 2 2" xfId="214"/>
    <cellStyle name="常规 2 2 3 3 3" xfId="215"/>
    <cellStyle name="常规 2 2 3 4" xfId="216"/>
    <cellStyle name="常规 2 2 3 4 2" xfId="217"/>
    <cellStyle name="常规 2 2 3 4 2 2" xfId="218"/>
    <cellStyle name="常规 2 2 3 4 3" xfId="219"/>
    <cellStyle name="常规 2 2 3 5" xfId="220"/>
    <cellStyle name="常规 2 2 3 5 2" xfId="221"/>
    <cellStyle name="常规 2 2 3 6" xfId="222"/>
    <cellStyle name="常规 2 2 4" xfId="223"/>
    <cellStyle name="常规 2 2 4 2" xfId="224"/>
    <cellStyle name="常规 2 2 4 2 2" xfId="225"/>
    <cellStyle name="常规 2 2 4 2 2 2" xfId="226"/>
    <cellStyle name="常规 2 2 4 2 3" xfId="227"/>
    <cellStyle name="常规 2 2 4 3" xfId="228"/>
    <cellStyle name="常规 2 2 4 3 2" xfId="229"/>
    <cellStyle name="常规 2 2 4 3 2 2" xfId="230"/>
    <cellStyle name="常规 2 2 4 3 3" xfId="231"/>
    <cellStyle name="常规 2 2 4 4" xfId="232"/>
    <cellStyle name="常规 2 2 4 4 2" xfId="233"/>
    <cellStyle name="常规 2 2 4 5" xfId="234"/>
    <cellStyle name="常规 2 2 5" xfId="235"/>
    <cellStyle name="常规 2 2 5 2" xfId="236"/>
    <cellStyle name="常规 2 2 5 2 2" xfId="237"/>
    <cellStyle name="常规 2 2 5 2 2 2" xfId="238"/>
    <cellStyle name="常规 2 2 5 2 3" xfId="239"/>
    <cellStyle name="常规 2 2 5 3" xfId="240"/>
    <cellStyle name="常规 2 2 5 3 2" xfId="241"/>
    <cellStyle name="常规 2 2 5 3 2 2" xfId="242"/>
    <cellStyle name="常规 2 2 5 3 3" xfId="243"/>
    <cellStyle name="常规 2 2 5 4" xfId="244"/>
    <cellStyle name="常规 2 2 5 4 2" xfId="245"/>
    <cellStyle name="常规 2 2 5 5" xfId="246"/>
    <cellStyle name="常规 2 2 6" xfId="247"/>
    <cellStyle name="常规 2 2 6 2" xfId="248"/>
    <cellStyle name="常规 2 2 6 2 2" xfId="249"/>
    <cellStyle name="常规 2 2 6 3" xfId="250"/>
    <cellStyle name="常规 2 2 7" xfId="251"/>
    <cellStyle name="常规 2 2 7 2" xfId="252"/>
    <cellStyle name="常规 2 2 7 2 2" xfId="253"/>
    <cellStyle name="常规 2 2 7 3" xfId="254"/>
    <cellStyle name="常规 2 2 8" xfId="255"/>
    <cellStyle name="常规 2 2 8 2" xfId="256"/>
    <cellStyle name="常规 2 2 8 2 2" xfId="257"/>
    <cellStyle name="常规 2 2 8 3" xfId="258"/>
    <cellStyle name="常规 2 2 9" xfId="259"/>
    <cellStyle name="常规 2 2 9 2" xfId="260"/>
    <cellStyle name="常规 2 2 9 2 2" xfId="261"/>
    <cellStyle name="常规 2 2 9 3" xfId="262"/>
    <cellStyle name="常规 2 3" xfId="263"/>
    <cellStyle name="常规 2 3 10" xfId="264"/>
    <cellStyle name="常规 2 3 10 2" xfId="265"/>
    <cellStyle name="常规 2 3 11" xfId="266"/>
    <cellStyle name="常规 2 3 2" xfId="267"/>
    <cellStyle name="常规 2 3 2 2" xfId="268"/>
    <cellStyle name="常规 2 3 2 2 2" xfId="269"/>
    <cellStyle name="常规 2 3 2 2 2 2" xfId="270"/>
    <cellStyle name="常规 2 3 2 2 2 2 2" xfId="271"/>
    <cellStyle name="常规 2 3 2 2 2 2 2 2" xfId="272"/>
    <cellStyle name="常规 2 3 2 2 2 2 3" xfId="273"/>
    <cellStyle name="常规 2 3 2 2 2 3" xfId="274"/>
    <cellStyle name="常规 2 3 2 2 2 3 2" xfId="275"/>
    <cellStyle name="常规 2 3 2 2 2 3 2 2" xfId="276"/>
    <cellStyle name="常规 2 3 2 2 2 3 3" xfId="277"/>
    <cellStyle name="常规 2 3 2 2 2 4" xfId="278"/>
    <cellStyle name="常规 2 3 2 2 2 4 2" xfId="279"/>
    <cellStyle name="常规 2 3 2 2 2 5" xfId="280"/>
    <cellStyle name="常规 2 3 2 2 3" xfId="281"/>
    <cellStyle name="常规 2 3 2 2 3 2" xfId="282"/>
    <cellStyle name="常规 2 3 2 2 3 2 2" xfId="283"/>
    <cellStyle name="常规 2 3 2 2 3 3" xfId="284"/>
    <cellStyle name="常规 2 3 2 2 4" xfId="285"/>
    <cellStyle name="常规 2 3 2 2 4 2" xfId="286"/>
    <cellStyle name="常规 2 3 2 2 4 2 2" xfId="287"/>
    <cellStyle name="常规 2 3 2 2 4 3" xfId="288"/>
    <cellStyle name="常规 2 3 2 2 5" xfId="289"/>
    <cellStyle name="常规 2 3 2 2 5 2" xfId="290"/>
    <cellStyle name="常规 2 3 2 2 6" xfId="291"/>
    <cellStyle name="常规 2 3 2 3" xfId="292"/>
    <cellStyle name="常规 2 3 2 3 2" xfId="293"/>
    <cellStyle name="常规 2 3 2 3 2 2" xfId="294"/>
    <cellStyle name="常规 2 3 2 3 2 2 2" xfId="295"/>
    <cellStyle name="常规 2 3 2 3 2 3" xfId="296"/>
    <cellStyle name="常规 2 3 2 3 3" xfId="297"/>
    <cellStyle name="常规 2 3 2 3 3 2" xfId="298"/>
    <cellStyle name="常规 2 3 2 3 3 2 2" xfId="299"/>
    <cellStyle name="常规 2 3 2 3 3 3" xfId="300"/>
    <cellStyle name="常规 2 3 2 3 4" xfId="301"/>
    <cellStyle name="常规 2 3 2 3 4 2" xfId="302"/>
    <cellStyle name="常规 2 3 2 3 5" xfId="303"/>
    <cellStyle name="常规 2 3 2 4" xfId="304"/>
    <cellStyle name="常规 2 3 2 4 2" xfId="305"/>
    <cellStyle name="常规 2 3 2 4 2 2" xfId="306"/>
    <cellStyle name="常规 2 3 2 4 2 2 2" xfId="307"/>
    <cellStyle name="常规 2 3 2 4 2 3" xfId="308"/>
    <cellStyle name="常规 2 3 2 4 3" xfId="309"/>
    <cellStyle name="常规 2 3 2 4 3 2" xfId="310"/>
    <cellStyle name="常规 2 3 2 4 3 2 2" xfId="311"/>
    <cellStyle name="常规 2 3 2 4 3 3" xfId="312"/>
    <cellStyle name="常规 2 3 2 4 4" xfId="313"/>
    <cellStyle name="常规 2 3 2 4 4 2" xfId="314"/>
    <cellStyle name="常规 2 3 2 4 5" xfId="315"/>
    <cellStyle name="常规 2 3 2 5" xfId="316"/>
    <cellStyle name="常规 2 3 2 5 2" xfId="317"/>
    <cellStyle name="常规 2 3 2 5 2 2" xfId="318"/>
    <cellStyle name="常规 2 3 2 5 3" xfId="319"/>
    <cellStyle name="常规 2 3 2 6" xfId="320"/>
    <cellStyle name="常规 2 3 2 6 2" xfId="321"/>
    <cellStyle name="常规 2 3 2 6 2 2" xfId="322"/>
    <cellStyle name="常规 2 3 2 6 3" xfId="323"/>
    <cellStyle name="常规 2 3 2 7" xfId="324"/>
    <cellStyle name="常规 2 3 2 7 2" xfId="325"/>
    <cellStyle name="常规 2 3 2 8" xfId="326"/>
    <cellStyle name="常规 2 3 3" xfId="327"/>
    <cellStyle name="常规 2 3 3 2" xfId="328"/>
    <cellStyle name="常规 2 3 3 2 2" xfId="329"/>
    <cellStyle name="常规 2 3 3 2 2 2" xfId="330"/>
    <cellStyle name="常规 2 3 3 2 2 2 2" xfId="331"/>
    <cellStyle name="常规 2 3 3 2 2 3" xfId="332"/>
    <cellStyle name="常规 2 3 3 2 3" xfId="333"/>
    <cellStyle name="常规 2 3 3 2 3 2" xfId="334"/>
    <cellStyle name="常规 2 3 3 2 3 2 2" xfId="335"/>
    <cellStyle name="常规 2 3 3 2 3 3" xfId="336"/>
    <cellStyle name="常规 2 3 3 2 4" xfId="337"/>
    <cellStyle name="常规 2 3 3 2 4 2" xfId="338"/>
    <cellStyle name="常规 2 3 3 2 5" xfId="339"/>
    <cellStyle name="常规 2 3 3 3" xfId="340"/>
    <cellStyle name="常规 2 3 3 3 2" xfId="341"/>
    <cellStyle name="常规 2 3 3 3 2 2" xfId="342"/>
    <cellStyle name="常规 2 3 3 3 3" xfId="343"/>
    <cellStyle name="常规 2 3 3 4" xfId="344"/>
    <cellStyle name="常规 2 3 3 4 2" xfId="345"/>
    <cellStyle name="常规 2 3 3 4 2 2" xfId="346"/>
    <cellStyle name="常规 2 3 3 4 3" xfId="347"/>
    <cellStyle name="常规 2 3 3 5" xfId="348"/>
    <cellStyle name="常规 2 3 3 5 2" xfId="349"/>
    <cellStyle name="常规 2 3 3 6" xfId="350"/>
    <cellStyle name="常规 2 3 4" xfId="351"/>
    <cellStyle name="常规 2 3 4 2" xfId="352"/>
    <cellStyle name="常规 2 3 4 2 2" xfId="353"/>
    <cellStyle name="常规 2 3 4 2 2 2" xfId="354"/>
    <cellStyle name="常规 2 3 4 2 3" xfId="355"/>
    <cellStyle name="常规 2 3 4 3" xfId="356"/>
    <cellStyle name="常规 2 3 4 3 2" xfId="357"/>
    <cellStyle name="常规 2 3 4 3 2 2" xfId="358"/>
    <cellStyle name="常规 2 3 4 3 3" xfId="359"/>
    <cellStyle name="常规 2 3 4 4" xfId="360"/>
    <cellStyle name="常规 2 3 4 4 2" xfId="361"/>
    <cellStyle name="常规 2 3 4 5" xfId="362"/>
    <cellStyle name="常规 2 3 5" xfId="363"/>
    <cellStyle name="常规 2 3 5 2" xfId="364"/>
    <cellStyle name="常规 2 3 5 2 2" xfId="365"/>
    <cellStyle name="常规 2 3 5 2 2 2" xfId="366"/>
    <cellStyle name="常规 2 3 5 2 3" xfId="367"/>
    <cellStyle name="常规 2 3 5 3" xfId="368"/>
    <cellStyle name="常规 2 3 5 3 2" xfId="369"/>
    <cellStyle name="常规 2 3 5 3 2 2" xfId="370"/>
    <cellStyle name="常规 2 3 5 3 3" xfId="371"/>
    <cellStyle name="常规 2 3 5 4" xfId="372"/>
    <cellStyle name="常规 2 3 5 4 2" xfId="373"/>
    <cellStyle name="常规 2 3 5 5" xfId="374"/>
    <cellStyle name="常规 2 3 6" xfId="375"/>
    <cellStyle name="常规 2 3 6 2" xfId="376"/>
    <cellStyle name="常规 2 3 6 2 2" xfId="377"/>
    <cellStyle name="常规 2 3 6 3" xfId="378"/>
    <cellStyle name="常规 2 3 7" xfId="379"/>
    <cellStyle name="常规 2 3 7 2" xfId="380"/>
    <cellStyle name="常规 2 3 7 2 2" xfId="381"/>
    <cellStyle name="常规 2 3 7 3" xfId="382"/>
    <cellStyle name="常规 2 3 8" xfId="383"/>
    <cellStyle name="常规 2 3 8 2" xfId="384"/>
    <cellStyle name="常规 2 3 9" xfId="385"/>
    <cellStyle name="常规 2 3 9 2" xfId="386"/>
    <cellStyle name="常规 2 4" xfId="387"/>
    <cellStyle name="常规 2 4 2" xfId="388"/>
    <cellStyle name="常规 2 4 2 2" xfId="389"/>
    <cellStyle name="常规 2 4 2 2 2" xfId="390"/>
    <cellStyle name="常规 2 4 2 3" xfId="391"/>
    <cellStyle name="常规 2 4 3" xfId="392"/>
    <cellStyle name="常规 2 4 3 2" xfId="393"/>
    <cellStyle name="常规 2 4 3 2 2" xfId="394"/>
    <cellStyle name="常规 2 4 3 3" xfId="395"/>
    <cellStyle name="常规 2 4 4" xfId="396"/>
    <cellStyle name="常规 2 4 4 2" xfId="397"/>
    <cellStyle name="常规 2 4 5" xfId="398"/>
    <cellStyle name="常规 2 4 5 2" xfId="399"/>
    <cellStyle name="常规 2 4 6" xfId="400"/>
    <cellStyle name="常规 2 5" xfId="401"/>
    <cellStyle name="常规 2 5 2" xfId="402"/>
    <cellStyle name="常规 2 5 2 2" xfId="403"/>
    <cellStyle name="常规 2 5 3" xfId="404"/>
    <cellStyle name="常规 2 6" xfId="405"/>
    <cellStyle name="常规 2 6 2" xfId="406"/>
    <cellStyle name="常规 2 7" xfId="407"/>
    <cellStyle name="常规 2 7 2" xfId="408"/>
    <cellStyle name="常规 2 8" xfId="409"/>
    <cellStyle name="常规 2 9" xfId="410"/>
    <cellStyle name="常规 3" xfId="4"/>
    <cellStyle name="常规 3 10" xfId="411"/>
    <cellStyle name="常规 3 10 2" xfId="412"/>
    <cellStyle name="常规 3 10 2 2" xfId="413"/>
    <cellStyle name="常规 3 10 3" xfId="414"/>
    <cellStyle name="常规 3 11" xfId="415"/>
    <cellStyle name="常规 3 11 2" xfId="416"/>
    <cellStyle name="常规 3 12" xfId="417"/>
    <cellStyle name="常规 3 12 2" xfId="418"/>
    <cellStyle name="常规 3 13" xfId="419"/>
    <cellStyle name="常规 3 13 2" xfId="420"/>
    <cellStyle name="常规 3 14" xfId="421"/>
    <cellStyle name="常规 3 2" xfId="5"/>
    <cellStyle name="常规 3 2 10" xfId="422"/>
    <cellStyle name="常规 3 2 10 2" xfId="423"/>
    <cellStyle name="常规 3 2 11" xfId="424"/>
    <cellStyle name="常规 3 2 11 2" xfId="425"/>
    <cellStyle name="常规 3 2 12" xfId="426"/>
    <cellStyle name="常规 3 2 12 2" xfId="427"/>
    <cellStyle name="常规 3 2 13" xfId="428"/>
    <cellStyle name="常规 3 2 2" xfId="429"/>
    <cellStyle name="常规 3 2 2 2" xfId="430"/>
    <cellStyle name="常规 3 2 2 2 2" xfId="431"/>
    <cellStyle name="常规 3 2 2 2 2 2" xfId="432"/>
    <cellStyle name="常规 3 2 2 2 2 2 2" xfId="433"/>
    <cellStyle name="常规 3 2 2 2 2 2 2 2" xfId="434"/>
    <cellStyle name="常规 3 2 2 2 2 2 3" xfId="435"/>
    <cellStyle name="常规 3 2 2 2 2 3" xfId="436"/>
    <cellStyle name="常规 3 2 2 2 2 3 2" xfId="437"/>
    <cellStyle name="常规 3 2 2 2 2 3 2 2" xfId="438"/>
    <cellStyle name="常规 3 2 2 2 2 3 3" xfId="439"/>
    <cellStyle name="常规 3 2 2 2 2 4" xfId="440"/>
    <cellStyle name="常规 3 2 2 2 2 4 2" xfId="441"/>
    <cellStyle name="常规 3 2 2 2 2 5" xfId="442"/>
    <cellStyle name="常规 3 2 2 2 3" xfId="443"/>
    <cellStyle name="常规 3 2 2 2 3 2" xfId="444"/>
    <cellStyle name="常规 3 2 2 2 3 2 2" xfId="445"/>
    <cellStyle name="常规 3 2 2 2 3 3" xfId="446"/>
    <cellStyle name="常规 3 2 2 2 4" xfId="447"/>
    <cellStyle name="常规 3 2 2 2 4 2" xfId="448"/>
    <cellStyle name="常规 3 2 2 2 4 2 2" xfId="449"/>
    <cellStyle name="常规 3 2 2 2 4 3" xfId="450"/>
    <cellStyle name="常规 3 2 2 2 5" xfId="451"/>
    <cellStyle name="常规 3 2 2 2 5 2" xfId="452"/>
    <cellStyle name="常规 3 2 2 2 6" xfId="453"/>
    <cellStyle name="常规 3 2 2 3" xfId="454"/>
    <cellStyle name="常规 3 2 2 3 2" xfId="455"/>
    <cellStyle name="常规 3 2 2 3 2 2" xfId="456"/>
    <cellStyle name="常规 3 2 2 3 2 2 2" xfId="457"/>
    <cellStyle name="常规 3 2 2 3 2 3" xfId="458"/>
    <cellStyle name="常规 3 2 2 3 3" xfId="459"/>
    <cellStyle name="常规 3 2 2 3 3 2" xfId="460"/>
    <cellStyle name="常规 3 2 2 3 3 2 2" xfId="461"/>
    <cellStyle name="常规 3 2 2 3 3 3" xfId="462"/>
    <cellStyle name="常规 3 2 2 3 4" xfId="463"/>
    <cellStyle name="常规 3 2 2 3 4 2" xfId="464"/>
    <cellStyle name="常规 3 2 2 3 5" xfId="465"/>
    <cellStyle name="常规 3 2 2 4" xfId="466"/>
    <cellStyle name="常规 3 2 2 4 2" xfId="467"/>
    <cellStyle name="常规 3 2 2 4 2 2" xfId="468"/>
    <cellStyle name="常规 3 2 2 4 2 2 2" xfId="469"/>
    <cellStyle name="常规 3 2 2 4 2 3" xfId="470"/>
    <cellStyle name="常规 3 2 2 4 3" xfId="471"/>
    <cellStyle name="常规 3 2 2 4 3 2" xfId="472"/>
    <cellStyle name="常规 3 2 2 4 3 2 2" xfId="473"/>
    <cellStyle name="常规 3 2 2 4 3 3" xfId="474"/>
    <cellStyle name="常规 3 2 2 4 4" xfId="475"/>
    <cellStyle name="常规 3 2 2 4 4 2" xfId="476"/>
    <cellStyle name="常规 3 2 2 4 5" xfId="477"/>
    <cellStyle name="常规 3 2 2 5" xfId="478"/>
    <cellStyle name="常规 3 2 2 5 2" xfId="479"/>
    <cellStyle name="常规 3 2 2 5 2 2" xfId="480"/>
    <cellStyle name="常规 3 2 2 5 3" xfId="481"/>
    <cellStyle name="常规 3 2 2 6" xfId="482"/>
    <cellStyle name="常规 3 2 2 6 2" xfId="483"/>
    <cellStyle name="常规 3 2 2 6 2 2" xfId="484"/>
    <cellStyle name="常规 3 2 2 6 3" xfId="485"/>
    <cellStyle name="常规 3 2 2 7" xfId="486"/>
    <cellStyle name="常规 3 2 2 7 2" xfId="487"/>
    <cellStyle name="常规 3 2 2 8" xfId="488"/>
    <cellStyle name="常规 3 2 3" xfId="489"/>
    <cellStyle name="常规 3 2 3 2" xfId="490"/>
    <cellStyle name="常规 3 2 3 2 2" xfId="491"/>
    <cellStyle name="常规 3 2 3 2 2 2" xfId="492"/>
    <cellStyle name="常规 3 2 3 2 2 2 2" xfId="493"/>
    <cellStyle name="常规 3 2 3 2 2 3" xfId="494"/>
    <cellStyle name="常规 3 2 3 2 3" xfId="495"/>
    <cellStyle name="常规 3 2 3 2 3 2" xfId="496"/>
    <cellStyle name="常规 3 2 3 2 3 2 2" xfId="497"/>
    <cellStyle name="常规 3 2 3 2 3 3" xfId="498"/>
    <cellStyle name="常规 3 2 3 2 4" xfId="499"/>
    <cellStyle name="常规 3 2 3 2 4 2" xfId="500"/>
    <cellStyle name="常规 3 2 3 2 5" xfId="501"/>
    <cellStyle name="常规 3 2 3 3" xfId="502"/>
    <cellStyle name="常规 3 2 3 3 2" xfId="503"/>
    <cellStyle name="常规 3 2 3 3 2 2" xfId="504"/>
    <cellStyle name="常规 3 2 3 3 3" xfId="505"/>
    <cellStyle name="常规 3 2 3 4" xfId="506"/>
    <cellStyle name="常规 3 2 3 4 2" xfId="507"/>
    <cellStyle name="常规 3 2 3 4 2 2" xfId="508"/>
    <cellStyle name="常规 3 2 3 4 3" xfId="509"/>
    <cellStyle name="常规 3 2 3 5" xfId="510"/>
    <cellStyle name="常规 3 2 3 5 2" xfId="511"/>
    <cellStyle name="常规 3 2 3 6" xfId="512"/>
    <cellStyle name="常规 3 2 4" xfId="513"/>
    <cellStyle name="常规 3 2 4 2" xfId="514"/>
    <cellStyle name="常规 3 2 4 2 2" xfId="515"/>
    <cellStyle name="常规 3 2 4 2 2 2" xfId="516"/>
    <cellStyle name="常规 3 2 4 2 3" xfId="517"/>
    <cellStyle name="常规 3 2 4 3" xfId="518"/>
    <cellStyle name="常规 3 2 4 3 2" xfId="519"/>
    <cellStyle name="常规 3 2 4 3 2 2" xfId="520"/>
    <cellStyle name="常规 3 2 4 3 3" xfId="521"/>
    <cellStyle name="常规 3 2 4 4" xfId="522"/>
    <cellStyle name="常规 3 2 4 4 2" xfId="523"/>
    <cellStyle name="常规 3 2 4 5" xfId="524"/>
    <cellStyle name="常规 3 2 5" xfId="525"/>
    <cellStyle name="常规 3 2 5 2" xfId="526"/>
    <cellStyle name="常规 3 2 5 2 2" xfId="527"/>
    <cellStyle name="常规 3 2 5 2 2 2" xfId="528"/>
    <cellStyle name="常规 3 2 5 2 3" xfId="529"/>
    <cellStyle name="常规 3 2 5 3" xfId="530"/>
    <cellStyle name="常规 3 2 5 3 2" xfId="531"/>
    <cellStyle name="常规 3 2 5 3 2 2" xfId="532"/>
    <cellStyle name="常规 3 2 5 3 3" xfId="533"/>
    <cellStyle name="常规 3 2 5 4" xfId="534"/>
    <cellStyle name="常规 3 2 5 4 2" xfId="535"/>
    <cellStyle name="常规 3 2 5 5" xfId="536"/>
    <cellStyle name="常规 3 2 6" xfId="537"/>
    <cellStyle name="常规 3 2 6 2" xfId="538"/>
    <cellStyle name="常规 3 2 6 2 2" xfId="539"/>
    <cellStyle name="常规 3 2 6 3" xfId="540"/>
    <cellStyle name="常规 3 2 7" xfId="541"/>
    <cellStyle name="常规 3 2 7 2" xfId="542"/>
    <cellStyle name="常规 3 2 7 2 2" xfId="543"/>
    <cellStyle name="常规 3 2 7 3" xfId="544"/>
    <cellStyle name="常规 3 2 8" xfId="545"/>
    <cellStyle name="常规 3 2 8 2" xfId="546"/>
    <cellStyle name="常规 3 2 8 2 2" xfId="547"/>
    <cellStyle name="常规 3 2 8 3" xfId="548"/>
    <cellStyle name="常规 3 2 9" xfId="549"/>
    <cellStyle name="常规 3 2 9 2" xfId="550"/>
    <cellStyle name="常规 3 2 9 2 2" xfId="551"/>
    <cellStyle name="常规 3 2 9 3" xfId="552"/>
    <cellStyle name="常规 3 3" xfId="553"/>
    <cellStyle name="常规 3 3 10" xfId="554"/>
    <cellStyle name="常规 3 3 2" xfId="555"/>
    <cellStyle name="常规 3 3 2 2" xfId="556"/>
    <cellStyle name="常规 3 3 2 2 2" xfId="557"/>
    <cellStyle name="常规 3 3 2 2 2 2" xfId="558"/>
    <cellStyle name="常规 3 3 2 2 2 2 2" xfId="559"/>
    <cellStyle name="常规 3 3 2 2 2 3" xfId="560"/>
    <cellStyle name="常规 3 3 2 2 3" xfId="561"/>
    <cellStyle name="常规 3 3 2 2 3 2" xfId="562"/>
    <cellStyle name="常规 3 3 2 2 3 2 2" xfId="563"/>
    <cellStyle name="常规 3 3 2 2 3 3" xfId="564"/>
    <cellStyle name="常规 3 3 2 2 4" xfId="565"/>
    <cellStyle name="常规 3 3 2 2 4 2" xfId="566"/>
    <cellStyle name="常规 3 3 2 2 5" xfId="567"/>
    <cellStyle name="常规 3 3 2 3" xfId="568"/>
    <cellStyle name="常规 3 3 2 3 2" xfId="569"/>
    <cellStyle name="常规 3 3 2 3 2 2" xfId="570"/>
    <cellStyle name="常规 3 3 2 3 3" xfId="571"/>
    <cellStyle name="常规 3 3 2 4" xfId="572"/>
    <cellStyle name="常规 3 3 2 4 2" xfId="573"/>
    <cellStyle name="常规 3 3 2 4 2 2" xfId="574"/>
    <cellStyle name="常规 3 3 2 4 3" xfId="575"/>
    <cellStyle name="常规 3 3 2 5" xfId="576"/>
    <cellStyle name="常规 3 3 2 5 2" xfId="577"/>
    <cellStyle name="常规 3 3 2 6" xfId="578"/>
    <cellStyle name="常规 3 3 3" xfId="579"/>
    <cellStyle name="常规 3 3 3 2" xfId="580"/>
    <cellStyle name="常规 3 3 3 2 2" xfId="581"/>
    <cellStyle name="常规 3 3 3 2 2 2" xfId="582"/>
    <cellStyle name="常规 3 3 3 2 3" xfId="583"/>
    <cellStyle name="常规 3 3 3 3" xfId="584"/>
    <cellStyle name="常规 3 3 3 3 2" xfId="585"/>
    <cellStyle name="常规 3 3 3 3 2 2" xfId="586"/>
    <cellStyle name="常规 3 3 3 3 3" xfId="587"/>
    <cellStyle name="常规 3 3 3 4" xfId="588"/>
    <cellStyle name="常规 3 3 3 4 2" xfId="589"/>
    <cellStyle name="常规 3 3 3 5" xfId="590"/>
    <cellStyle name="常规 3 3 4" xfId="591"/>
    <cellStyle name="常规 3 3 4 2" xfId="592"/>
    <cellStyle name="常规 3 3 4 2 2" xfId="593"/>
    <cellStyle name="常规 3 3 4 2 2 2" xfId="594"/>
    <cellStyle name="常规 3 3 4 2 3" xfId="595"/>
    <cellStyle name="常规 3 3 4 3" xfId="596"/>
    <cellStyle name="常规 3 3 4 3 2" xfId="597"/>
    <cellStyle name="常规 3 3 4 3 2 2" xfId="598"/>
    <cellStyle name="常规 3 3 4 3 3" xfId="599"/>
    <cellStyle name="常规 3 3 4 4" xfId="600"/>
    <cellStyle name="常规 3 3 4 4 2" xfId="601"/>
    <cellStyle name="常规 3 3 4 5" xfId="602"/>
    <cellStyle name="常规 3 3 5" xfId="603"/>
    <cellStyle name="常规 3 3 5 2" xfId="604"/>
    <cellStyle name="常规 3 3 5 2 2" xfId="605"/>
    <cellStyle name="常规 3 3 5 3" xfId="606"/>
    <cellStyle name="常规 3 3 6" xfId="607"/>
    <cellStyle name="常规 3 3 6 2" xfId="608"/>
    <cellStyle name="常规 3 3 6 2 2" xfId="609"/>
    <cellStyle name="常规 3 3 6 3" xfId="610"/>
    <cellStyle name="常规 3 3 7" xfId="611"/>
    <cellStyle name="常规 3 3 7 2" xfId="612"/>
    <cellStyle name="常规 3 3 8" xfId="613"/>
    <cellStyle name="常规 3 3 8 2" xfId="614"/>
    <cellStyle name="常规 3 3 9" xfId="615"/>
    <cellStyle name="常规 3 3 9 2" xfId="616"/>
    <cellStyle name="常规 3 4" xfId="617"/>
    <cellStyle name="常规 3 4 2" xfId="618"/>
    <cellStyle name="常规 3 4 2 2" xfId="619"/>
    <cellStyle name="常规 3 4 2 2 2" xfId="620"/>
    <cellStyle name="常规 3 4 2 2 2 2" xfId="621"/>
    <cellStyle name="常规 3 4 2 2 3" xfId="622"/>
    <cellStyle name="常规 3 4 2 3" xfId="623"/>
    <cellStyle name="常规 3 4 2 3 2" xfId="624"/>
    <cellStyle name="常规 3 4 2 3 2 2" xfId="625"/>
    <cellStyle name="常规 3 4 2 3 3" xfId="626"/>
    <cellStyle name="常规 3 4 2 4" xfId="627"/>
    <cellStyle name="常规 3 4 2 4 2" xfId="628"/>
    <cellStyle name="常规 3 4 2 5" xfId="629"/>
    <cellStyle name="常规 3 4 3" xfId="630"/>
    <cellStyle name="常规 3 4 3 2" xfId="631"/>
    <cellStyle name="常规 3 4 3 2 2" xfId="632"/>
    <cellStyle name="常规 3 4 3 3" xfId="633"/>
    <cellStyle name="常规 3 4 4" xfId="634"/>
    <cellStyle name="常规 3 4 4 2" xfId="635"/>
    <cellStyle name="常规 3 4 4 2 2" xfId="636"/>
    <cellStyle name="常规 3 4 4 3" xfId="637"/>
    <cellStyle name="常规 3 4 5" xfId="638"/>
    <cellStyle name="常规 3 4 5 2" xfId="639"/>
    <cellStyle name="常规 3 4 6" xfId="640"/>
    <cellStyle name="常规 3 4 6 2" xfId="641"/>
    <cellStyle name="常规 3 4 7" xfId="642"/>
    <cellStyle name="常规 3 5" xfId="643"/>
    <cellStyle name="常规 3 5 2" xfId="644"/>
    <cellStyle name="常规 3 5 2 2" xfId="645"/>
    <cellStyle name="常规 3 5 2 2 2" xfId="646"/>
    <cellStyle name="常规 3 5 2 3" xfId="647"/>
    <cellStyle name="常规 3 5 3" xfId="648"/>
    <cellStyle name="常规 3 5 3 2" xfId="649"/>
    <cellStyle name="常规 3 5 3 2 2" xfId="650"/>
    <cellStyle name="常规 3 5 3 3" xfId="651"/>
    <cellStyle name="常规 3 5 4" xfId="652"/>
    <cellStyle name="常规 3 5 4 2" xfId="653"/>
    <cellStyle name="常规 3 5 5" xfId="654"/>
    <cellStyle name="常规 3 6" xfId="655"/>
    <cellStyle name="常规 3 6 2" xfId="656"/>
    <cellStyle name="常规 3 6 2 2" xfId="657"/>
    <cellStyle name="常规 3 6 2 2 2" xfId="658"/>
    <cellStyle name="常规 3 6 2 3" xfId="659"/>
    <cellStyle name="常规 3 6 3" xfId="660"/>
    <cellStyle name="常规 3 6 3 2" xfId="661"/>
    <cellStyle name="常规 3 6 3 2 2" xfId="662"/>
    <cellStyle name="常规 3 6 3 3" xfId="663"/>
    <cellStyle name="常规 3 6 4" xfId="664"/>
    <cellStyle name="常规 3 6 4 2" xfId="665"/>
    <cellStyle name="常规 3 6 5" xfId="666"/>
    <cellStyle name="常规 3 7" xfId="667"/>
    <cellStyle name="常规 3 7 2" xfId="668"/>
    <cellStyle name="常规 3 7 2 2" xfId="669"/>
    <cellStyle name="常规 3 7 2 2 2" xfId="670"/>
    <cellStyle name="常规 3 7 2 3" xfId="671"/>
    <cellStyle name="常规 3 7 3" xfId="672"/>
    <cellStyle name="常规 3 7 3 2" xfId="673"/>
    <cellStyle name="常规 3 7 3 2 2" xfId="674"/>
    <cellStyle name="常规 3 7 3 3" xfId="675"/>
    <cellStyle name="常规 3 7 4" xfId="676"/>
    <cellStyle name="常规 3 7 4 2" xfId="677"/>
    <cellStyle name="常规 3 7 5" xfId="678"/>
    <cellStyle name="常规 3 8" xfId="679"/>
    <cellStyle name="常规 3 8 2" xfId="680"/>
    <cellStyle name="常规 3 8 2 2" xfId="681"/>
    <cellStyle name="常规 3 8 3" xfId="682"/>
    <cellStyle name="常规 3 9" xfId="683"/>
    <cellStyle name="常规 3 9 2" xfId="684"/>
    <cellStyle name="常规 3 9 2 2" xfId="685"/>
    <cellStyle name="常规 3 9 3" xfId="686"/>
    <cellStyle name="常规 4" xfId="6"/>
    <cellStyle name="常规 4 10" xfId="687"/>
    <cellStyle name="常规 4 10 2" xfId="688"/>
    <cellStyle name="常规 4 10 2 2" xfId="689"/>
    <cellStyle name="常规 4 10 3" xfId="690"/>
    <cellStyle name="常规 4 11" xfId="691"/>
    <cellStyle name="常规 4 11 2" xfId="692"/>
    <cellStyle name="常规 4 12" xfId="693"/>
    <cellStyle name="常规 4 12 2" xfId="694"/>
    <cellStyle name="常规 4 13" xfId="695"/>
    <cellStyle name="常规 4 13 2" xfId="696"/>
    <cellStyle name="常规 4 14" xfId="697"/>
    <cellStyle name="常规 4 2" xfId="698"/>
    <cellStyle name="常规 4 2 10" xfId="699"/>
    <cellStyle name="常规 4 2 10 2" xfId="700"/>
    <cellStyle name="常规 4 2 11" xfId="701"/>
    <cellStyle name="常规 4 2 11 2" xfId="702"/>
    <cellStyle name="常规 4 2 12" xfId="703"/>
    <cellStyle name="常规 4 2 12 2" xfId="704"/>
    <cellStyle name="常规 4 2 13" xfId="705"/>
    <cellStyle name="常规 4 2 2" xfId="706"/>
    <cellStyle name="常规 4 2 2 2" xfId="707"/>
    <cellStyle name="常规 4 2 2 2 2" xfId="708"/>
    <cellStyle name="常规 4 2 2 2 2 2" xfId="709"/>
    <cellStyle name="常规 4 2 2 2 2 2 2" xfId="710"/>
    <cellStyle name="常规 4 2 2 2 2 2 2 2" xfId="711"/>
    <cellStyle name="常规 4 2 2 2 2 2 3" xfId="712"/>
    <cellStyle name="常规 4 2 2 2 2 3" xfId="713"/>
    <cellStyle name="常规 4 2 2 2 2 3 2" xfId="714"/>
    <cellStyle name="常规 4 2 2 2 2 3 2 2" xfId="715"/>
    <cellStyle name="常规 4 2 2 2 2 3 3" xfId="716"/>
    <cellStyle name="常规 4 2 2 2 2 4" xfId="717"/>
    <cellStyle name="常规 4 2 2 2 2 4 2" xfId="718"/>
    <cellStyle name="常规 4 2 2 2 2 5" xfId="719"/>
    <cellStyle name="常规 4 2 2 2 3" xfId="720"/>
    <cellStyle name="常规 4 2 2 2 3 2" xfId="721"/>
    <cellStyle name="常规 4 2 2 2 3 2 2" xfId="722"/>
    <cellStyle name="常规 4 2 2 2 3 3" xfId="723"/>
    <cellStyle name="常规 4 2 2 2 4" xfId="724"/>
    <cellStyle name="常规 4 2 2 2 4 2" xfId="725"/>
    <cellStyle name="常规 4 2 2 2 4 2 2" xfId="726"/>
    <cellStyle name="常规 4 2 2 2 4 3" xfId="727"/>
    <cellStyle name="常规 4 2 2 2 5" xfId="728"/>
    <cellStyle name="常规 4 2 2 2 5 2" xfId="729"/>
    <cellStyle name="常规 4 2 2 2 6" xfId="730"/>
    <cellStyle name="常规 4 2 2 3" xfId="731"/>
    <cellStyle name="常规 4 2 2 3 2" xfId="732"/>
    <cellStyle name="常规 4 2 2 3 2 2" xfId="733"/>
    <cellStyle name="常规 4 2 2 3 2 2 2" xfId="734"/>
    <cellStyle name="常规 4 2 2 3 2 3" xfId="735"/>
    <cellStyle name="常规 4 2 2 3 3" xfId="736"/>
    <cellStyle name="常规 4 2 2 3 3 2" xfId="737"/>
    <cellStyle name="常规 4 2 2 3 3 2 2" xfId="738"/>
    <cellStyle name="常规 4 2 2 3 3 3" xfId="739"/>
    <cellStyle name="常规 4 2 2 3 4" xfId="740"/>
    <cellStyle name="常规 4 2 2 3 4 2" xfId="741"/>
    <cellStyle name="常规 4 2 2 3 5" xfId="742"/>
    <cellStyle name="常规 4 2 2 4" xfId="743"/>
    <cellStyle name="常规 4 2 2 4 2" xfId="744"/>
    <cellStyle name="常规 4 2 2 4 2 2" xfId="745"/>
    <cellStyle name="常规 4 2 2 4 2 2 2" xfId="746"/>
    <cellStyle name="常规 4 2 2 4 2 3" xfId="747"/>
    <cellStyle name="常规 4 2 2 4 3" xfId="748"/>
    <cellStyle name="常规 4 2 2 4 3 2" xfId="749"/>
    <cellStyle name="常规 4 2 2 4 3 2 2" xfId="750"/>
    <cellStyle name="常规 4 2 2 4 3 3" xfId="751"/>
    <cellStyle name="常规 4 2 2 4 4" xfId="752"/>
    <cellStyle name="常规 4 2 2 4 4 2" xfId="753"/>
    <cellStyle name="常规 4 2 2 4 5" xfId="754"/>
    <cellStyle name="常规 4 2 2 5" xfId="755"/>
    <cellStyle name="常规 4 2 2 5 2" xfId="756"/>
    <cellStyle name="常规 4 2 2 5 2 2" xfId="757"/>
    <cellStyle name="常规 4 2 2 5 3" xfId="758"/>
    <cellStyle name="常规 4 2 2 6" xfId="759"/>
    <cellStyle name="常规 4 2 2 6 2" xfId="760"/>
    <cellStyle name="常规 4 2 2 6 2 2" xfId="761"/>
    <cellStyle name="常规 4 2 2 6 3" xfId="762"/>
    <cellStyle name="常规 4 2 2 7" xfId="763"/>
    <cellStyle name="常规 4 2 2 7 2" xfId="764"/>
    <cellStyle name="常规 4 2 2 8" xfId="765"/>
    <cellStyle name="常规 4 2 3" xfId="766"/>
    <cellStyle name="常规 4 2 3 2" xfId="767"/>
    <cellStyle name="常规 4 2 3 2 2" xfId="768"/>
    <cellStyle name="常规 4 2 3 2 2 2" xfId="769"/>
    <cellStyle name="常规 4 2 3 2 2 2 2" xfId="770"/>
    <cellStyle name="常规 4 2 3 2 2 3" xfId="771"/>
    <cellStyle name="常规 4 2 3 2 3" xfId="772"/>
    <cellStyle name="常规 4 2 3 2 3 2" xfId="773"/>
    <cellStyle name="常规 4 2 3 2 3 2 2" xfId="774"/>
    <cellStyle name="常规 4 2 3 2 3 3" xfId="775"/>
    <cellStyle name="常规 4 2 3 2 4" xfId="776"/>
    <cellStyle name="常规 4 2 3 2 4 2" xfId="777"/>
    <cellStyle name="常规 4 2 3 2 5" xfId="778"/>
    <cellStyle name="常规 4 2 3 3" xfId="779"/>
    <cellStyle name="常规 4 2 3 3 2" xfId="780"/>
    <cellStyle name="常规 4 2 3 3 2 2" xfId="781"/>
    <cellStyle name="常规 4 2 3 3 3" xfId="782"/>
    <cellStyle name="常规 4 2 3 4" xfId="783"/>
    <cellStyle name="常规 4 2 3 4 2" xfId="784"/>
    <cellStyle name="常规 4 2 3 4 2 2" xfId="785"/>
    <cellStyle name="常规 4 2 3 4 3" xfId="786"/>
    <cellStyle name="常规 4 2 3 5" xfId="787"/>
    <cellStyle name="常规 4 2 3 5 2" xfId="788"/>
    <cellStyle name="常规 4 2 3 6" xfId="789"/>
    <cellStyle name="常规 4 2 4" xfId="790"/>
    <cellStyle name="常规 4 2 4 2" xfId="791"/>
    <cellStyle name="常规 4 2 4 2 2" xfId="792"/>
    <cellStyle name="常规 4 2 4 2 2 2" xfId="793"/>
    <cellStyle name="常规 4 2 4 2 3" xfId="794"/>
    <cellStyle name="常规 4 2 4 3" xfId="795"/>
    <cellStyle name="常规 4 2 4 3 2" xfId="796"/>
    <cellStyle name="常规 4 2 4 3 2 2" xfId="797"/>
    <cellStyle name="常规 4 2 4 3 3" xfId="798"/>
    <cellStyle name="常规 4 2 4 4" xfId="799"/>
    <cellStyle name="常规 4 2 4 4 2" xfId="800"/>
    <cellStyle name="常规 4 2 4 5" xfId="801"/>
    <cellStyle name="常规 4 2 5" xfId="802"/>
    <cellStyle name="常规 4 2 5 2" xfId="803"/>
    <cellStyle name="常规 4 2 5 2 2" xfId="804"/>
    <cellStyle name="常规 4 2 5 2 2 2" xfId="805"/>
    <cellStyle name="常规 4 2 5 2 3" xfId="806"/>
    <cellStyle name="常规 4 2 5 3" xfId="807"/>
    <cellStyle name="常规 4 2 5 3 2" xfId="808"/>
    <cellStyle name="常规 4 2 5 3 2 2" xfId="809"/>
    <cellStyle name="常规 4 2 5 3 3" xfId="810"/>
    <cellStyle name="常规 4 2 5 4" xfId="811"/>
    <cellStyle name="常规 4 2 5 4 2" xfId="812"/>
    <cellStyle name="常规 4 2 5 5" xfId="813"/>
    <cellStyle name="常规 4 2 6" xfId="814"/>
    <cellStyle name="常规 4 2 6 2" xfId="815"/>
    <cellStyle name="常规 4 2 6 2 2" xfId="816"/>
    <cellStyle name="常规 4 2 6 3" xfId="817"/>
    <cellStyle name="常规 4 2 7" xfId="818"/>
    <cellStyle name="常规 4 2 7 2" xfId="819"/>
    <cellStyle name="常规 4 2 7 2 2" xfId="820"/>
    <cellStyle name="常规 4 2 7 3" xfId="821"/>
    <cellStyle name="常规 4 2 8" xfId="822"/>
    <cellStyle name="常规 4 2 8 2" xfId="823"/>
    <cellStyle name="常规 4 2 8 2 2" xfId="824"/>
    <cellStyle name="常规 4 2 8 3" xfId="825"/>
    <cellStyle name="常规 4 2 9" xfId="826"/>
    <cellStyle name="常规 4 2 9 2" xfId="827"/>
    <cellStyle name="常规 4 2 9 2 2" xfId="828"/>
    <cellStyle name="常规 4 2 9 3" xfId="829"/>
    <cellStyle name="常规 4 3" xfId="830"/>
    <cellStyle name="常规 4 3 10" xfId="831"/>
    <cellStyle name="常规 4 3 2" xfId="832"/>
    <cellStyle name="常规 4 3 2 2" xfId="833"/>
    <cellStyle name="常规 4 3 2 2 2" xfId="834"/>
    <cellStyle name="常规 4 3 2 2 2 2" xfId="835"/>
    <cellStyle name="常规 4 3 2 2 2 2 2" xfId="836"/>
    <cellStyle name="常规 4 3 2 2 2 3" xfId="837"/>
    <cellStyle name="常规 4 3 2 2 3" xfId="838"/>
    <cellStyle name="常规 4 3 2 2 3 2" xfId="839"/>
    <cellStyle name="常规 4 3 2 2 3 2 2" xfId="840"/>
    <cellStyle name="常规 4 3 2 2 3 3" xfId="841"/>
    <cellStyle name="常规 4 3 2 2 4" xfId="842"/>
    <cellStyle name="常规 4 3 2 2 4 2" xfId="843"/>
    <cellStyle name="常规 4 3 2 2 5" xfId="844"/>
    <cellStyle name="常规 4 3 2 3" xfId="845"/>
    <cellStyle name="常规 4 3 2 3 2" xfId="846"/>
    <cellStyle name="常规 4 3 2 3 2 2" xfId="847"/>
    <cellStyle name="常规 4 3 2 3 3" xfId="848"/>
    <cellStyle name="常规 4 3 2 4" xfId="849"/>
    <cellStyle name="常规 4 3 2 4 2" xfId="850"/>
    <cellStyle name="常规 4 3 2 4 2 2" xfId="851"/>
    <cellStyle name="常规 4 3 2 4 3" xfId="852"/>
    <cellStyle name="常规 4 3 2 5" xfId="853"/>
    <cellStyle name="常规 4 3 2 5 2" xfId="854"/>
    <cellStyle name="常规 4 3 2 6" xfId="855"/>
    <cellStyle name="常规 4 3 3" xfId="856"/>
    <cellStyle name="常规 4 3 3 2" xfId="857"/>
    <cellStyle name="常规 4 3 3 2 2" xfId="858"/>
    <cellStyle name="常规 4 3 3 2 2 2" xfId="859"/>
    <cellStyle name="常规 4 3 3 2 3" xfId="860"/>
    <cellStyle name="常规 4 3 3 3" xfId="861"/>
    <cellStyle name="常规 4 3 3 3 2" xfId="862"/>
    <cellStyle name="常规 4 3 3 3 2 2" xfId="863"/>
    <cellStyle name="常规 4 3 3 3 3" xfId="864"/>
    <cellStyle name="常规 4 3 3 4" xfId="865"/>
    <cellStyle name="常规 4 3 3 4 2" xfId="866"/>
    <cellStyle name="常规 4 3 3 5" xfId="867"/>
    <cellStyle name="常规 4 3 4" xfId="868"/>
    <cellStyle name="常规 4 3 4 2" xfId="869"/>
    <cellStyle name="常规 4 3 4 2 2" xfId="870"/>
    <cellStyle name="常规 4 3 4 2 2 2" xfId="871"/>
    <cellStyle name="常规 4 3 4 2 3" xfId="872"/>
    <cellStyle name="常规 4 3 4 3" xfId="873"/>
    <cellStyle name="常规 4 3 4 3 2" xfId="874"/>
    <cellStyle name="常规 4 3 4 3 2 2" xfId="875"/>
    <cellStyle name="常规 4 3 4 3 3" xfId="876"/>
    <cellStyle name="常规 4 3 4 4" xfId="877"/>
    <cellStyle name="常规 4 3 4 4 2" xfId="878"/>
    <cellStyle name="常规 4 3 4 5" xfId="879"/>
    <cellStyle name="常规 4 3 5" xfId="880"/>
    <cellStyle name="常规 4 3 5 2" xfId="881"/>
    <cellStyle name="常规 4 3 5 2 2" xfId="882"/>
    <cellStyle name="常规 4 3 5 3" xfId="883"/>
    <cellStyle name="常规 4 3 6" xfId="884"/>
    <cellStyle name="常规 4 3 6 2" xfId="885"/>
    <cellStyle name="常规 4 3 6 2 2" xfId="886"/>
    <cellStyle name="常规 4 3 6 3" xfId="887"/>
    <cellStyle name="常规 4 3 7" xfId="888"/>
    <cellStyle name="常规 4 3 7 2" xfId="889"/>
    <cellStyle name="常规 4 3 8" xfId="890"/>
    <cellStyle name="常规 4 3 8 2" xfId="891"/>
    <cellStyle name="常规 4 3 9" xfId="892"/>
    <cellStyle name="常规 4 3 9 2" xfId="893"/>
    <cellStyle name="常规 4 4" xfId="894"/>
    <cellStyle name="常规 4 4 2" xfId="895"/>
    <cellStyle name="常规 4 4 2 2" xfId="896"/>
    <cellStyle name="常规 4 4 2 2 2" xfId="897"/>
    <cellStyle name="常规 4 4 2 2 2 2" xfId="898"/>
    <cellStyle name="常规 4 4 2 2 3" xfId="899"/>
    <cellStyle name="常规 4 4 2 3" xfId="900"/>
    <cellStyle name="常规 4 4 2 3 2" xfId="901"/>
    <cellStyle name="常规 4 4 2 3 2 2" xfId="902"/>
    <cellStyle name="常规 4 4 2 3 3" xfId="903"/>
    <cellStyle name="常规 4 4 2 4" xfId="904"/>
    <cellStyle name="常规 4 4 2 4 2" xfId="905"/>
    <cellStyle name="常规 4 4 2 5" xfId="906"/>
    <cellStyle name="常规 4 4 3" xfId="907"/>
    <cellStyle name="常规 4 4 3 2" xfId="908"/>
    <cellStyle name="常规 4 4 3 2 2" xfId="909"/>
    <cellStyle name="常规 4 4 3 3" xfId="910"/>
    <cellStyle name="常规 4 4 4" xfId="911"/>
    <cellStyle name="常规 4 4 4 2" xfId="912"/>
    <cellStyle name="常规 4 4 4 2 2" xfId="913"/>
    <cellStyle name="常规 4 4 4 3" xfId="914"/>
    <cellStyle name="常规 4 4 5" xfId="915"/>
    <cellStyle name="常规 4 4 5 2" xfId="916"/>
    <cellStyle name="常规 4 4 6" xfId="917"/>
    <cellStyle name="常规 4 4 6 2" xfId="918"/>
    <cellStyle name="常规 4 4 7" xfId="919"/>
    <cellStyle name="常规 4 5" xfId="920"/>
    <cellStyle name="常规 4 5 2" xfId="921"/>
    <cellStyle name="常规 4 5 2 2" xfId="922"/>
    <cellStyle name="常规 4 5 2 2 2" xfId="923"/>
    <cellStyle name="常规 4 5 2 3" xfId="924"/>
    <cellStyle name="常规 4 5 3" xfId="925"/>
    <cellStyle name="常规 4 5 3 2" xfId="926"/>
    <cellStyle name="常规 4 5 3 2 2" xfId="927"/>
    <cellStyle name="常规 4 5 3 3" xfId="928"/>
    <cellStyle name="常规 4 5 4" xfId="929"/>
    <cellStyle name="常规 4 5 4 2" xfId="930"/>
    <cellStyle name="常规 4 5 5" xfId="931"/>
    <cellStyle name="常规 4 6" xfId="932"/>
    <cellStyle name="常规 4 6 2" xfId="933"/>
    <cellStyle name="常规 4 6 2 2" xfId="934"/>
    <cellStyle name="常规 4 6 2 2 2" xfId="935"/>
    <cellStyle name="常规 4 6 2 3" xfId="936"/>
    <cellStyle name="常规 4 6 3" xfId="937"/>
    <cellStyle name="常规 4 6 3 2" xfId="938"/>
    <cellStyle name="常规 4 6 3 2 2" xfId="939"/>
    <cellStyle name="常规 4 6 3 3" xfId="940"/>
    <cellStyle name="常规 4 6 4" xfId="941"/>
    <cellStyle name="常规 4 6 4 2" xfId="942"/>
    <cellStyle name="常规 4 6 5" xfId="943"/>
    <cellStyle name="常规 4 7" xfId="944"/>
    <cellStyle name="常规 4 7 2" xfId="945"/>
    <cellStyle name="常规 4 7 2 2" xfId="946"/>
    <cellStyle name="常规 4 7 2 2 2" xfId="947"/>
    <cellStyle name="常规 4 7 2 3" xfId="948"/>
    <cellStyle name="常规 4 7 3" xfId="949"/>
    <cellStyle name="常规 4 7 3 2" xfId="950"/>
    <cellStyle name="常规 4 7 3 2 2" xfId="951"/>
    <cellStyle name="常规 4 7 3 3" xfId="952"/>
    <cellStyle name="常规 4 7 4" xfId="953"/>
    <cellStyle name="常规 4 7 4 2" xfId="954"/>
    <cellStyle name="常规 4 7 5" xfId="955"/>
    <cellStyle name="常规 4 8" xfId="956"/>
    <cellStyle name="常规 4 8 2" xfId="957"/>
    <cellStyle name="常规 4 8 2 2" xfId="958"/>
    <cellStyle name="常规 4 8 3" xfId="959"/>
    <cellStyle name="常规 4 9" xfId="960"/>
    <cellStyle name="常规 4 9 2" xfId="961"/>
    <cellStyle name="常规 4 9 2 2" xfId="962"/>
    <cellStyle name="常规 4 9 3" xfId="963"/>
    <cellStyle name="常规 5" xfId="7"/>
    <cellStyle name="常规 5 10" xfId="964"/>
    <cellStyle name="常规 5 10 2" xfId="965"/>
    <cellStyle name="常规 5 11" xfId="966"/>
    <cellStyle name="常规 5 11 2" xfId="967"/>
    <cellStyle name="常规 5 12" xfId="968"/>
    <cellStyle name="常规 5 12 2" xfId="969"/>
    <cellStyle name="常规 5 13" xfId="970"/>
    <cellStyle name="常规 5 2" xfId="971"/>
    <cellStyle name="常规 5 2 10" xfId="972"/>
    <cellStyle name="常规 5 2 10 2" xfId="973"/>
    <cellStyle name="常规 5 2 11" xfId="974"/>
    <cellStyle name="常规 5 2 2" xfId="975"/>
    <cellStyle name="常规 5 2 2 2" xfId="976"/>
    <cellStyle name="常规 5 2 2 2 2" xfId="977"/>
    <cellStyle name="常规 5 2 2 2 2 2" xfId="978"/>
    <cellStyle name="常规 5 2 2 2 2 2 2" xfId="979"/>
    <cellStyle name="常规 5 2 2 2 2 3" xfId="980"/>
    <cellStyle name="常规 5 2 2 2 3" xfId="981"/>
    <cellStyle name="常规 5 2 2 2 3 2" xfId="982"/>
    <cellStyle name="常规 5 2 2 2 3 2 2" xfId="983"/>
    <cellStyle name="常规 5 2 2 2 3 3" xfId="984"/>
    <cellStyle name="常规 5 2 2 2 4" xfId="985"/>
    <cellStyle name="常规 5 2 2 2 4 2" xfId="986"/>
    <cellStyle name="常规 5 2 2 2 5" xfId="987"/>
    <cellStyle name="常规 5 2 2 3" xfId="988"/>
    <cellStyle name="常规 5 2 2 3 2" xfId="989"/>
    <cellStyle name="常规 5 2 2 3 2 2" xfId="990"/>
    <cellStyle name="常规 5 2 2 3 3" xfId="991"/>
    <cellStyle name="常规 5 2 2 4" xfId="992"/>
    <cellStyle name="常规 5 2 2 4 2" xfId="993"/>
    <cellStyle name="常规 5 2 2 4 2 2" xfId="994"/>
    <cellStyle name="常规 5 2 2 4 3" xfId="995"/>
    <cellStyle name="常规 5 2 2 5" xfId="996"/>
    <cellStyle name="常规 5 2 2 5 2" xfId="997"/>
    <cellStyle name="常规 5 2 2 6" xfId="998"/>
    <cellStyle name="常规 5 2 3" xfId="999"/>
    <cellStyle name="常规 5 2 3 2" xfId="1000"/>
    <cellStyle name="常规 5 2 3 2 2" xfId="1001"/>
    <cellStyle name="常规 5 2 3 2 2 2" xfId="1002"/>
    <cellStyle name="常规 5 2 3 2 3" xfId="1003"/>
    <cellStyle name="常规 5 2 3 3" xfId="1004"/>
    <cellStyle name="常规 5 2 3 3 2" xfId="1005"/>
    <cellStyle name="常规 5 2 3 3 2 2" xfId="1006"/>
    <cellStyle name="常规 5 2 3 3 3" xfId="1007"/>
    <cellStyle name="常规 5 2 3 4" xfId="1008"/>
    <cellStyle name="常规 5 2 3 4 2" xfId="1009"/>
    <cellStyle name="常规 5 2 3 5" xfId="1010"/>
    <cellStyle name="常规 5 2 4" xfId="1011"/>
    <cellStyle name="常规 5 2 4 2" xfId="1012"/>
    <cellStyle name="常规 5 2 4 2 2" xfId="1013"/>
    <cellStyle name="常规 5 2 4 2 2 2" xfId="1014"/>
    <cellStyle name="常规 5 2 4 2 3" xfId="1015"/>
    <cellStyle name="常规 5 2 4 3" xfId="1016"/>
    <cellStyle name="常规 5 2 4 3 2" xfId="1017"/>
    <cellStyle name="常规 5 2 4 3 2 2" xfId="1018"/>
    <cellStyle name="常规 5 2 4 3 3" xfId="1019"/>
    <cellStyle name="常规 5 2 4 4" xfId="1020"/>
    <cellStyle name="常规 5 2 4 4 2" xfId="1021"/>
    <cellStyle name="常规 5 2 4 5" xfId="1022"/>
    <cellStyle name="常规 5 2 5" xfId="1023"/>
    <cellStyle name="常规 5 2 5 2" xfId="1024"/>
    <cellStyle name="常规 5 2 5 2 2" xfId="1025"/>
    <cellStyle name="常规 5 2 5 3" xfId="1026"/>
    <cellStyle name="常规 5 2 6" xfId="1027"/>
    <cellStyle name="常规 5 2 6 2" xfId="1028"/>
    <cellStyle name="常规 5 2 6 2 2" xfId="1029"/>
    <cellStyle name="常规 5 2 6 3" xfId="1030"/>
    <cellStyle name="常规 5 2 7" xfId="1031"/>
    <cellStyle name="常规 5 2 7 2" xfId="1032"/>
    <cellStyle name="常规 5 2 7 2 2" xfId="1033"/>
    <cellStyle name="常规 5 2 7 3" xfId="1034"/>
    <cellStyle name="常规 5 2 8" xfId="1035"/>
    <cellStyle name="常规 5 2 8 2" xfId="1036"/>
    <cellStyle name="常规 5 2 9" xfId="1037"/>
    <cellStyle name="常规 5 2 9 2" xfId="1038"/>
    <cellStyle name="常规 5 3" xfId="1039"/>
    <cellStyle name="常规 5 3 2" xfId="1040"/>
    <cellStyle name="常规 5 3 2 2" xfId="1041"/>
    <cellStyle name="常规 5 3 2 2 2" xfId="1042"/>
    <cellStyle name="常规 5 3 2 2 2 2" xfId="1043"/>
    <cellStyle name="常规 5 3 2 2 3" xfId="1044"/>
    <cellStyle name="常规 5 3 2 3" xfId="1045"/>
    <cellStyle name="常规 5 3 2 3 2" xfId="1046"/>
    <cellStyle name="常规 5 3 2 3 2 2" xfId="1047"/>
    <cellStyle name="常规 5 3 2 3 3" xfId="1048"/>
    <cellStyle name="常规 5 3 2 4" xfId="1049"/>
    <cellStyle name="常规 5 3 2 4 2" xfId="1050"/>
    <cellStyle name="常规 5 3 2 5" xfId="1051"/>
    <cellStyle name="常规 5 3 3" xfId="1052"/>
    <cellStyle name="常规 5 3 3 2" xfId="1053"/>
    <cellStyle name="常规 5 3 3 2 2" xfId="1054"/>
    <cellStyle name="常规 5 3 3 3" xfId="1055"/>
    <cellStyle name="常规 5 3 4" xfId="1056"/>
    <cellStyle name="常规 5 3 4 2" xfId="1057"/>
    <cellStyle name="常规 5 3 4 2 2" xfId="1058"/>
    <cellStyle name="常规 5 3 4 3" xfId="1059"/>
    <cellStyle name="常规 5 3 5" xfId="1060"/>
    <cellStyle name="常规 5 3 5 2" xfId="1061"/>
    <cellStyle name="常规 5 3 6" xfId="1062"/>
    <cellStyle name="常规 5 3 6 2" xfId="1063"/>
    <cellStyle name="常规 5 3 7" xfId="1064"/>
    <cellStyle name="常规 5 3 7 2" xfId="1065"/>
    <cellStyle name="常规 5 3 8" xfId="1066"/>
    <cellStyle name="常规 5 4" xfId="1067"/>
    <cellStyle name="常规 5 4 2" xfId="1068"/>
    <cellStyle name="常规 5 4 2 2" xfId="1069"/>
    <cellStyle name="常规 5 4 2 2 2" xfId="1070"/>
    <cellStyle name="常规 5 4 2 3" xfId="1071"/>
    <cellStyle name="常规 5 4 3" xfId="1072"/>
    <cellStyle name="常规 5 4 3 2" xfId="1073"/>
    <cellStyle name="常规 5 4 3 2 2" xfId="1074"/>
    <cellStyle name="常规 5 4 3 3" xfId="1075"/>
    <cellStyle name="常规 5 4 4" xfId="1076"/>
    <cellStyle name="常规 5 4 4 2" xfId="1077"/>
    <cellStyle name="常规 5 4 5" xfId="1078"/>
    <cellStyle name="常规 5 4 5 2" xfId="1079"/>
    <cellStyle name="常规 5 4 6" xfId="1080"/>
    <cellStyle name="常规 5 5" xfId="1081"/>
    <cellStyle name="常规 5 5 2" xfId="1082"/>
    <cellStyle name="常规 5 5 2 2" xfId="1083"/>
    <cellStyle name="常规 5 5 2 2 2" xfId="1084"/>
    <cellStyle name="常规 5 5 2 3" xfId="1085"/>
    <cellStyle name="常规 5 5 3" xfId="1086"/>
    <cellStyle name="常规 5 5 3 2" xfId="1087"/>
    <cellStyle name="常规 5 5 3 2 2" xfId="1088"/>
    <cellStyle name="常规 5 5 3 3" xfId="1089"/>
    <cellStyle name="常规 5 5 4" xfId="1090"/>
    <cellStyle name="常规 5 5 4 2" xfId="1091"/>
    <cellStyle name="常规 5 5 5" xfId="1092"/>
    <cellStyle name="常规 5 6" xfId="1093"/>
    <cellStyle name="常规 5 6 2" xfId="1094"/>
    <cellStyle name="常规 5 6 2 2" xfId="1095"/>
    <cellStyle name="常规 5 6 3" xfId="1096"/>
    <cellStyle name="常规 5 7" xfId="1097"/>
    <cellStyle name="常规 5 7 2" xfId="1098"/>
    <cellStyle name="常规 5 7 2 2" xfId="1099"/>
    <cellStyle name="常规 5 7 3" xfId="1100"/>
    <cellStyle name="常规 5 8" xfId="1101"/>
    <cellStyle name="常规 5 8 2" xfId="1102"/>
    <cellStyle name="常规 5 8 2 2" xfId="1103"/>
    <cellStyle name="常规 5 8 3" xfId="1104"/>
    <cellStyle name="常规 5 9" xfId="1105"/>
    <cellStyle name="常规 5 9 2" xfId="1106"/>
    <cellStyle name="常规 5 9 2 2" xfId="1107"/>
    <cellStyle name="常规 5 9 3" xfId="1108"/>
    <cellStyle name="常规 57" xfId="1109"/>
    <cellStyle name="常规 58" xfId="1110"/>
    <cellStyle name="常规 6" xfId="8"/>
    <cellStyle name="常规 6 10" xfId="1111"/>
    <cellStyle name="常规 6 10 2" xfId="1112"/>
    <cellStyle name="常规 6 11" xfId="1113"/>
    <cellStyle name="常规 6 11 2" xfId="1114"/>
    <cellStyle name="常规 6 12" xfId="1115"/>
    <cellStyle name="常规 6 12 2" xfId="1116"/>
    <cellStyle name="常规 6 13" xfId="1117"/>
    <cellStyle name="常规 6 2" xfId="10"/>
    <cellStyle name="常规 6 2 10" xfId="1118"/>
    <cellStyle name="常规 6 2 10 2" xfId="1119"/>
    <cellStyle name="常规 6 2 11" xfId="1120"/>
    <cellStyle name="常规 6 2 2" xfId="13"/>
    <cellStyle name="常规 6 2 2 2" xfId="1121"/>
    <cellStyle name="常规 6 2 2 2 2" xfId="1122"/>
    <cellStyle name="常规 6 2 2 2 2 2" xfId="1123"/>
    <cellStyle name="常规 6 2 2 2 2 2 2" xfId="1124"/>
    <cellStyle name="常规 6 2 2 2 2 3" xfId="1125"/>
    <cellStyle name="常规 6 2 2 2 3" xfId="1126"/>
    <cellStyle name="常规 6 2 2 2 3 2" xfId="1127"/>
    <cellStyle name="常规 6 2 2 2 3 2 2" xfId="1128"/>
    <cellStyle name="常规 6 2 2 2 3 3" xfId="1129"/>
    <cellStyle name="常规 6 2 2 2 4" xfId="1130"/>
    <cellStyle name="常规 6 2 2 2 4 2" xfId="1131"/>
    <cellStyle name="常规 6 2 2 2 5" xfId="1132"/>
    <cellStyle name="常规 6 2 2 3" xfId="1133"/>
    <cellStyle name="常规 6 2 2 3 2" xfId="1134"/>
    <cellStyle name="常规 6 2 2 3 2 2" xfId="1135"/>
    <cellStyle name="常规 6 2 2 3 3" xfId="1136"/>
    <cellStyle name="常规 6 2 2 4" xfId="1137"/>
    <cellStyle name="常规 6 2 2 4 2" xfId="1138"/>
    <cellStyle name="常规 6 2 2 4 2 2" xfId="1139"/>
    <cellStyle name="常规 6 2 2 4 3" xfId="1140"/>
    <cellStyle name="常规 6 2 2 5" xfId="1141"/>
    <cellStyle name="常规 6 2 2 5 2" xfId="1142"/>
    <cellStyle name="常规 6 2 2 6" xfId="1143"/>
    <cellStyle name="常规 6 2 3" xfId="1144"/>
    <cellStyle name="常规 6 2 3 2" xfId="1145"/>
    <cellStyle name="常规 6 2 3 2 2" xfId="1146"/>
    <cellStyle name="常规 6 2 3 2 2 2" xfId="1147"/>
    <cellStyle name="常规 6 2 3 2 3" xfId="1148"/>
    <cellStyle name="常规 6 2 3 3" xfId="1149"/>
    <cellStyle name="常规 6 2 3 3 2" xfId="1150"/>
    <cellStyle name="常规 6 2 3 3 2 2" xfId="1151"/>
    <cellStyle name="常规 6 2 3 3 3" xfId="1152"/>
    <cellStyle name="常规 6 2 3 4" xfId="1153"/>
    <cellStyle name="常规 6 2 3 4 2" xfId="1154"/>
    <cellStyle name="常规 6 2 3 5" xfId="1155"/>
    <cellStyle name="常规 6 2 4" xfId="1156"/>
    <cellStyle name="常规 6 2 4 2" xfId="1157"/>
    <cellStyle name="常规 6 2 4 2 2" xfId="1158"/>
    <cellStyle name="常规 6 2 4 2 2 2" xfId="1159"/>
    <cellStyle name="常规 6 2 4 2 3" xfId="1160"/>
    <cellStyle name="常规 6 2 4 3" xfId="1161"/>
    <cellStyle name="常规 6 2 4 3 2" xfId="1162"/>
    <cellStyle name="常规 6 2 4 3 2 2" xfId="1163"/>
    <cellStyle name="常规 6 2 4 3 3" xfId="1164"/>
    <cellStyle name="常规 6 2 4 4" xfId="1165"/>
    <cellStyle name="常规 6 2 4 4 2" xfId="1166"/>
    <cellStyle name="常规 6 2 4 5" xfId="1167"/>
    <cellStyle name="常规 6 2 5" xfId="1168"/>
    <cellStyle name="常规 6 2 5 2" xfId="1169"/>
    <cellStyle name="常规 6 2 5 2 2" xfId="1170"/>
    <cellStyle name="常规 6 2 5 3" xfId="1171"/>
    <cellStyle name="常规 6 2 6" xfId="1172"/>
    <cellStyle name="常规 6 2 6 2" xfId="1173"/>
    <cellStyle name="常规 6 2 6 2 2" xfId="1174"/>
    <cellStyle name="常规 6 2 6 3" xfId="1175"/>
    <cellStyle name="常规 6 2 7" xfId="1176"/>
    <cellStyle name="常规 6 2 7 2" xfId="1177"/>
    <cellStyle name="常规 6 2 7 2 2" xfId="1178"/>
    <cellStyle name="常规 6 2 7 3" xfId="1179"/>
    <cellStyle name="常规 6 2 8" xfId="1180"/>
    <cellStyle name="常规 6 2 8 2" xfId="1181"/>
    <cellStyle name="常规 6 2 9" xfId="1182"/>
    <cellStyle name="常规 6 2 9 2" xfId="1183"/>
    <cellStyle name="常规 6 3" xfId="1184"/>
    <cellStyle name="常规 6 3 2" xfId="1185"/>
    <cellStyle name="常规 6 3 2 2" xfId="1186"/>
    <cellStyle name="常规 6 3 2 2 2" xfId="1187"/>
    <cellStyle name="常规 6 3 2 2 2 2" xfId="1188"/>
    <cellStyle name="常规 6 3 2 2 3" xfId="1189"/>
    <cellStyle name="常规 6 3 2 3" xfId="1190"/>
    <cellStyle name="常规 6 3 2 3 2" xfId="1191"/>
    <cellStyle name="常规 6 3 2 3 2 2" xfId="1192"/>
    <cellStyle name="常规 6 3 2 3 3" xfId="1193"/>
    <cellStyle name="常规 6 3 2 4" xfId="1194"/>
    <cellStyle name="常规 6 3 2 4 2" xfId="1195"/>
    <cellStyle name="常规 6 3 2 5" xfId="1196"/>
    <cellStyle name="常规 6 3 3" xfId="1197"/>
    <cellStyle name="常规 6 3 3 2" xfId="1198"/>
    <cellStyle name="常规 6 3 3 2 2" xfId="1199"/>
    <cellStyle name="常规 6 3 3 3" xfId="1200"/>
    <cellStyle name="常规 6 3 4" xfId="1201"/>
    <cellStyle name="常规 6 3 4 2" xfId="1202"/>
    <cellStyle name="常规 6 3 4 2 2" xfId="1203"/>
    <cellStyle name="常规 6 3 4 3" xfId="1204"/>
    <cellStyle name="常规 6 3 5" xfId="1205"/>
    <cellStyle name="常规 6 3 5 2" xfId="1206"/>
    <cellStyle name="常规 6 3 6" xfId="1207"/>
    <cellStyle name="常规 6 3 6 2" xfId="1208"/>
    <cellStyle name="常规 6 3 7" xfId="1209"/>
    <cellStyle name="常规 6 3 7 2" xfId="1210"/>
    <cellStyle name="常规 6 3 8" xfId="1211"/>
    <cellStyle name="常规 6 4" xfId="1212"/>
    <cellStyle name="常规 6 4 2" xfId="1213"/>
    <cellStyle name="常规 6 4 2 2" xfId="1214"/>
    <cellStyle name="常规 6 4 2 2 2" xfId="1215"/>
    <cellStyle name="常规 6 4 2 3" xfId="1216"/>
    <cellStyle name="常规 6 4 3" xfId="1217"/>
    <cellStyle name="常规 6 4 3 2" xfId="1218"/>
    <cellStyle name="常规 6 4 3 2 2" xfId="1219"/>
    <cellStyle name="常规 6 4 3 3" xfId="1220"/>
    <cellStyle name="常规 6 4 4" xfId="1221"/>
    <cellStyle name="常规 6 4 4 2" xfId="1222"/>
    <cellStyle name="常规 6 4 5" xfId="1223"/>
    <cellStyle name="常规 6 4 5 2" xfId="1224"/>
    <cellStyle name="常规 6 4 6" xfId="1225"/>
    <cellStyle name="常规 6 5" xfId="1226"/>
    <cellStyle name="常规 6 5 2" xfId="1227"/>
    <cellStyle name="常规 6 5 2 2" xfId="1228"/>
    <cellStyle name="常规 6 5 2 2 2" xfId="1229"/>
    <cellStyle name="常规 6 5 2 3" xfId="1230"/>
    <cellStyle name="常规 6 5 3" xfId="1231"/>
    <cellStyle name="常规 6 5 3 2" xfId="1232"/>
    <cellStyle name="常规 6 5 3 2 2" xfId="1233"/>
    <cellStyle name="常规 6 5 3 3" xfId="1234"/>
    <cellStyle name="常规 6 5 4" xfId="1235"/>
    <cellStyle name="常规 6 5 4 2" xfId="1236"/>
    <cellStyle name="常规 6 5 5" xfId="1237"/>
    <cellStyle name="常规 6 6" xfId="1238"/>
    <cellStyle name="常规 6 6 2" xfId="1239"/>
    <cellStyle name="常规 6 6 2 2" xfId="1240"/>
    <cellStyle name="常规 6 6 3" xfId="1241"/>
    <cellStyle name="常规 6 7" xfId="1242"/>
    <cellStyle name="常规 6 7 2" xfId="1243"/>
    <cellStyle name="常规 6 7 2 2" xfId="1244"/>
    <cellStyle name="常规 6 7 3" xfId="1245"/>
    <cellStyle name="常规 6 8" xfId="1246"/>
    <cellStyle name="常规 6 8 2" xfId="1247"/>
    <cellStyle name="常规 6 8 2 2" xfId="1248"/>
    <cellStyle name="常规 6 8 3" xfId="1249"/>
    <cellStyle name="常规 6 9" xfId="1250"/>
    <cellStyle name="常规 6 9 2" xfId="1251"/>
    <cellStyle name="常规 6 9 2 2" xfId="1252"/>
    <cellStyle name="常规 6 9 3" xfId="1253"/>
    <cellStyle name="常规 7" xfId="9"/>
    <cellStyle name="常规 7 10" xfId="1254"/>
    <cellStyle name="常规 7 10 2" xfId="1255"/>
    <cellStyle name="常规 7 11" xfId="1256"/>
    <cellStyle name="常规 7 11 2" xfId="1257"/>
    <cellStyle name="常规 7 12" xfId="1258"/>
    <cellStyle name="常规 7 12 2" xfId="1259"/>
    <cellStyle name="常规 7 13" xfId="1260"/>
    <cellStyle name="常规 7 2" xfId="1261"/>
    <cellStyle name="常规 7 2 10" xfId="1262"/>
    <cellStyle name="常规 7 2 10 2" xfId="1263"/>
    <cellStyle name="常规 7 2 11" xfId="1264"/>
    <cellStyle name="常规 7 2 11 2" xfId="1265"/>
    <cellStyle name="常规 7 2 12" xfId="1266"/>
    <cellStyle name="常规 7 2 2" xfId="1267"/>
    <cellStyle name="常规 7 2 2 2" xfId="1268"/>
    <cellStyle name="常规 7 2 2 2 2" xfId="1269"/>
    <cellStyle name="常规 7 2 2 2 2 2" xfId="1270"/>
    <cellStyle name="常规 7 2 2 2 2 2 2" xfId="1271"/>
    <cellStyle name="常规 7 2 2 2 2 3" xfId="1272"/>
    <cellStyle name="常规 7 2 2 2 3" xfId="1273"/>
    <cellStyle name="常规 7 2 2 2 3 2" xfId="1274"/>
    <cellStyle name="常规 7 2 2 2 3 2 2" xfId="1275"/>
    <cellStyle name="常规 7 2 2 2 3 3" xfId="1276"/>
    <cellStyle name="常规 7 2 2 2 4" xfId="1277"/>
    <cellStyle name="常规 7 2 2 2 4 2" xfId="1278"/>
    <cellStyle name="常规 7 2 2 2 5" xfId="1279"/>
    <cellStyle name="常规 7 2 2 3" xfId="1280"/>
    <cellStyle name="常规 7 2 2 3 2" xfId="1281"/>
    <cellStyle name="常规 7 2 2 3 2 2" xfId="1282"/>
    <cellStyle name="常规 7 2 2 3 3" xfId="1283"/>
    <cellStyle name="常规 7 2 2 4" xfId="1284"/>
    <cellStyle name="常规 7 2 2 4 2" xfId="1285"/>
    <cellStyle name="常规 7 2 2 4 2 2" xfId="1286"/>
    <cellStyle name="常规 7 2 2 4 3" xfId="1287"/>
    <cellStyle name="常规 7 2 2 5" xfId="1288"/>
    <cellStyle name="常规 7 2 2 5 2" xfId="1289"/>
    <cellStyle name="常规 7 2 2 6" xfId="1290"/>
    <cellStyle name="常规 7 2 3" xfId="1291"/>
    <cellStyle name="常规 7 2 3 2" xfId="1292"/>
    <cellStyle name="常规 7 2 3 2 2" xfId="1293"/>
    <cellStyle name="常规 7 2 3 2 2 2" xfId="1294"/>
    <cellStyle name="常规 7 2 3 2 3" xfId="1295"/>
    <cellStyle name="常规 7 2 3 3" xfId="1296"/>
    <cellStyle name="常规 7 2 3 3 2" xfId="1297"/>
    <cellStyle name="常规 7 2 3 3 2 2" xfId="1298"/>
    <cellStyle name="常规 7 2 3 3 3" xfId="1299"/>
    <cellStyle name="常规 7 2 3 4" xfId="1300"/>
    <cellStyle name="常规 7 2 3 4 2" xfId="1301"/>
    <cellStyle name="常规 7 2 3 5" xfId="1302"/>
    <cellStyle name="常规 7 2 4" xfId="1303"/>
    <cellStyle name="常规 7 2 4 2" xfId="1304"/>
    <cellStyle name="常规 7 2 4 2 2" xfId="1305"/>
    <cellStyle name="常规 7 2 4 2 2 2" xfId="1306"/>
    <cellStyle name="常规 7 2 4 2 3" xfId="1307"/>
    <cellStyle name="常规 7 2 4 3" xfId="1308"/>
    <cellStyle name="常规 7 2 4 3 2" xfId="1309"/>
    <cellStyle name="常规 7 2 4 3 2 2" xfId="1310"/>
    <cellStyle name="常规 7 2 4 3 3" xfId="1311"/>
    <cellStyle name="常规 7 2 4 4" xfId="1312"/>
    <cellStyle name="常规 7 2 4 4 2" xfId="1313"/>
    <cellStyle name="常规 7 2 4 5" xfId="1314"/>
    <cellStyle name="常规 7 2 5" xfId="1315"/>
    <cellStyle name="常规 7 2 5 2" xfId="1316"/>
    <cellStyle name="常规 7 2 5 2 2" xfId="1317"/>
    <cellStyle name="常规 7 2 5 3" xfId="1318"/>
    <cellStyle name="常规 7 2 6" xfId="1319"/>
    <cellStyle name="常规 7 2 6 2" xfId="1320"/>
    <cellStyle name="常规 7 2 6 2 2" xfId="1321"/>
    <cellStyle name="常规 7 2 6 3" xfId="1322"/>
    <cellStyle name="常规 7 2 7" xfId="1323"/>
    <cellStyle name="常规 7 2 7 2" xfId="1324"/>
    <cellStyle name="常规 7 2 7 2 2" xfId="1325"/>
    <cellStyle name="常规 7 2 7 3" xfId="1326"/>
    <cellStyle name="常规 7 2 8" xfId="1327"/>
    <cellStyle name="常规 7 2 8 2" xfId="1328"/>
    <cellStyle name="常规 7 2 8 2 2" xfId="1329"/>
    <cellStyle name="常规 7 2 8 3" xfId="1330"/>
    <cellStyle name="常规 7 2 9" xfId="1331"/>
    <cellStyle name="常规 7 2 9 2" xfId="1332"/>
    <cellStyle name="常规 7 3" xfId="1333"/>
    <cellStyle name="常规 7 3 2" xfId="1334"/>
    <cellStyle name="常规 7 3 2 2" xfId="1335"/>
    <cellStyle name="常规 7 3 2 2 2" xfId="1336"/>
    <cellStyle name="常规 7 3 2 2 2 2" xfId="1337"/>
    <cellStyle name="常规 7 3 2 2 3" xfId="1338"/>
    <cellStyle name="常规 7 3 2 3" xfId="1339"/>
    <cellStyle name="常规 7 3 2 3 2" xfId="1340"/>
    <cellStyle name="常规 7 3 2 3 2 2" xfId="1341"/>
    <cellStyle name="常规 7 3 2 3 3" xfId="1342"/>
    <cellStyle name="常规 7 3 2 4" xfId="1343"/>
    <cellStyle name="常规 7 3 2 4 2" xfId="1344"/>
    <cellStyle name="常规 7 3 2 5" xfId="1345"/>
    <cellStyle name="常规 7 3 3" xfId="1346"/>
    <cellStyle name="常规 7 3 3 2" xfId="1347"/>
    <cellStyle name="常规 7 3 3 2 2" xfId="1348"/>
    <cellStyle name="常规 7 3 3 3" xfId="1349"/>
    <cellStyle name="常规 7 3 4" xfId="1350"/>
    <cellStyle name="常规 7 3 4 2" xfId="1351"/>
    <cellStyle name="常规 7 3 4 2 2" xfId="1352"/>
    <cellStyle name="常规 7 3 4 3" xfId="1353"/>
    <cellStyle name="常规 7 3 5" xfId="1354"/>
    <cellStyle name="常规 7 3 5 2" xfId="1355"/>
    <cellStyle name="常规 7 3 6" xfId="1356"/>
    <cellStyle name="常规 7 3 6 2" xfId="1357"/>
    <cellStyle name="常规 7 3 7" xfId="1358"/>
    <cellStyle name="常规 7 3 7 2" xfId="1359"/>
    <cellStyle name="常规 7 3 8" xfId="1360"/>
    <cellStyle name="常规 7 4" xfId="1361"/>
    <cellStyle name="常规 7 4 2" xfId="1362"/>
    <cellStyle name="常规 7 4 2 2" xfId="1363"/>
    <cellStyle name="常规 7 4 2 2 2" xfId="1364"/>
    <cellStyle name="常规 7 4 2 3" xfId="1365"/>
    <cellStyle name="常规 7 4 3" xfId="1366"/>
    <cellStyle name="常规 7 4 3 2" xfId="1367"/>
    <cellStyle name="常规 7 4 3 2 2" xfId="1368"/>
    <cellStyle name="常规 7 4 3 3" xfId="1369"/>
    <cellStyle name="常规 7 4 4" xfId="1370"/>
    <cellStyle name="常规 7 4 4 2" xfId="1371"/>
    <cellStyle name="常规 7 4 5" xfId="1372"/>
    <cellStyle name="常规 7 4 5 2" xfId="1373"/>
    <cellStyle name="常规 7 4 6" xfId="1374"/>
    <cellStyle name="常规 7 5" xfId="1375"/>
    <cellStyle name="常规 7 5 2" xfId="1376"/>
    <cellStyle name="常规 7 5 2 2" xfId="1377"/>
    <cellStyle name="常规 7 5 2 2 2" xfId="1378"/>
    <cellStyle name="常规 7 5 2 3" xfId="1379"/>
    <cellStyle name="常规 7 5 3" xfId="1380"/>
    <cellStyle name="常规 7 5 3 2" xfId="1381"/>
    <cellStyle name="常规 7 5 3 2 2" xfId="1382"/>
    <cellStyle name="常规 7 5 3 3" xfId="1383"/>
    <cellStyle name="常规 7 5 4" xfId="1384"/>
    <cellStyle name="常规 7 5 4 2" xfId="1385"/>
    <cellStyle name="常规 7 5 5" xfId="1386"/>
    <cellStyle name="常规 7 6" xfId="1387"/>
    <cellStyle name="常规 7 6 2" xfId="1388"/>
    <cellStyle name="常规 7 6 2 2" xfId="1389"/>
    <cellStyle name="常规 7 6 2 2 2" xfId="1390"/>
    <cellStyle name="常规 7 6 2 3" xfId="1391"/>
    <cellStyle name="常规 7 6 3" xfId="1392"/>
    <cellStyle name="常规 7 6 3 2" xfId="1393"/>
    <cellStyle name="常规 7 6 3 2 2" xfId="1394"/>
    <cellStyle name="常规 7 6 3 3" xfId="1395"/>
    <cellStyle name="常规 7 6 4" xfId="1396"/>
    <cellStyle name="常规 7 6 4 2" xfId="1397"/>
    <cellStyle name="常规 7 6 5" xfId="1398"/>
    <cellStyle name="常规 7 7" xfId="1399"/>
    <cellStyle name="常规 7 7 2" xfId="1400"/>
    <cellStyle name="常规 7 7 2 2" xfId="1401"/>
    <cellStyle name="常规 7 7 3" xfId="1402"/>
    <cellStyle name="常规 7 8" xfId="1403"/>
    <cellStyle name="常规 7 8 2" xfId="1404"/>
    <cellStyle name="常规 7 8 2 2" xfId="1405"/>
    <cellStyle name="常规 7 8 3" xfId="1406"/>
    <cellStyle name="常规 7 9" xfId="1407"/>
    <cellStyle name="常规 7 9 2" xfId="1408"/>
    <cellStyle name="常规 7 9 2 2" xfId="1409"/>
    <cellStyle name="常规 7 9 3" xfId="1410"/>
    <cellStyle name="常规 8" xfId="15"/>
    <cellStyle name="常规 8 2" xfId="1411"/>
    <cellStyle name="常规 8 3" xfId="1412"/>
    <cellStyle name="常规 8 3 2" xfId="1413"/>
    <cellStyle name="常规 8 3 2 2" xfId="1414"/>
    <cellStyle name="常规 8 3 2 2 2" xfId="1415"/>
    <cellStyle name="常规 8 3 2 3" xfId="1416"/>
    <cellStyle name="常规 8 3 3" xfId="1417"/>
    <cellStyle name="常规 8 3 3 2" xfId="1418"/>
    <cellStyle name="常规 8 3 3 2 2" xfId="1419"/>
    <cellStyle name="常规 8 3 3 3" xfId="1420"/>
    <cellStyle name="常规 8 3 4" xfId="1421"/>
    <cellStyle name="常规 8 3 4 2" xfId="1422"/>
    <cellStyle name="常规 8 3 5" xfId="1423"/>
    <cellStyle name="常规 8 4" xfId="1424"/>
    <cellStyle name="常规 8 4 2" xfId="1425"/>
    <cellStyle name="常规 8 4 2 2" xfId="1426"/>
    <cellStyle name="常规 8 4 3" xfId="1427"/>
    <cellStyle name="常规 8 5" xfId="1428"/>
    <cellStyle name="常规 8 5 2" xfId="1429"/>
    <cellStyle name="常规 8 6" xfId="1430"/>
    <cellStyle name="常规 8 6 2" xfId="1431"/>
    <cellStyle name="常规 9" xfId="14"/>
    <cellStyle name="常规 9 2" xfId="1432"/>
    <cellStyle name="常规 9 2 2" xfId="1433"/>
    <cellStyle name="常规 9 2 2 2" xfId="1434"/>
    <cellStyle name="常规 9 2 2 2 2" xfId="1435"/>
    <cellStyle name="常规 9 2 2 2 2 2" xfId="1436"/>
    <cellStyle name="常规 9 2 2 2 3" xfId="1437"/>
    <cellStyle name="常规 9 2 2 3" xfId="1438"/>
    <cellStyle name="常规 9 2 2 3 2" xfId="1439"/>
    <cellStyle name="常规 9 2 2 3 2 2" xfId="1440"/>
    <cellStyle name="常规 9 2 2 3 3" xfId="1441"/>
    <cellStyle name="常规 9 2 2 4" xfId="1442"/>
    <cellStyle name="常规 9 2 2 4 2" xfId="1443"/>
    <cellStyle name="常规 9 2 2 5" xfId="1444"/>
    <cellStyle name="常规 9 2 3" xfId="1445"/>
    <cellStyle name="常规 9 2 3 2" xfId="1446"/>
    <cellStyle name="常规 9 2 3 2 2" xfId="1447"/>
    <cellStyle name="常规 9 2 3 3" xfId="1448"/>
    <cellStyle name="常规 9 2 4" xfId="1449"/>
    <cellStyle name="常规 9 2 4 2" xfId="1450"/>
    <cellStyle name="常规 9 2 4 2 2" xfId="1451"/>
    <cellStyle name="常规 9 2 4 3" xfId="1452"/>
    <cellStyle name="常规 9 2 5" xfId="1453"/>
    <cellStyle name="常规 9 2 5 2" xfId="1454"/>
    <cellStyle name="常规 9 2 6" xfId="1455"/>
    <cellStyle name="常规 9 3" xfId="1456"/>
    <cellStyle name="常规 9 3 2" xfId="1457"/>
    <cellStyle name="常规 9 3 2 2" xfId="1458"/>
    <cellStyle name="常规 9 3 2 2 2" xfId="1459"/>
    <cellStyle name="常规 9 3 2 3" xfId="1460"/>
    <cellStyle name="常规 9 3 3" xfId="1461"/>
    <cellStyle name="常规 9 3 3 2" xfId="1462"/>
    <cellStyle name="常规 9 3 3 2 2" xfId="1463"/>
    <cellStyle name="常规 9 3 3 3" xfId="1464"/>
    <cellStyle name="常规 9 3 4" xfId="1465"/>
    <cellStyle name="常规 9 3 4 2" xfId="1466"/>
    <cellStyle name="常规 9 3 5" xfId="1467"/>
    <cellStyle name="常规 9 4" xfId="1468"/>
    <cellStyle name="常规 9 4 2" xfId="1469"/>
    <cellStyle name="常规 9 4 2 2" xfId="1470"/>
    <cellStyle name="常规 9 4 2 2 2" xfId="1471"/>
    <cellStyle name="常规 9 4 2 3" xfId="1472"/>
    <cellStyle name="常规 9 4 3" xfId="1473"/>
    <cellStyle name="常规 9 4 3 2" xfId="1474"/>
    <cellStyle name="常规 9 4 3 2 2" xfId="1475"/>
    <cellStyle name="常规 9 4 3 3" xfId="1476"/>
    <cellStyle name="常规 9 4 4" xfId="1477"/>
    <cellStyle name="常规 9 4 4 2" xfId="1478"/>
    <cellStyle name="常规 9 4 5" xfId="1479"/>
    <cellStyle name="常规 9 5" xfId="1480"/>
    <cellStyle name="常规 9 5 2" xfId="1481"/>
    <cellStyle name="常规 9 5 2 2" xfId="1482"/>
    <cellStyle name="常规 9 5 3" xfId="1483"/>
    <cellStyle name="常规 9 6" xfId="1484"/>
    <cellStyle name="常规 9 6 2" xfId="1485"/>
    <cellStyle name="常规 9 6 2 2" xfId="1486"/>
    <cellStyle name="常规 9 6 3" xfId="1487"/>
    <cellStyle name="常规 9 7" xfId="1488"/>
    <cellStyle name="常规 9 7 2" xfId="1489"/>
    <cellStyle name="常规 9 8" xfId="1490"/>
    <cellStyle name="千位分隔 10" xfId="1491"/>
    <cellStyle name="千位分隔 10 2" xfId="1492"/>
    <cellStyle name="千位分隔 11" xfId="1493"/>
    <cellStyle name="千位分隔 2" xfId="1494"/>
    <cellStyle name="千位分隔 2 10" xfId="1495"/>
    <cellStyle name="千位分隔 2 11" xfId="1496"/>
    <cellStyle name="千位分隔 2 12" xfId="1497"/>
    <cellStyle name="千位分隔 2 13" xfId="1498"/>
    <cellStyle name="千位分隔 2 14" xfId="1499"/>
    <cellStyle name="千位分隔 2 15" xfId="1500"/>
    <cellStyle name="千位分隔 2 16" xfId="1501"/>
    <cellStyle name="千位分隔 2 17" xfId="1502"/>
    <cellStyle name="千位分隔 2 18" xfId="1503"/>
    <cellStyle name="千位分隔 2 19" xfId="1504"/>
    <cellStyle name="千位分隔 2 2" xfId="1505"/>
    <cellStyle name="千位分隔 2 2 10" xfId="1506"/>
    <cellStyle name="千位分隔 2 2 11" xfId="1507"/>
    <cellStyle name="千位分隔 2 2 12" xfId="1508"/>
    <cellStyle name="千位分隔 2 2 13" xfId="1509"/>
    <cellStyle name="千位分隔 2 2 14" xfId="1510"/>
    <cellStyle name="千位分隔 2 2 15" xfId="1511"/>
    <cellStyle name="千位分隔 2 2 16" xfId="1512"/>
    <cellStyle name="千位分隔 2 2 17" xfId="1513"/>
    <cellStyle name="千位分隔 2 2 18" xfId="1514"/>
    <cellStyle name="千位分隔 2 2 19" xfId="1515"/>
    <cellStyle name="千位分隔 2 2 2" xfId="1516"/>
    <cellStyle name="千位分隔 2 2 2 2" xfId="1517"/>
    <cellStyle name="千位分隔 2 2 2 2 2" xfId="1518"/>
    <cellStyle name="千位分隔 2 2 2 2 2 2" xfId="1519"/>
    <cellStyle name="千位分隔 2 2 2 2 2 2 2" xfId="1520"/>
    <cellStyle name="千位分隔 2 2 2 2 2 3" xfId="1521"/>
    <cellStyle name="千位分隔 2 2 2 2 3" xfId="1522"/>
    <cellStyle name="千位分隔 2 2 2 2 3 2" xfId="1523"/>
    <cellStyle name="千位分隔 2 2 2 2 3 2 2" xfId="1524"/>
    <cellStyle name="千位分隔 2 2 2 2 3 3" xfId="1525"/>
    <cellStyle name="千位分隔 2 2 2 2 4" xfId="1526"/>
    <cellStyle name="千位分隔 2 2 2 2 4 2" xfId="1527"/>
    <cellStyle name="千位分隔 2 2 2 2 5" xfId="1528"/>
    <cellStyle name="千位分隔 2 2 2 3" xfId="1529"/>
    <cellStyle name="千位分隔 2 2 2 3 2" xfId="1530"/>
    <cellStyle name="千位分隔 2 2 2 3 2 2" xfId="1531"/>
    <cellStyle name="千位分隔 2 2 2 3 3" xfId="1532"/>
    <cellStyle name="千位分隔 2 2 2 4" xfId="1533"/>
    <cellStyle name="千位分隔 2 2 2 4 2" xfId="1534"/>
    <cellStyle name="千位分隔 2 2 2 4 2 2" xfId="1535"/>
    <cellStyle name="千位分隔 2 2 2 4 3" xfId="1536"/>
    <cellStyle name="千位分隔 2 2 2 5" xfId="1537"/>
    <cellStyle name="千位分隔 2 2 2 5 2" xfId="1538"/>
    <cellStyle name="千位分隔 2 2 2 6" xfId="1539"/>
    <cellStyle name="千位分隔 2 2 3" xfId="1540"/>
    <cellStyle name="千位分隔 2 2 3 2" xfId="1541"/>
    <cellStyle name="千位分隔 2 2 3 2 2" xfId="1542"/>
    <cellStyle name="千位分隔 2 2 3 2 2 2" xfId="1543"/>
    <cellStyle name="千位分隔 2 2 3 2 3" xfId="1544"/>
    <cellStyle name="千位分隔 2 2 3 3" xfId="1545"/>
    <cellStyle name="千位分隔 2 2 3 3 2" xfId="1546"/>
    <cellStyle name="千位分隔 2 2 3 3 2 2" xfId="1547"/>
    <cellStyle name="千位分隔 2 2 3 3 3" xfId="1548"/>
    <cellStyle name="千位分隔 2 2 3 4" xfId="1549"/>
    <cellStyle name="千位分隔 2 2 3 4 2" xfId="1550"/>
    <cellStyle name="千位分隔 2 2 3 5" xfId="1551"/>
    <cellStyle name="千位分隔 2 2 4" xfId="1552"/>
    <cellStyle name="千位分隔 2 2 4 2" xfId="1553"/>
    <cellStyle name="千位分隔 2 2 4 2 2" xfId="1554"/>
    <cellStyle name="千位分隔 2 2 4 2 2 2" xfId="1555"/>
    <cellStyle name="千位分隔 2 2 4 2 3" xfId="1556"/>
    <cellStyle name="千位分隔 2 2 4 3" xfId="1557"/>
    <cellStyle name="千位分隔 2 2 4 3 2" xfId="1558"/>
    <cellStyle name="千位分隔 2 2 4 3 2 2" xfId="1559"/>
    <cellStyle name="千位分隔 2 2 4 3 3" xfId="1560"/>
    <cellStyle name="千位分隔 2 2 4 4" xfId="1561"/>
    <cellStyle name="千位分隔 2 2 4 4 2" xfId="1562"/>
    <cellStyle name="千位分隔 2 2 4 5" xfId="1563"/>
    <cellStyle name="千位分隔 2 2 5" xfId="1564"/>
    <cellStyle name="千位分隔 2 2 5 2" xfId="1565"/>
    <cellStyle name="千位分隔 2 2 5 2 2" xfId="1566"/>
    <cellStyle name="千位分隔 2 2 5 3" xfId="1567"/>
    <cellStyle name="千位分隔 2 2 6" xfId="1568"/>
    <cellStyle name="千位分隔 2 2 6 2" xfId="1569"/>
    <cellStyle name="千位分隔 2 2 6 2 2" xfId="1570"/>
    <cellStyle name="千位分隔 2 2 6 3" xfId="1571"/>
    <cellStyle name="千位分隔 2 2 7" xfId="1572"/>
    <cellStyle name="千位分隔 2 2 7 2" xfId="1573"/>
    <cellStyle name="千位分隔 2 2 8" xfId="1574"/>
    <cellStyle name="千位分隔 2 2 9" xfId="1575"/>
    <cellStyle name="千位分隔 2 20" xfId="1576"/>
    <cellStyle name="千位分隔 2 3" xfId="1577"/>
    <cellStyle name="千位分隔 2 3 2" xfId="1578"/>
    <cellStyle name="千位分隔 2 3 2 2" xfId="1579"/>
    <cellStyle name="千位分隔 2 3 2 2 2" xfId="1580"/>
    <cellStyle name="千位分隔 2 3 2 2 2 2" xfId="1581"/>
    <cellStyle name="千位分隔 2 3 2 2 3" xfId="1582"/>
    <cellStyle name="千位分隔 2 3 2 3" xfId="1583"/>
    <cellStyle name="千位分隔 2 3 2 3 2" xfId="1584"/>
    <cellStyle name="千位分隔 2 3 2 3 2 2" xfId="1585"/>
    <cellStyle name="千位分隔 2 3 2 3 3" xfId="1586"/>
    <cellStyle name="千位分隔 2 3 2 4" xfId="1587"/>
    <cellStyle name="千位分隔 2 3 2 4 2" xfId="1588"/>
    <cellStyle name="千位分隔 2 3 2 5" xfId="1589"/>
    <cellStyle name="千位分隔 2 3 3" xfId="1590"/>
    <cellStyle name="千位分隔 2 3 3 2" xfId="1591"/>
    <cellStyle name="千位分隔 2 3 3 2 2" xfId="1592"/>
    <cellStyle name="千位分隔 2 3 3 3" xfId="1593"/>
    <cellStyle name="千位分隔 2 3 4" xfId="1594"/>
    <cellStyle name="千位分隔 2 3 4 2" xfId="1595"/>
    <cellStyle name="千位分隔 2 3 4 2 2" xfId="1596"/>
    <cellStyle name="千位分隔 2 3 4 3" xfId="1597"/>
    <cellStyle name="千位分隔 2 3 5" xfId="1598"/>
    <cellStyle name="千位分隔 2 3 5 2" xfId="1599"/>
    <cellStyle name="千位分隔 2 3 6" xfId="1600"/>
    <cellStyle name="千位分隔 2 4" xfId="1601"/>
    <cellStyle name="千位分隔 2 4 2" xfId="1602"/>
    <cellStyle name="千位分隔 2 4 2 2" xfId="1603"/>
    <cellStyle name="千位分隔 2 4 2 2 2" xfId="1604"/>
    <cellStyle name="千位分隔 2 4 2 3" xfId="1605"/>
    <cellStyle name="千位分隔 2 4 3" xfId="1606"/>
    <cellStyle name="千位分隔 2 4 3 2" xfId="1607"/>
    <cellStyle name="千位分隔 2 4 3 2 2" xfId="1608"/>
    <cellStyle name="千位分隔 2 4 3 3" xfId="1609"/>
    <cellStyle name="千位分隔 2 4 4" xfId="1610"/>
    <cellStyle name="千位分隔 2 4 4 2" xfId="1611"/>
    <cellStyle name="千位分隔 2 4 5" xfId="1612"/>
    <cellStyle name="千位分隔 2 5" xfId="1613"/>
    <cellStyle name="千位分隔 2 5 2" xfId="1614"/>
    <cellStyle name="千位分隔 2 5 2 2" xfId="1615"/>
    <cellStyle name="千位分隔 2 5 2 2 2" xfId="1616"/>
    <cellStyle name="千位分隔 2 5 2 3" xfId="1617"/>
    <cellStyle name="千位分隔 2 5 3" xfId="1618"/>
    <cellStyle name="千位分隔 2 5 3 2" xfId="1619"/>
    <cellStyle name="千位分隔 2 5 3 2 2" xfId="1620"/>
    <cellStyle name="千位分隔 2 5 3 3" xfId="1621"/>
    <cellStyle name="千位分隔 2 5 4" xfId="1622"/>
    <cellStyle name="千位分隔 2 5 4 2" xfId="1623"/>
    <cellStyle name="千位分隔 2 5 5" xfId="1624"/>
    <cellStyle name="千位分隔 2 6" xfId="1625"/>
    <cellStyle name="千位分隔 2 6 2" xfId="1626"/>
    <cellStyle name="千位分隔 2 6 2 2" xfId="1627"/>
    <cellStyle name="千位分隔 2 6 3" xfId="1628"/>
    <cellStyle name="千位分隔 2 7" xfId="1629"/>
    <cellStyle name="千位分隔 2 7 2" xfId="1630"/>
    <cellStyle name="千位分隔 2 7 2 2" xfId="1631"/>
    <cellStyle name="千位分隔 2 7 3" xfId="1632"/>
    <cellStyle name="千位分隔 2 8" xfId="1633"/>
    <cellStyle name="千位分隔 2 8 2" xfId="1634"/>
    <cellStyle name="千位分隔 2 9" xfId="1635"/>
    <cellStyle name="千位分隔 3" xfId="1636"/>
    <cellStyle name="千位分隔 3 2" xfId="1637"/>
    <cellStyle name="千位分隔 3 2 2" xfId="1638"/>
    <cellStyle name="千位分隔 3 2 2 2" xfId="1639"/>
    <cellStyle name="千位分隔 3 2 2 2 2" xfId="1640"/>
    <cellStyle name="千位分隔 3 2 2 2 2 2" xfId="1641"/>
    <cellStyle name="千位分隔 3 2 2 2 2 2 2" xfId="1642"/>
    <cellStyle name="千位分隔 3 2 2 2 2 3" xfId="1643"/>
    <cellStyle name="千位分隔 3 2 2 2 3" xfId="1644"/>
    <cellStyle name="千位分隔 3 2 2 2 3 2" xfId="1645"/>
    <cellStyle name="千位分隔 3 2 2 2 3 2 2" xfId="1646"/>
    <cellStyle name="千位分隔 3 2 2 2 3 3" xfId="1647"/>
    <cellStyle name="千位分隔 3 2 2 2 4" xfId="1648"/>
    <cellStyle name="千位分隔 3 2 2 2 4 2" xfId="1649"/>
    <cellStyle name="千位分隔 3 2 2 2 5" xfId="1650"/>
    <cellStyle name="千位分隔 3 2 2 3" xfId="1651"/>
    <cellStyle name="千位分隔 3 2 2 3 2" xfId="1652"/>
    <cellStyle name="千位分隔 3 2 2 3 2 2" xfId="1653"/>
    <cellStyle name="千位分隔 3 2 2 3 3" xfId="1654"/>
    <cellStyle name="千位分隔 3 2 2 4" xfId="1655"/>
    <cellStyle name="千位分隔 3 2 2 4 2" xfId="1656"/>
    <cellStyle name="千位分隔 3 2 2 4 2 2" xfId="1657"/>
    <cellStyle name="千位分隔 3 2 2 4 3" xfId="1658"/>
    <cellStyle name="千位分隔 3 2 2 5" xfId="1659"/>
    <cellStyle name="千位分隔 3 2 2 5 2" xfId="1660"/>
    <cellStyle name="千位分隔 3 2 2 6" xfId="1661"/>
    <cellStyle name="千位分隔 3 2 3" xfId="1662"/>
    <cellStyle name="千位分隔 3 2 3 2" xfId="1663"/>
    <cellStyle name="千位分隔 3 2 3 2 2" xfId="1664"/>
    <cellStyle name="千位分隔 3 2 3 2 2 2" xfId="1665"/>
    <cellStyle name="千位分隔 3 2 3 2 3" xfId="1666"/>
    <cellStyle name="千位分隔 3 2 3 3" xfId="1667"/>
    <cellStyle name="千位分隔 3 2 3 3 2" xfId="1668"/>
    <cellStyle name="千位分隔 3 2 3 3 2 2" xfId="1669"/>
    <cellStyle name="千位分隔 3 2 3 3 3" xfId="1670"/>
    <cellStyle name="千位分隔 3 2 3 4" xfId="1671"/>
    <cellStyle name="千位分隔 3 2 3 4 2" xfId="1672"/>
    <cellStyle name="千位分隔 3 2 3 5" xfId="1673"/>
    <cellStyle name="千位分隔 3 2 4" xfId="1674"/>
    <cellStyle name="千位分隔 3 2 4 2" xfId="1675"/>
    <cellStyle name="千位分隔 3 2 4 2 2" xfId="1676"/>
    <cellStyle name="千位分隔 3 2 4 2 2 2" xfId="1677"/>
    <cellStyle name="千位分隔 3 2 4 2 3" xfId="1678"/>
    <cellStyle name="千位分隔 3 2 4 3" xfId="1679"/>
    <cellStyle name="千位分隔 3 2 4 3 2" xfId="1680"/>
    <cellStyle name="千位分隔 3 2 4 3 2 2" xfId="1681"/>
    <cellStyle name="千位分隔 3 2 4 3 3" xfId="1682"/>
    <cellStyle name="千位分隔 3 2 4 4" xfId="1683"/>
    <cellStyle name="千位分隔 3 2 4 4 2" xfId="1684"/>
    <cellStyle name="千位分隔 3 2 4 5" xfId="1685"/>
    <cellStyle name="千位分隔 3 2 5" xfId="1686"/>
    <cellStyle name="千位分隔 3 2 5 2" xfId="1687"/>
    <cellStyle name="千位分隔 3 2 5 2 2" xfId="1688"/>
    <cellStyle name="千位分隔 3 2 5 3" xfId="1689"/>
    <cellStyle name="千位分隔 3 2 6" xfId="1690"/>
    <cellStyle name="千位分隔 3 2 6 2" xfId="1691"/>
    <cellStyle name="千位分隔 3 2 6 2 2" xfId="1692"/>
    <cellStyle name="千位分隔 3 2 6 3" xfId="1693"/>
    <cellStyle name="千位分隔 3 2 7" xfId="1694"/>
    <cellStyle name="千位分隔 3 2 7 2" xfId="1695"/>
    <cellStyle name="千位分隔 3 2 8" xfId="1696"/>
    <cellStyle name="千位分隔 3 3" xfId="1697"/>
    <cellStyle name="千位分隔 3 3 2" xfId="1698"/>
    <cellStyle name="千位分隔 3 3 2 2" xfId="1699"/>
    <cellStyle name="千位分隔 3 3 2 2 2" xfId="1700"/>
    <cellStyle name="千位分隔 3 3 2 2 2 2" xfId="1701"/>
    <cellStyle name="千位分隔 3 3 2 2 3" xfId="1702"/>
    <cellStyle name="千位分隔 3 3 2 3" xfId="1703"/>
    <cellStyle name="千位分隔 3 3 2 3 2" xfId="1704"/>
    <cellStyle name="千位分隔 3 3 2 3 2 2" xfId="1705"/>
    <cellStyle name="千位分隔 3 3 2 3 3" xfId="1706"/>
    <cellStyle name="千位分隔 3 3 2 4" xfId="1707"/>
    <cellStyle name="千位分隔 3 3 2 4 2" xfId="1708"/>
    <cellStyle name="千位分隔 3 3 2 5" xfId="1709"/>
    <cellStyle name="千位分隔 3 3 3" xfId="1710"/>
    <cellStyle name="千位分隔 3 3 3 2" xfId="1711"/>
    <cellStyle name="千位分隔 3 3 3 2 2" xfId="1712"/>
    <cellStyle name="千位分隔 3 3 3 3" xfId="1713"/>
    <cellStyle name="千位分隔 3 3 4" xfId="1714"/>
    <cellStyle name="千位分隔 3 3 4 2" xfId="1715"/>
    <cellStyle name="千位分隔 3 3 4 2 2" xfId="1716"/>
    <cellStyle name="千位分隔 3 3 4 3" xfId="1717"/>
    <cellStyle name="千位分隔 3 3 5" xfId="1718"/>
    <cellStyle name="千位分隔 3 3 5 2" xfId="1719"/>
    <cellStyle name="千位分隔 3 3 6" xfId="1720"/>
    <cellStyle name="千位分隔 3 4" xfId="1721"/>
    <cellStyle name="千位分隔 3 4 2" xfId="1722"/>
    <cellStyle name="千位分隔 3 4 2 2" xfId="1723"/>
    <cellStyle name="千位分隔 3 4 2 2 2" xfId="1724"/>
    <cellStyle name="千位分隔 3 4 2 3" xfId="1725"/>
    <cellStyle name="千位分隔 3 4 3" xfId="1726"/>
    <cellStyle name="千位分隔 3 4 3 2" xfId="1727"/>
    <cellStyle name="千位分隔 3 4 3 2 2" xfId="1728"/>
    <cellStyle name="千位分隔 3 4 3 3" xfId="1729"/>
    <cellStyle name="千位分隔 3 4 4" xfId="1730"/>
    <cellStyle name="千位分隔 3 4 4 2" xfId="1731"/>
    <cellStyle name="千位分隔 3 4 5" xfId="1732"/>
    <cellStyle name="千位分隔 3 5" xfId="1733"/>
    <cellStyle name="千位分隔 3 5 2" xfId="1734"/>
    <cellStyle name="千位分隔 3 5 2 2" xfId="1735"/>
    <cellStyle name="千位分隔 3 5 2 2 2" xfId="1736"/>
    <cellStyle name="千位分隔 3 5 2 3" xfId="1737"/>
    <cellStyle name="千位分隔 3 5 3" xfId="1738"/>
    <cellStyle name="千位分隔 3 5 3 2" xfId="1739"/>
    <cellStyle name="千位分隔 3 5 3 2 2" xfId="1740"/>
    <cellStyle name="千位分隔 3 5 3 3" xfId="1741"/>
    <cellStyle name="千位分隔 3 5 4" xfId="1742"/>
    <cellStyle name="千位分隔 3 5 4 2" xfId="1743"/>
    <cellStyle name="千位分隔 3 5 5" xfId="1744"/>
    <cellStyle name="千位分隔 3 6" xfId="1745"/>
    <cellStyle name="千位分隔 3 6 2" xfId="1746"/>
    <cellStyle name="千位分隔 3 6 2 2" xfId="1747"/>
    <cellStyle name="千位分隔 3 6 3" xfId="1748"/>
    <cellStyle name="千位分隔 3 7" xfId="1749"/>
    <cellStyle name="千位分隔 3 7 2" xfId="1750"/>
    <cellStyle name="千位分隔 3 7 2 2" xfId="1751"/>
    <cellStyle name="千位分隔 3 7 3" xfId="1752"/>
    <cellStyle name="千位分隔 3 8" xfId="1753"/>
    <cellStyle name="千位分隔 3 8 2" xfId="1754"/>
    <cellStyle name="千位分隔 3 9" xfId="1755"/>
    <cellStyle name="千位分隔 4" xfId="1756"/>
    <cellStyle name="千位分隔 4 2" xfId="1757"/>
    <cellStyle name="千位分隔 4 2 2" xfId="1758"/>
    <cellStyle name="千位分隔 4 2 2 2" xfId="1759"/>
    <cellStyle name="千位分隔 4 2 2 2 2" xfId="1760"/>
    <cellStyle name="千位分隔 4 2 2 2 2 2" xfId="1761"/>
    <cellStyle name="千位分隔 4 2 2 2 2 2 2" xfId="1762"/>
    <cellStyle name="千位分隔 4 2 2 2 2 3" xfId="1763"/>
    <cellStyle name="千位分隔 4 2 2 2 3" xfId="1764"/>
    <cellStyle name="千位分隔 4 2 2 2 3 2" xfId="1765"/>
    <cellStyle name="千位分隔 4 2 2 2 3 2 2" xfId="1766"/>
    <cellStyle name="千位分隔 4 2 2 2 3 3" xfId="1767"/>
    <cellStyle name="千位分隔 4 2 2 2 4" xfId="1768"/>
    <cellStyle name="千位分隔 4 2 2 2 4 2" xfId="1769"/>
    <cellStyle name="千位分隔 4 2 2 2 5" xfId="1770"/>
    <cellStyle name="千位分隔 4 2 2 3" xfId="1771"/>
    <cellStyle name="千位分隔 4 2 2 3 2" xfId="1772"/>
    <cellStyle name="千位分隔 4 2 2 3 2 2" xfId="1773"/>
    <cellStyle name="千位分隔 4 2 2 3 3" xfId="1774"/>
    <cellStyle name="千位分隔 4 2 2 4" xfId="1775"/>
    <cellStyle name="千位分隔 4 2 2 4 2" xfId="1776"/>
    <cellStyle name="千位分隔 4 2 2 4 2 2" xfId="1777"/>
    <cellStyle name="千位分隔 4 2 2 4 3" xfId="1778"/>
    <cellStyle name="千位分隔 4 2 2 5" xfId="1779"/>
    <cellStyle name="千位分隔 4 2 2 5 2" xfId="1780"/>
    <cellStyle name="千位分隔 4 2 2 6" xfId="1781"/>
    <cellStyle name="千位分隔 4 2 3" xfId="1782"/>
    <cellStyle name="千位分隔 4 2 3 2" xfId="1783"/>
    <cellStyle name="千位分隔 4 2 3 2 2" xfId="1784"/>
    <cellStyle name="千位分隔 4 2 3 2 2 2" xfId="1785"/>
    <cellStyle name="千位分隔 4 2 3 2 3" xfId="1786"/>
    <cellStyle name="千位分隔 4 2 3 3" xfId="1787"/>
    <cellStyle name="千位分隔 4 2 3 3 2" xfId="1788"/>
    <cellStyle name="千位分隔 4 2 3 3 2 2" xfId="1789"/>
    <cellStyle name="千位分隔 4 2 3 3 3" xfId="1790"/>
    <cellStyle name="千位分隔 4 2 3 4" xfId="1791"/>
    <cellStyle name="千位分隔 4 2 3 4 2" xfId="1792"/>
    <cellStyle name="千位分隔 4 2 3 5" xfId="1793"/>
    <cellStyle name="千位分隔 4 2 4" xfId="1794"/>
    <cellStyle name="千位分隔 4 2 4 2" xfId="1795"/>
    <cellStyle name="千位分隔 4 2 4 2 2" xfId="1796"/>
    <cellStyle name="千位分隔 4 2 4 2 2 2" xfId="1797"/>
    <cellStyle name="千位分隔 4 2 4 2 3" xfId="1798"/>
    <cellStyle name="千位分隔 4 2 4 3" xfId="1799"/>
    <cellStyle name="千位分隔 4 2 4 3 2" xfId="1800"/>
    <cellStyle name="千位分隔 4 2 4 3 2 2" xfId="1801"/>
    <cellStyle name="千位分隔 4 2 4 3 3" xfId="1802"/>
    <cellStyle name="千位分隔 4 2 4 4" xfId="1803"/>
    <cellStyle name="千位分隔 4 2 4 4 2" xfId="1804"/>
    <cellStyle name="千位分隔 4 2 4 5" xfId="1805"/>
    <cellStyle name="千位分隔 4 2 5" xfId="1806"/>
    <cellStyle name="千位分隔 4 2 5 2" xfId="1807"/>
    <cellStyle name="千位分隔 4 2 5 2 2" xfId="1808"/>
    <cellStyle name="千位分隔 4 2 5 3" xfId="1809"/>
    <cellStyle name="千位分隔 4 2 6" xfId="1810"/>
    <cellStyle name="千位分隔 4 2 6 2" xfId="1811"/>
    <cellStyle name="千位分隔 4 2 6 2 2" xfId="1812"/>
    <cellStyle name="千位分隔 4 2 6 3" xfId="1813"/>
    <cellStyle name="千位分隔 4 2 7" xfId="1814"/>
    <cellStyle name="千位分隔 4 2 7 2" xfId="1815"/>
    <cellStyle name="千位分隔 4 2 8" xfId="1816"/>
    <cellStyle name="千位分隔 4 3" xfId="1817"/>
    <cellStyle name="千位分隔 4 3 2" xfId="1818"/>
    <cellStyle name="千位分隔 4 3 2 2" xfId="1819"/>
    <cellStyle name="千位分隔 4 3 2 2 2" xfId="1820"/>
    <cellStyle name="千位分隔 4 3 2 2 2 2" xfId="1821"/>
    <cellStyle name="千位分隔 4 3 2 2 3" xfId="1822"/>
    <cellStyle name="千位分隔 4 3 2 3" xfId="1823"/>
    <cellStyle name="千位分隔 4 3 2 3 2" xfId="1824"/>
    <cellStyle name="千位分隔 4 3 2 3 2 2" xfId="1825"/>
    <cellStyle name="千位分隔 4 3 2 3 3" xfId="1826"/>
    <cellStyle name="千位分隔 4 3 2 4" xfId="1827"/>
    <cellStyle name="千位分隔 4 3 2 4 2" xfId="1828"/>
    <cellStyle name="千位分隔 4 3 2 5" xfId="1829"/>
    <cellStyle name="千位分隔 4 3 3" xfId="1830"/>
    <cellStyle name="千位分隔 4 3 3 2" xfId="1831"/>
    <cellStyle name="千位分隔 4 3 3 2 2" xfId="1832"/>
    <cellStyle name="千位分隔 4 3 3 3" xfId="1833"/>
    <cellStyle name="千位分隔 4 3 4" xfId="1834"/>
    <cellStyle name="千位分隔 4 3 4 2" xfId="1835"/>
    <cellStyle name="千位分隔 4 3 4 2 2" xfId="1836"/>
    <cellStyle name="千位分隔 4 3 4 3" xfId="1837"/>
    <cellStyle name="千位分隔 4 3 5" xfId="1838"/>
    <cellStyle name="千位分隔 4 3 5 2" xfId="1839"/>
    <cellStyle name="千位分隔 4 3 6" xfId="1840"/>
    <cellStyle name="千位分隔 4 4" xfId="1841"/>
    <cellStyle name="千位分隔 4 4 2" xfId="1842"/>
    <cellStyle name="千位分隔 4 4 2 2" xfId="1843"/>
    <cellStyle name="千位分隔 4 4 2 2 2" xfId="1844"/>
    <cellStyle name="千位分隔 4 4 2 3" xfId="1845"/>
    <cellStyle name="千位分隔 4 4 3" xfId="1846"/>
    <cellStyle name="千位分隔 4 4 3 2" xfId="1847"/>
    <cellStyle name="千位分隔 4 4 3 2 2" xfId="1848"/>
    <cellStyle name="千位分隔 4 4 3 3" xfId="1849"/>
    <cellStyle name="千位分隔 4 4 4" xfId="1850"/>
    <cellStyle name="千位分隔 4 4 4 2" xfId="1851"/>
    <cellStyle name="千位分隔 4 4 5" xfId="1852"/>
    <cellStyle name="千位分隔 4 5" xfId="1853"/>
    <cellStyle name="千位分隔 4 5 2" xfId="1854"/>
    <cellStyle name="千位分隔 4 5 2 2" xfId="1855"/>
    <cellStyle name="千位分隔 4 5 2 2 2" xfId="1856"/>
    <cellStyle name="千位分隔 4 5 2 3" xfId="1857"/>
    <cellStyle name="千位分隔 4 5 3" xfId="1858"/>
    <cellStyle name="千位分隔 4 5 3 2" xfId="1859"/>
    <cellStyle name="千位分隔 4 5 3 2 2" xfId="1860"/>
    <cellStyle name="千位分隔 4 5 3 3" xfId="1861"/>
    <cellStyle name="千位分隔 4 5 4" xfId="1862"/>
    <cellStyle name="千位分隔 4 5 4 2" xfId="1863"/>
    <cellStyle name="千位分隔 4 5 5" xfId="1864"/>
    <cellStyle name="千位分隔 4 6" xfId="1865"/>
    <cellStyle name="千位分隔 4 6 2" xfId="1866"/>
    <cellStyle name="千位分隔 4 6 2 2" xfId="1867"/>
    <cellStyle name="千位分隔 4 6 3" xfId="1868"/>
    <cellStyle name="千位分隔 4 7" xfId="1869"/>
    <cellStyle name="千位分隔 4 7 2" xfId="1870"/>
    <cellStyle name="千位分隔 4 7 2 2" xfId="1871"/>
    <cellStyle name="千位分隔 4 7 3" xfId="1872"/>
    <cellStyle name="千位分隔 4 8" xfId="1873"/>
    <cellStyle name="千位分隔 4 8 2" xfId="1874"/>
    <cellStyle name="千位分隔 4 9" xfId="1875"/>
    <cellStyle name="千位分隔 5" xfId="1876"/>
    <cellStyle name="千位分隔 6" xfId="1877"/>
    <cellStyle name="千位分隔 6 2" xfId="1878"/>
    <cellStyle name="千位分隔 6 2 2" xfId="1879"/>
    <cellStyle name="千位分隔 6 2 2 2" xfId="1880"/>
    <cellStyle name="千位分隔 6 2 2 2 2" xfId="1881"/>
    <cellStyle name="千位分隔 6 2 2 2 2 2" xfId="1882"/>
    <cellStyle name="千位分隔 6 2 2 2 3" xfId="1883"/>
    <cellStyle name="千位分隔 6 2 2 3" xfId="1884"/>
    <cellStyle name="千位分隔 6 2 2 3 2" xfId="1885"/>
    <cellStyle name="千位分隔 6 2 2 3 2 2" xfId="1886"/>
    <cellStyle name="千位分隔 6 2 2 3 3" xfId="1887"/>
    <cellStyle name="千位分隔 6 2 2 4" xfId="1888"/>
    <cellStyle name="千位分隔 6 2 2 4 2" xfId="1889"/>
    <cellStyle name="千位分隔 6 2 2 5" xfId="1890"/>
    <cellStyle name="千位分隔 6 2 3" xfId="1891"/>
    <cellStyle name="千位分隔 6 2 3 2" xfId="1892"/>
    <cellStyle name="千位分隔 6 2 3 2 2" xfId="1893"/>
    <cellStyle name="千位分隔 6 2 3 3" xfId="1894"/>
    <cellStyle name="千位分隔 6 2 4" xfId="1895"/>
    <cellStyle name="千位分隔 6 2 4 2" xfId="1896"/>
    <cellStyle name="千位分隔 6 2 4 2 2" xfId="1897"/>
    <cellStyle name="千位分隔 6 2 4 3" xfId="1898"/>
    <cellStyle name="千位分隔 6 2 5" xfId="1899"/>
    <cellStyle name="千位分隔 6 2 5 2" xfId="1900"/>
    <cellStyle name="千位分隔 6 2 6" xfId="1901"/>
    <cellStyle name="千位分隔 6 3" xfId="1902"/>
    <cellStyle name="千位分隔 6 3 2" xfId="1903"/>
    <cellStyle name="千位分隔 6 3 2 2" xfId="1904"/>
    <cellStyle name="千位分隔 6 3 2 2 2" xfId="1905"/>
    <cellStyle name="千位分隔 6 3 2 3" xfId="1906"/>
    <cellStyle name="千位分隔 6 3 3" xfId="1907"/>
    <cellStyle name="千位分隔 6 3 3 2" xfId="1908"/>
    <cellStyle name="千位分隔 6 3 3 2 2" xfId="1909"/>
    <cellStyle name="千位分隔 6 3 3 3" xfId="1910"/>
    <cellStyle name="千位分隔 6 3 4" xfId="1911"/>
    <cellStyle name="千位分隔 6 3 4 2" xfId="1912"/>
    <cellStyle name="千位分隔 6 3 5" xfId="1913"/>
    <cellStyle name="千位分隔 6 4" xfId="1914"/>
    <cellStyle name="千位分隔 6 4 2" xfId="1915"/>
    <cellStyle name="千位分隔 6 4 2 2" xfId="1916"/>
    <cellStyle name="千位分隔 6 4 2 2 2" xfId="1917"/>
    <cellStyle name="千位分隔 6 4 2 3" xfId="1918"/>
    <cellStyle name="千位分隔 6 4 3" xfId="1919"/>
    <cellStyle name="千位分隔 6 4 3 2" xfId="1920"/>
    <cellStyle name="千位分隔 6 4 3 2 2" xfId="1921"/>
    <cellStyle name="千位分隔 6 4 3 3" xfId="1922"/>
    <cellStyle name="千位分隔 6 4 4" xfId="1923"/>
    <cellStyle name="千位分隔 6 4 4 2" xfId="1924"/>
    <cellStyle name="千位分隔 6 4 5" xfId="1925"/>
    <cellStyle name="千位分隔 6 5" xfId="1926"/>
    <cellStyle name="千位分隔 6 5 2" xfId="1927"/>
    <cellStyle name="千位分隔 6 5 2 2" xfId="1928"/>
    <cellStyle name="千位分隔 6 5 3" xfId="1929"/>
    <cellStyle name="千位分隔 6 6" xfId="1930"/>
    <cellStyle name="千位分隔 6 6 2" xfId="1931"/>
    <cellStyle name="千位分隔 6 6 2 2" xfId="1932"/>
    <cellStyle name="千位分隔 6 6 3" xfId="1933"/>
    <cellStyle name="千位分隔 6 7" xfId="1934"/>
    <cellStyle name="千位分隔 6 7 2" xfId="1935"/>
    <cellStyle name="千位分隔 6 8" xfId="1936"/>
    <cellStyle name="千位分隔 7" xfId="1937"/>
    <cellStyle name="千位分隔 7 2" xfId="1938"/>
    <cellStyle name="千位分隔 7 2 2" xfId="1939"/>
    <cellStyle name="千位分隔 7 2 2 2" xfId="1940"/>
    <cellStyle name="千位分隔 7 2 2 2 2" xfId="1941"/>
    <cellStyle name="千位分隔 7 2 2 2 2 2" xfId="1942"/>
    <cellStyle name="千位分隔 7 2 2 2 3" xfId="1943"/>
    <cellStyle name="千位分隔 7 2 2 3" xfId="1944"/>
    <cellStyle name="千位分隔 7 2 2 3 2" xfId="1945"/>
    <cellStyle name="千位分隔 7 2 2 3 2 2" xfId="1946"/>
    <cellStyle name="千位分隔 7 2 2 3 3" xfId="1947"/>
    <cellStyle name="千位分隔 7 2 2 4" xfId="1948"/>
    <cellStyle name="千位分隔 7 2 2 4 2" xfId="1949"/>
    <cellStyle name="千位分隔 7 2 2 5" xfId="1950"/>
    <cellStyle name="千位分隔 7 2 3" xfId="1951"/>
    <cellStyle name="千位分隔 7 2 3 2" xfId="1952"/>
    <cellStyle name="千位分隔 7 2 3 2 2" xfId="1953"/>
    <cellStyle name="千位分隔 7 2 3 3" xfId="1954"/>
    <cellStyle name="千位分隔 7 2 4" xfId="1955"/>
    <cellStyle name="千位分隔 7 2 4 2" xfId="1956"/>
    <cellStyle name="千位分隔 7 2 4 2 2" xfId="1957"/>
    <cellStyle name="千位分隔 7 2 4 3" xfId="1958"/>
    <cellStyle name="千位分隔 7 2 5" xfId="1959"/>
    <cellStyle name="千位分隔 7 2 5 2" xfId="1960"/>
    <cellStyle name="千位分隔 7 2 6" xfId="1961"/>
    <cellStyle name="千位分隔 7 3" xfId="1962"/>
    <cellStyle name="千位分隔 7 3 2" xfId="1963"/>
    <cellStyle name="千位分隔 7 3 2 2" xfId="1964"/>
    <cellStyle name="千位分隔 7 3 2 2 2" xfId="1965"/>
    <cellStyle name="千位分隔 7 3 2 3" xfId="1966"/>
    <cellStyle name="千位分隔 7 3 3" xfId="1967"/>
    <cellStyle name="千位分隔 7 3 3 2" xfId="1968"/>
    <cellStyle name="千位分隔 7 3 3 2 2" xfId="1969"/>
    <cellStyle name="千位分隔 7 3 3 3" xfId="1970"/>
    <cellStyle name="千位分隔 7 3 4" xfId="1971"/>
    <cellStyle name="千位分隔 7 3 4 2" xfId="1972"/>
    <cellStyle name="千位分隔 7 3 5" xfId="1973"/>
    <cellStyle name="千位分隔 7 4" xfId="1974"/>
    <cellStyle name="千位分隔 7 4 2" xfId="1975"/>
    <cellStyle name="千位分隔 7 4 2 2" xfId="1976"/>
    <cellStyle name="千位分隔 7 4 2 2 2" xfId="1977"/>
    <cellStyle name="千位分隔 7 4 2 3" xfId="1978"/>
    <cellStyle name="千位分隔 7 4 3" xfId="1979"/>
    <cellStyle name="千位分隔 7 4 3 2" xfId="1980"/>
    <cellStyle name="千位分隔 7 4 3 2 2" xfId="1981"/>
    <cellStyle name="千位分隔 7 4 3 3" xfId="1982"/>
    <cellStyle name="千位分隔 7 4 4" xfId="1983"/>
    <cellStyle name="千位分隔 7 4 4 2" xfId="1984"/>
    <cellStyle name="千位分隔 7 4 5" xfId="1985"/>
    <cellStyle name="千位分隔 7 5" xfId="1986"/>
    <cellStyle name="千位分隔 7 5 2" xfId="1987"/>
    <cellStyle name="千位分隔 7 5 2 2" xfId="1988"/>
    <cellStyle name="千位分隔 7 5 3" xfId="1989"/>
    <cellStyle name="千位分隔 7 6" xfId="1990"/>
    <cellStyle name="千位分隔 7 6 2" xfId="1991"/>
    <cellStyle name="千位分隔 7 6 2 2" xfId="1992"/>
    <cellStyle name="千位分隔 7 6 3" xfId="1993"/>
    <cellStyle name="千位分隔 7 7" xfId="1994"/>
    <cellStyle name="千位分隔 7 7 2" xfId="1995"/>
    <cellStyle name="千位分隔 7 8" xfId="1996"/>
    <cellStyle name="千位分隔 8" xfId="1997"/>
    <cellStyle name="千位分隔 8 2" xfId="1998"/>
    <cellStyle name="千位分隔 8 2 2" xfId="1999"/>
    <cellStyle name="千位分隔 8 3" xfId="2000"/>
    <cellStyle name="千位分隔 9" xfId="2001"/>
    <cellStyle name="千位分隔 9 2" xfId="2002"/>
  </cellStyles>
  <dxfs count="26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20</xdr:row>
      <xdr:rowOff>31947</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686550" cy="34609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5913;&#35268;&#21010;&#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libin\Desktop\ztt\&#36130;&#23500;&#20844;&#39302;\P01\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9420;&#26635;&#37096;&#209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130;&#23500;&#20844;&#39302;&#29420;&#26635;&#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平墅"/>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平墅"/>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Sheet2"/>
      <sheetName val="比较法-车位平墅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 (车库)</v>
          </cell>
        </row>
        <row r="19">
          <cell r="A19" t="str">
            <v>宿舍</v>
          </cell>
          <cell r="B19" t="str">
            <v>收益法办公</v>
          </cell>
        </row>
        <row r="20">
          <cell r="A20" t="str">
            <v>食堂</v>
          </cell>
          <cell r="B20" t="str">
            <v>基准地价办公</v>
          </cell>
        </row>
        <row r="21">
          <cell r="A21" t="str">
            <v>车库</v>
          </cell>
          <cell r="B21" t="str">
            <v>基准地价商业</v>
          </cell>
        </row>
        <row r="22">
          <cell r="A22" t="str">
            <v>戊类库房</v>
          </cell>
          <cell r="B22" t="str">
            <v>典型户型修正</v>
          </cell>
        </row>
        <row r="23">
          <cell r="A23" t="str">
            <v>燃品库房</v>
          </cell>
          <cell r="B23" t="str">
            <v>成本法车库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83857</v>
          </cell>
        </row>
        <row r="17">
          <cell r="C17" t="str">
            <v>项目类型</v>
          </cell>
        </row>
        <row r="19">
          <cell r="C19" t="str">
            <v>住宅</v>
          </cell>
          <cell r="E19">
            <v>44536</v>
          </cell>
        </row>
        <row r="20">
          <cell r="C20" t="str">
            <v>车库</v>
          </cell>
          <cell r="E20">
            <v>14921</v>
          </cell>
        </row>
        <row r="21">
          <cell r="E21">
            <v>0</v>
          </cell>
        </row>
        <row r="22">
          <cell r="E22">
            <v>0</v>
          </cell>
        </row>
        <row r="23">
          <cell r="E23">
            <v>0</v>
          </cell>
        </row>
        <row r="24">
          <cell r="E24">
            <v>0</v>
          </cell>
        </row>
        <row r="25">
          <cell r="E25">
            <v>0</v>
          </cell>
        </row>
        <row r="26">
          <cell r="E26">
            <v>0</v>
          </cell>
        </row>
        <row r="27">
          <cell r="C27" t="str">
            <v>小计</v>
          </cell>
          <cell r="E27">
            <v>59457</v>
          </cell>
        </row>
        <row r="28">
          <cell r="C28" t="str">
            <v>设备及其他</v>
          </cell>
          <cell r="E28">
            <v>24250</v>
          </cell>
        </row>
        <row r="29">
          <cell r="C29" t="str">
            <v>公共配套及物业（住宅）</v>
          </cell>
          <cell r="E29">
            <v>150</v>
          </cell>
        </row>
        <row r="30">
          <cell r="C30" t="str">
            <v>小计</v>
          </cell>
          <cell r="E30">
            <v>24400</v>
          </cell>
        </row>
        <row r="31">
          <cell r="C31" t="str">
            <v>合计</v>
          </cell>
          <cell r="E31">
            <v>83857</v>
          </cell>
        </row>
        <row r="32">
          <cell r="E32">
            <v>44536</v>
          </cell>
        </row>
      </sheetData>
      <sheetData sheetId="14">
        <row r="2">
          <cell r="B2">
            <v>44232</v>
          </cell>
        </row>
        <row r="5">
          <cell r="A5" t="str">
            <v>项目类型</v>
          </cell>
          <cell r="AH5" t="str">
            <v>车位数/套数/收益面积</v>
          </cell>
        </row>
        <row r="6">
          <cell r="A6" t="str">
            <v>住宅</v>
          </cell>
        </row>
        <row r="7">
          <cell r="A7" t="str">
            <v>车库</v>
          </cell>
          <cell r="AH7">
            <v>376</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cell r="C123" t="str">
            <v>七通</v>
          </cell>
          <cell r="D123" t="str">
            <v>六通</v>
          </cell>
          <cell r="E123" t="str">
            <v>五通</v>
          </cell>
        </row>
        <row r="125">
          <cell r="B125" t="str">
            <v>工程地质条件</v>
          </cell>
        </row>
      </sheetData>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cell r="D120" t="str">
            <v>一般</v>
          </cell>
        </row>
        <row r="122">
          <cell r="B122" t="str">
            <v>内部装修</v>
          </cell>
          <cell r="C122" t="str">
            <v>精装</v>
          </cell>
          <cell r="D122" t="str">
            <v>普装</v>
          </cell>
        </row>
      </sheetData>
      <sheetData sheetId="26">
        <row r="49">
          <cell r="C49">
            <v>101833</v>
          </cell>
        </row>
      </sheetData>
      <sheetData sheetId="2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地下1层</v>
          </cell>
        </row>
      </sheetData>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主干道</v>
          </cell>
          <cell r="D87" t="str">
            <v>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row>
        <row r="113">
          <cell r="B113" t="str">
            <v>写字楼等级</v>
          </cell>
          <cell r="C113" t="str">
            <v>甲级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v>
          </cell>
          <cell r="D123" t="str">
            <v>普装</v>
          </cell>
        </row>
      </sheetData>
      <sheetData sheetId="34" refreshError="1"/>
      <sheetData sheetId="35" refreshError="1"/>
      <sheetData sheetId="36" refreshError="1"/>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39">
          <cell r="C39">
            <v>476684</v>
          </cell>
        </row>
        <row r="51">
          <cell r="A51" t="str">
            <v>交易情况</v>
          </cell>
          <cell r="C51" t="str">
            <v>正常</v>
          </cell>
        </row>
        <row r="53">
          <cell r="B53" t="str">
            <v>用途</v>
          </cell>
          <cell r="C53">
            <v>0</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独栋"/>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别墅案例"/>
      <sheetName val="平层豪宅案例"/>
      <sheetName val="案例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efreshError="1"/>
      <sheetData sheetId="12" refreshError="1"/>
      <sheetData sheetId="13">
        <row r="3">
          <cell r="E3">
            <v>10151.94</v>
          </cell>
        </row>
      </sheetData>
      <sheetData sheetId="14">
        <row r="2">
          <cell r="B2">
            <v>44232</v>
          </cell>
        </row>
      </sheetData>
      <sheetData sheetId="15">
        <row r="3">
          <cell r="C3" t="str">
            <v>估价对象周边居住用地比例、居住小区规模和社区发展完善程度，综合评价居住社区成熟度一般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row>
      </sheetData>
      <sheetData sheetId="25">
        <row r="61">
          <cell r="A61" t="str">
            <v>交易情况</v>
          </cell>
        </row>
      </sheetData>
      <sheetData sheetId="26">
        <row r="49">
          <cell r="C49">
            <v>82597</v>
          </cell>
        </row>
      </sheetData>
      <sheetData sheetId="27">
        <row r="5">
          <cell r="B5" t="str">
            <v>修正项2</v>
          </cell>
        </row>
      </sheetData>
      <sheetData sheetId="28" refreshError="1"/>
      <sheetData sheetId="29" refreshError="1"/>
      <sheetData sheetId="30" refreshError="1"/>
      <sheetData sheetId="31" refreshError="1"/>
      <sheetData sheetId="32" refreshError="1"/>
      <sheetData sheetId="33">
        <row r="62">
          <cell r="A62" t="str">
            <v>交易情况</v>
          </cell>
        </row>
      </sheetData>
      <sheetData sheetId="34" refreshError="1"/>
      <sheetData sheetId="35" refreshError="1"/>
      <sheetData sheetId="36" refreshError="1"/>
      <sheetData sheetId="37">
        <row r="55">
          <cell r="A55" t="str">
            <v>交易情况</v>
          </cell>
        </row>
      </sheetData>
      <sheetData sheetId="38">
        <row r="51">
          <cell r="A51" t="str">
            <v>交易情况</v>
          </cell>
        </row>
      </sheetData>
      <sheetData sheetId="39">
        <row r="49">
          <cell r="A49" t="str">
            <v>交易情况</v>
          </cell>
        </row>
      </sheetData>
      <sheetData sheetId="40">
        <row r="70">
          <cell r="B70" t="str">
            <v>用途</v>
          </cell>
        </row>
      </sheetData>
      <sheetData sheetId="41">
        <row r="6">
          <cell r="A6" t="str">
            <v>通路</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7">
          <cell r="A7" t="str">
            <v>北京市朝阳区孙河乡北甸西村、北甸东村、西甸村、孙河村2902-31地块R2二类居住用地</v>
          </cell>
          <cell r="F7">
            <v>39479.050000000003</v>
          </cell>
          <cell r="L7" t="str">
            <v>2019-05-28</v>
          </cell>
        </row>
        <row r="20">
          <cell r="A20" t="str">
            <v>北京市海淀区四季青镇中坞重点村资金平衡用地南地块R2二类居住用地</v>
          </cell>
          <cell r="F20">
            <v>51339.15</v>
          </cell>
          <cell r="L20" t="str">
            <v>2020-01-20</v>
          </cell>
        </row>
        <row r="22">
          <cell r="A22" t="str">
            <v>北京市海淀区四季青镇中坞重点村资金平衡用地北地块R2二类居住用地</v>
          </cell>
          <cell r="F22">
            <v>44507.26</v>
          </cell>
          <cell r="L22" t="str">
            <v>2020-01-20</v>
          </cell>
        </row>
      </sheetData>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别墅案例"/>
      <sheetName val="平层豪宅案例"/>
      <sheetName val="案例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10151.94</v>
          </cell>
          <cell r="C14">
            <v>10546.45</v>
          </cell>
          <cell r="D14">
            <v>74249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北京市出让国有建设用地使用权抵押价格预评估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受贵公司委托，我公司对北京市出让国有建设用地使用权抵押价格进行了预评估。</v>
      </c>
      <c r="AM6" s="2619"/>
    </row>
    <row r="7" spans="1:55" s="2593" customFormat="1">
      <c r="A7" s="2594" t="s">
        <v>2636</v>
      </c>
      <c r="B7" s="2595" t="str">
        <f>'预评函-1'!A6</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2021年2月5日（评估专业人员勘察现场之日）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根据《国有土地使用证》[]，估价对象（分摊）出让国有建设用地使用权面积为44978.48平方米。根据《建设工程规划许可证》[]、《出让合同》[]，估价对象规划建筑面积为83857平方米。</v>
      </c>
    </row>
    <row r="16" spans="1:55" s="2593" customFormat="1">
      <c r="A16" s="2594" t="s">
        <v>2648</v>
      </c>
      <c r="B16" s="2595" t="str">
        <f>'预评函-1'!A22</f>
        <v>本次估价对象为出让国有建设用地使用权，《国有土地使用证》[]证载土地终止日期为住宅2074年5月14日地下车库2044年5月14日、地下仓储2044年5月14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估价期日：2021年2月5日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红线外七通、宗地红线内场地平整</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44978.48</v>
      </c>
    </row>
    <row r="44" spans="1:2">
      <c r="A44" s="2594" t="s">
        <v>2719</v>
      </c>
      <c r="B44" s="2595" t="str">
        <f>'预评函-2'!O3</f>
        <v>规划建筑面积/㎡</v>
      </c>
    </row>
    <row r="45" spans="1:2">
      <c r="A45" s="2594" t="s">
        <v>2701</v>
      </c>
      <c r="B45" s="2595">
        <f>'预评函-2'!O5</f>
        <v>83857</v>
      </c>
    </row>
    <row r="46" spans="1:2">
      <c r="A46" s="2594" t="s">
        <v>2702</v>
      </c>
      <c r="B46" s="2595">
        <f ca="1">'预评函-2'!P5</f>
        <v>66773</v>
      </c>
    </row>
    <row r="47" spans="1:2">
      <c r="A47" s="2594" t="s">
        <v>2703</v>
      </c>
      <c r="B47" s="2595">
        <f ca="1">'预评函-2'!Q5</f>
        <v>35815</v>
      </c>
    </row>
    <row r="48" spans="1:2">
      <c r="A48" s="2594" t="s">
        <v>2704</v>
      </c>
      <c r="B48" s="2595">
        <f ca="1">'预评函-2'!R5</f>
        <v>300336</v>
      </c>
    </row>
    <row r="49" spans="1:2">
      <c r="A49" s="2594" t="s">
        <v>2720</v>
      </c>
      <c r="B49" s="2595" t="str">
        <f>'预评函-2'!A6</f>
        <v>抵押价格</v>
      </c>
    </row>
    <row r="50" spans="1:2">
      <c r="A50" s="2594" t="s">
        <v>2705</v>
      </c>
      <c r="B50" s="2595">
        <f ca="1">'预评函-2'!R6</f>
        <v>300336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2.基础设施条件：估价对象实际开发程度为红线外七通、宗地红线内场地平整；本次评估设定开发程度为红线外七通、宗地红线内场地。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D44" sqref="D44"/>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800" t="str">
        <f>IF(B10="北京市","北京市",C10)&amp;F10&amp;B16&amp;"国有建设用地使用权"&amp;B9&amp;"预评估"</f>
        <v>北京市出让国有建设用地使用权抵押价格预评估</v>
      </c>
      <c r="C1" s="3801"/>
      <c r="D1" s="3801"/>
      <c r="E1" s="3801"/>
      <c r="F1" s="3801"/>
      <c r="G1" s="3801"/>
      <c r="H1" s="3801"/>
      <c r="I1" s="3802"/>
      <c r="J1" s="3072"/>
      <c r="K1" s="2309" t="str">
        <f>IF(B10="北京市","北京市",C10)&amp;F10&amp;B16&amp;"国有建设用地使用权"&amp;B9</f>
        <v>北京市出让国有建设用地使用权抵押价格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北京市出让国有建设用地使用权</v>
      </c>
      <c r="L2" s="3051"/>
      <c r="M2" s="3051"/>
      <c r="N2" s="3052"/>
      <c r="O2" s="3053"/>
      <c r="P2" s="3052"/>
      <c r="Q2" s="3052"/>
      <c r="R2" s="3052"/>
      <c r="S2" s="3052"/>
      <c r="T2" s="3052"/>
      <c r="U2" s="3052"/>
    </row>
    <row r="3" spans="1:21">
      <c r="A3" s="1587" t="s">
        <v>1928</v>
      </c>
      <c r="B3" s="1588">
        <v>44232</v>
      </c>
      <c r="C3" s="2995" t="s">
        <v>1984</v>
      </c>
      <c r="D3" s="1588">
        <f>B3</f>
        <v>44232</v>
      </c>
      <c r="E3" s="3072"/>
      <c r="F3" s="3072"/>
      <c r="G3" s="3072"/>
      <c r="H3" s="3073"/>
      <c r="I3" s="3074"/>
      <c r="J3" s="3072"/>
      <c r="K3" s="3055"/>
      <c r="L3" s="3051"/>
      <c r="M3" s="3051"/>
      <c r="N3" s="3052"/>
      <c r="O3" s="3053"/>
      <c r="P3" s="3052"/>
      <c r="Q3" s="3052"/>
      <c r="R3" s="3052"/>
      <c r="S3" s="3052"/>
      <c r="T3" s="3052"/>
      <c r="U3" s="3052"/>
    </row>
    <row r="4" spans="1:21" ht="29.25" thickBot="1">
      <c r="A4" s="1590" t="s">
        <v>1929</v>
      </c>
      <c r="B4" s="1755" t="s">
        <v>2866</v>
      </c>
      <c r="C4" s="1758">
        <f>SUMIF(土地估价师,B4,估价师及机构信息!E3:E16)</f>
        <v>0</v>
      </c>
      <c r="D4" s="1755" t="s">
        <v>2866</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2685</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2686</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2955</v>
      </c>
      <c r="C8" s="1597"/>
      <c r="D8" s="3806" t="s">
        <v>1933</v>
      </c>
      <c r="E8" s="1756" t="s">
        <v>3004</v>
      </c>
      <c r="F8" s="1598"/>
      <c r="G8" s="3073"/>
      <c r="H8" s="3073"/>
      <c r="I8" s="3076"/>
      <c r="J8" s="3072"/>
      <c r="K8" s="3055"/>
      <c r="L8" s="3051"/>
      <c r="M8" s="3051"/>
      <c r="N8" s="3052"/>
      <c r="O8" s="3053"/>
      <c r="P8" s="3052"/>
      <c r="Q8" s="3052"/>
      <c r="R8" s="3052"/>
      <c r="S8" s="3052"/>
      <c r="T8" s="3052"/>
      <c r="U8" s="3052"/>
    </row>
    <row r="9" spans="1:21" ht="15" thickBot="1">
      <c r="A9" s="2997" t="s">
        <v>1932</v>
      </c>
      <c r="B9" s="1599" t="s">
        <v>3004</v>
      </c>
      <c r="C9" s="1600"/>
      <c r="D9" s="3807"/>
      <c r="E9" s="1599"/>
      <c r="F9" s="1663"/>
      <c r="G9" s="3077"/>
      <c r="H9" s="3077"/>
      <c r="I9" s="3078"/>
      <c r="J9" s="3072"/>
      <c r="K9" s="3055"/>
      <c r="L9" s="3051"/>
      <c r="M9" s="3051"/>
      <c r="N9" s="3052"/>
      <c r="O9" s="3053"/>
      <c r="P9" s="3052"/>
      <c r="Q9" s="3052"/>
      <c r="R9" s="3052"/>
      <c r="S9" s="3052"/>
      <c r="T9" s="3052"/>
      <c r="U9" s="3052"/>
    </row>
    <row r="10" spans="1:21" ht="15" thickTop="1">
      <c r="A10" s="2998" t="s">
        <v>1988</v>
      </c>
      <c r="B10" s="1639" t="s">
        <v>1934</v>
      </c>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1989</v>
      </c>
      <c r="B11" s="1618" t="s">
        <v>3005</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803"/>
      <c r="C12" s="3804"/>
      <c r="D12" s="3805"/>
      <c r="E12" s="1619" t="s">
        <v>2050</v>
      </c>
      <c r="F12" s="3821" t="s">
        <v>2867</v>
      </c>
      <c r="G12" s="3822"/>
      <c r="H12" s="3822"/>
      <c r="I12" s="3823"/>
      <c r="J12" s="3072"/>
      <c r="K12" s="3055"/>
      <c r="L12" s="3051"/>
      <c r="M12" s="3051"/>
      <c r="N12" s="3052"/>
      <c r="O12" s="3053"/>
      <c r="P12" s="3052"/>
      <c r="Q12" s="3052"/>
      <c r="R12" s="3052"/>
      <c r="S12" s="3052"/>
      <c r="T12" s="3052"/>
      <c r="U12" s="3052"/>
    </row>
    <row r="13" spans="1:21">
      <c r="A13" s="1610" t="s">
        <v>2048</v>
      </c>
      <c r="B13" s="3803"/>
      <c r="C13" s="3804"/>
      <c r="D13" s="3805"/>
      <c r="E13" s="1619" t="s">
        <v>2050</v>
      </c>
      <c r="F13" s="3821" t="s">
        <v>2868</v>
      </c>
      <c r="G13" s="3822"/>
      <c r="H13" s="3822"/>
      <c r="I13" s="3823"/>
      <c r="J13" s="3072"/>
      <c r="K13" s="3055"/>
      <c r="L13" s="3051"/>
      <c r="M13" s="3051"/>
      <c r="N13" s="3052"/>
      <c r="O13" s="3053"/>
      <c r="P13" s="3052"/>
      <c r="Q13" s="3052"/>
      <c r="R13" s="3052"/>
      <c r="S13" s="3052"/>
      <c r="T13" s="3052"/>
      <c r="U13" s="3052"/>
    </row>
    <row r="14" spans="1:21">
      <c r="A14" s="1587" t="s">
        <v>2051</v>
      </c>
      <c r="B14" s="1619"/>
      <c r="C14" s="1757" t="s">
        <v>3006</v>
      </c>
      <c r="D14" s="1653" t="str">
        <f>IF(C14="不一致","是否符合证载地类范围","")</f>
        <v/>
      </c>
      <c r="E14" s="1619"/>
      <c r="F14" s="1703" t="s">
        <v>3007</v>
      </c>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42.75">
      <c r="A16" s="3000" t="s">
        <v>1936</v>
      </c>
      <c r="B16" s="1605" t="s">
        <v>2950</v>
      </c>
      <c r="C16" s="1619" t="s">
        <v>1937</v>
      </c>
      <c r="D16" s="2487" t="s">
        <v>1938</v>
      </c>
      <c r="E16" s="1642"/>
      <c r="F16" s="1642"/>
      <c r="G16" s="1642" t="s">
        <v>35</v>
      </c>
      <c r="H16" s="1642" t="s">
        <v>3008</v>
      </c>
      <c r="I16" s="1609" t="s">
        <v>1943</v>
      </c>
      <c r="J16" s="3072"/>
      <c r="K16" s="2310" t="str">
        <f>IF(D17="","",D16&amp;TEXT(D17,"yyyy年m月d日;;"))</f>
        <v>住宅2074年5月14日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地下车库2044年5月14日</v>
      </c>
      <c r="R16" s="1619" t="str">
        <f>IF(OR(Q16="",S16=""),"","、")</f>
        <v>、</v>
      </c>
      <c r="S16" s="2310" t="str">
        <f>IF(H17="","",H16&amp;TEXT(H17,"yyyy年m月d日;;"))</f>
        <v>地下仓储2044年5月14日</v>
      </c>
      <c r="T16" s="1619" t="str">
        <f>IF(OR(S16="",U16=""),"","、")</f>
        <v/>
      </c>
      <c r="U16" s="2310" t="str">
        <f>IF(I17="","",I16&amp;TEXT(I17,"yyyy年m月d日;;"))</f>
        <v/>
      </c>
    </row>
    <row r="17" spans="1:21">
      <c r="A17" s="1679"/>
      <c r="B17" s="1606"/>
      <c r="C17" s="3001" t="s">
        <v>1944</v>
      </c>
      <c r="D17" s="3280">
        <v>63688</v>
      </c>
      <c r="E17" s="3280"/>
      <c r="F17" s="3280"/>
      <c r="G17" s="3280">
        <v>52731</v>
      </c>
      <c r="H17" s="3280">
        <f>G17</f>
        <v>52731</v>
      </c>
      <c r="I17" s="1620"/>
      <c r="J17" s="3072"/>
      <c r="K17" s="3050" t="str">
        <f>CONCATENATE(K16,L16,M16,N16,O16,P16,Q16,R16,S16,T16,,U16)</f>
        <v>住宅2074年5月14日地下车库2044年5月14日、地下仓储2044年5月14日</v>
      </c>
      <c r="L17" s="3051"/>
      <c r="M17" s="3051"/>
      <c r="N17" s="3052"/>
      <c r="O17" s="3053"/>
      <c r="P17" s="3052"/>
      <c r="Q17" s="3052"/>
      <c r="R17" s="3052"/>
      <c r="S17" s="3052"/>
      <c r="T17" s="3052"/>
      <c r="U17" s="3052"/>
    </row>
    <row r="18" spans="1:21">
      <c r="A18" s="1679"/>
      <c r="B18" s="1606"/>
      <c r="C18" s="3001" t="s">
        <v>1945</v>
      </c>
      <c r="D18" s="1607">
        <v>70</v>
      </c>
      <c r="E18" s="1607"/>
      <c r="F18" s="1607"/>
      <c r="G18" s="1607">
        <v>50</v>
      </c>
      <c r="H18" s="1607">
        <v>50</v>
      </c>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53.3</v>
      </c>
      <c r="E19" s="1608" t="str">
        <f>IF(B16="出让",IF(E17="","",ROUNDDOWN(MIN((E17-$D$3)/365,E18),2)),E18)</f>
        <v/>
      </c>
      <c r="F19" s="1608" t="str">
        <f>IF(B16="出让",IF(F17="","",ROUNDDOWN(MIN((F17-$D$3)/365,F18),2)),F18)</f>
        <v/>
      </c>
      <c r="G19" s="1608">
        <f>IF(B16="出让",IF(G17="","",ROUNDDOWN(MIN((G17-$D$3)/365,G18),2)),G18)</f>
        <v>23.28</v>
      </c>
      <c r="H19" s="1608">
        <f>IF(B16="出让",IF(H17="","",ROUNDDOWN(MIN((H17-$D$3)/365,H18),2)),H18)</f>
        <v>23.28</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818"/>
      <c r="E20" s="3819"/>
      <c r="F20" s="3819"/>
      <c r="G20" s="3819"/>
      <c r="H20" s="3819"/>
      <c r="I20" s="3820"/>
      <c r="J20" s="3072"/>
      <c r="K20" s="3055"/>
      <c r="L20" s="3051"/>
      <c r="M20" s="3051"/>
      <c r="N20" s="3052"/>
      <c r="O20" s="3053"/>
      <c r="P20" s="3052"/>
      <c r="Q20" s="3052"/>
      <c r="R20" s="3052"/>
      <c r="S20" s="3052"/>
      <c r="T20" s="3052"/>
      <c r="U20" s="3052"/>
    </row>
    <row r="21" spans="1:21">
      <c r="A21" s="1679" t="s">
        <v>1947</v>
      </c>
      <c r="B21" s="1680" t="s">
        <v>1948</v>
      </c>
      <c r="C21" s="1675">
        <f>'数据-汇总表'!E3</f>
        <v>83857</v>
      </c>
      <c r="D21" s="1676" t="s">
        <v>1949</v>
      </c>
      <c r="E21" s="3808" t="s">
        <v>1987</v>
      </c>
      <c r="F21" s="3809"/>
      <c r="G21" s="3809"/>
      <c r="H21" s="3809"/>
      <c r="I21" s="3810"/>
      <c r="J21" s="3072"/>
      <c r="K21" s="3055"/>
      <c r="L21" s="3051"/>
      <c r="M21" s="3051"/>
      <c r="N21" s="3052"/>
      <c r="O21" s="3053"/>
      <c r="P21" s="3052"/>
      <c r="Q21" s="3052"/>
      <c r="R21" s="3052"/>
      <c r="S21" s="3052"/>
      <c r="T21" s="3052"/>
      <c r="U21" s="3052"/>
    </row>
    <row r="22" spans="1:21">
      <c r="A22" s="2800" t="s">
        <v>943</v>
      </c>
      <c r="B22" s="1587" t="s">
        <v>1950</v>
      </c>
      <c r="C22" s="1609">
        <f>'数据-汇总表'!D3</f>
        <v>44978.48</v>
      </c>
      <c r="D22" s="1610" t="s">
        <v>1949</v>
      </c>
      <c r="E22" s="3808" t="s">
        <v>2869</v>
      </c>
      <c r="F22" s="3809"/>
      <c r="G22" s="3809"/>
      <c r="H22" s="3809"/>
      <c r="I22" s="3810"/>
      <c r="J22" s="3072"/>
      <c r="K22" s="3055"/>
      <c r="L22" s="3051"/>
      <c r="M22" s="3051"/>
      <c r="N22" s="3052"/>
      <c r="O22" s="3053"/>
      <c r="P22" s="3052"/>
      <c r="Q22" s="3052"/>
      <c r="R22" s="3052"/>
      <c r="S22" s="3052"/>
      <c r="T22" s="3052"/>
      <c r="U22" s="3052"/>
    </row>
    <row r="23" spans="1:21" ht="43.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811" t="s">
        <v>1955</v>
      </c>
      <c r="C24" s="3812"/>
      <c r="D24" s="3813" t="s">
        <v>1956</v>
      </c>
      <c r="E24" s="3814"/>
      <c r="F24" s="1628" t="s">
        <v>1957</v>
      </c>
      <c r="G24" s="3072"/>
      <c r="H24" s="3072"/>
      <c r="I24" s="3076"/>
      <c r="J24" s="3072"/>
      <c r="K24" s="3799"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2313</v>
      </c>
      <c r="C25" s="1629" t="s">
        <v>1959</v>
      </c>
      <c r="D25" s="1630"/>
      <c r="E25" s="1631" t="s">
        <v>943</v>
      </c>
      <c r="F25" s="1632"/>
      <c r="G25" s="3072"/>
      <c r="H25" s="3072"/>
      <c r="I25" s="3076"/>
      <c r="J25" s="3072"/>
      <c r="K25" s="379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2314</v>
      </c>
      <c r="D26" s="3073"/>
      <c r="E26" s="3073"/>
      <c r="F26" s="3079"/>
      <c r="G26" s="3072"/>
      <c r="H26" s="3072"/>
      <c r="I26" s="3076"/>
      <c r="J26" s="3072"/>
      <c r="K26" s="379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785" t="s">
        <v>1990</v>
      </c>
      <c r="B31" s="1680" t="s">
        <v>1991</v>
      </c>
      <c r="C31" s="3824" t="s">
        <v>3009</v>
      </c>
      <c r="D31" s="3825"/>
      <c r="E31" s="3072"/>
      <c r="F31" s="3072"/>
      <c r="G31" s="3072"/>
      <c r="H31" s="3072"/>
      <c r="I31" s="3076"/>
      <c r="J31" s="3072"/>
      <c r="K31" s="3058"/>
      <c r="L31" s="3052"/>
      <c r="M31" s="3052"/>
      <c r="N31" s="3052"/>
      <c r="O31" s="3052"/>
      <c r="P31" s="3052"/>
      <c r="Q31" s="3052"/>
      <c r="R31" s="3052"/>
      <c r="S31" s="3052"/>
      <c r="T31" s="3052"/>
      <c r="U31" s="3052"/>
    </row>
    <row r="32" spans="1:21">
      <c r="A32" s="3785"/>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785"/>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786"/>
      <c r="B34" s="1587" t="s">
        <v>1994</v>
      </c>
      <c r="C34" s="3787"/>
      <c r="D34" s="3788"/>
      <c r="E34" s="3072"/>
      <c r="F34" s="3072"/>
      <c r="G34" s="3072"/>
      <c r="H34" s="3072"/>
      <c r="I34" s="3076"/>
      <c r="J34" s="3072"/>
      <c r="K34" s="3058"/>
      <c r="L34" s="3052"/>
      <c r="M34" s="3052"/>
      <c r="N34" s="3052"/>
      <c r="O34" s="3052"/>
      <c r="P34" s="3052"/>
      <c r="Q34" s="3052"/>
      <c r="R34" s="3052"/>
      <c r="S34" s="3052"/>
      <c r="T34" s="3052"/>
      <c r="U34" s="3052"/>
    </row>
    <row r="35" spans="1:28">
      <c r="A35" s="3789" t="s">
        <v>839</v>
      </c>
      <c r="B35" s="1642" t="s">
        <v>3010</v>
      </c>
      <c r="C35" s="1689" t="str">
        <f>IF(B35="场地平整","——","具体情况：")</f>
        <v>——</v>
      </c>
      <c r="D35" s="3791"/>
      <c r="E35" s="3792"/>
      <c r="F35" s="3792"/>
      <c r="G35" s="3792"/>
      <c r="H35" s="3792"/>
      <c r="I35" s="3793"/>
      <c r="J35" s="3072"/>
      <c r="K35" s="3059"/>
      <c r="L35" s="3051"/>
      <c r="M35" s="3051"/>
      <c r="N35" s="3052"/>
      <c r="O35" s="3053"/>
      <c r="P35" s="3052"/>
      <c r="Q35" s="3052"/>
      <c r="R35" s="3052"/>
      <c r="S35" s="3052"/>
      <c r="T35" s="3052"/>
      <c r="U35" s="3052"/>
    </row>
    <row r="36" spans="1:28">
      <c r="A36" s="3785"/>
      <c r="B36" s="3794" t="s">
        <v>2043</v>
      </c>
      <c r="C36" s="3795"/>
      <c r="D36" s="1705"/>
      <c r="E36" s="3796"/>
      <c r="F36" s="3796"/>
      <c r="G36" s="1610" t="str">
        <f>IF(B35="场地未平整","估价结果处理","")</f>
        <v/>
      </c>
      <c r="H36" s="3797"/>
      <c r="I36" s="3797"/>
      <c r="J36" s="3072"/>
      <c r="K36" s="3059"/>
      <c r="L36" s="3051"/>
      <c r="M36" s="3051"/>
      <c r="N36" s="3052"/>
      <c r="O36" s="3053"/>
      <c r="P36" s="3052"/>
      <c r="Q36" s="3052"/>
      <c r="R36" s="3052"/>
      <c r="S36" s="3052"/>
      <c r="T36" s="3052"/>
      <c r="U36" s="3052"/>
    </row>
    <row r="37" spans="1:28" ht="28.5">
      <c r="A37" s="3785"/>
      <c r="B37" s="3815"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785"/>
      <c r="B38" s="3816"/>
      <c r="C38" s="1595" t="s">
        <v>842</v>
      </c>
      <c r="D38" s="1704">
        <f>ROUNDDOWN(MIN(('数据-取费表'!$B$2-D37)/365,D34),1)</f>
        <v>121.1</v>
      </c>
      <c r="E38" s="1647" t="s">
        <v>843</v>
      </c>
      <c r="F38" s="3072"/>
      <c r="G38" s="3072"/>
      <c r="H38" s="3072"/>
      <c r="I38" s="3076"/>
      <c r="J38" s="3072"/>
      <c r="K38" s="3059"/>
      <c r="L38" s="3052"/>
      <c r="M38" s="3052"/>
      <c r="N38" s="3052"/>
      <c r="O38" s="3052"/>
      <c r="P38" s="3052"/>
      <c r="Q38" s="3052"/>
      <c r="R38" s="3052"/>
      <c r="S38" s="3052"/>
      <c r="T38" s="3052"/>
      <c r="U38" s="3052"/>
    </row>
    <row r="39" spans="1:28">
      <c r="A39" s="3786"/>
      <c r="B39" s="3817"/>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t="s">
        <v>3011</v>
      </c>
      <c r="C40" s="1611" t="s">
        <v>3012</v>
      </c>
      <c r="D40" s="1611" t="s">
        <v>3013</v>
      </c>
      <c r="E40" s="1611" t="s">
        <v>3014</v>
      </c>
      <c r="F40" s="1611" t="s">
        <v>3015</v>
      </c>
      <c r="G40" s="1611" t="s">
        <v>3016</v>
      </c>
      <c r="H40" s="1611" t="s">
        <v>3017</v>
      </c>
      <c r="I40" s="3076"/>
      <c r="J40" s="3072"/>
      <c r="K40" s="3020">
        <f>COUNTIF(B40:H40,"——")</f>
        <v>0</v>
      </c>
      <c r="L40" s="1619" t="s">
        <v>1967</v>
      </c>
      <c r="M40" s="1616" t="s">
        <v>1968</v>
      </c>
      <c r="N40" s="1616" t="s">
        <v>1969</v>
      </c>
      <c r="O40" s="1616" t="s">
        <v>1970</v>
      </c>
      <c r="P40" s="1616" t="s">
        <v>1971</v>
      </c>
      <c r="Q40" s="1616" t="s">
        <v>1972</v>
      </c>
      <c r="R40" s="1616" t="s">
        <v>1973</v>
      </c>
      <c r="S40" s="3798" t="s">
        <v>1974</v>
      </c>
      <c r="T40" s="1651" t="str">
        <f>NUMBERSTRING(7-K40,1)&amp;"通"</f>
        <v>七通</v>
      </c>
      <c r="U40" s="3052"/>
    </row>
    <row r="41" spans="1:28">
      <c r="A41" s="1589"/>
      <c r="B41" s="3790" t="s">
        <v>1712</v>
      </c>
      <c r="C41" s="3790"/>
      <c r="D41" s="3790"/>
      <c r="E41" s="3790"/>
      <c r="F41" s="1652">
        <f>C10</f>
        <v>0</v>
      </c>
      <c r="G41" s="3072"/>
      <c r="H41" s="3072"/>
      <c r="I41" s="3076"/>
      <c r="J41" s="3072"/>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798"/>
      <c r="T41" s="1653" t="str">
        <f>IF(T40="一通",L41,IF(T40="二通",M41,IF(T40="三通",N41,IF(T40="四通",O41,IF(T40="五通",P41,IF(T40="六通",Q41,R41))))))</f>
        <v>通路、通电、通讯、通上水、通下水、通热、燃气</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t="s">
        <v>1400</v>
      </c>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t="s">
        <v>1285</v>
      </c>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2870</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44978.48</v>
      </c>
      <c r="B3" s="22">
        <f>IF(C3="否",G5-AT5,G5)</f>
        <v>83857</v>
      </c>
      <c r="C3" s="23" t="s">
        <v>3287</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87287</v>
      </c>
      <c r="H5" s="27">
        <f t="shared" ref="H5:AT5" si="0">SUM(H13:H641)</f>
        <v>59457</v>
      </c>
      <c r="I5" s="27">
        <f t="shared" si="0"/>
        <v>44536</v>
      </c>
      <c r="J5" s="27">
        <f t="shared" si="0"/>
        <v>0</v>
      </c>
      <c r="K5" s="27">
        <f t="shared" si="0"/>
        <v>14921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24400</v>
      </c>
      <c r="AD5" s="27">
        <f t="shared" si="0"/>
        <v>0</v>
      </c>
      <c r="AE5" s="27">
        <f t="shared" si="0"/>
        <v>0</v>
      </c>
      <c r="AF5" s="27">
        <f t="shared" si="0"/>
        <v>0</v>
      </c>
      <c r="AG5" s="27">
        <f t="shared" si="0"/>
        <v>0</v>
      </c>
      <c r="AH5" s="27">
        <f t="shared" si="0"/>
        <v>150</v>
      </c>
      <c r="AI5" s="27">
        <f t="shared" si="0"/>
        <v>0</v>
      </c>
      <c r="AJ5" s="27">
        <f t="shared" si="0"/>
        <v>0</v>
      </c>
      <c r="AK5" s="27">
        <f t="shared" si="0"/>
        <v>0</v>
      </c>
      <c r="AL5" s="27">
        <f t="shared" si="0"/>
        <v>20</v>
      </c>
      <c r="AM5" s="27">
        <f t="shared" si="0"/>
        <v>0</v>
      </c>
      <c r="AN5" s="27">
        <f t="shared" si="0"/>
        <v>24230</v>
      </c>
      <c r="AO5" s="27">
        <f t="shared" si="0"/>
        <v>0</v>
      </c>
      <c r="AP5" s="27">
        <f t="shared" si="0"/>
        <v>0</v>
      </c>
      <c r="AQ5" s="27">
        <f t="shared" si="0"/>
        <v>0</v>
      </c>
      <c r="AR5" s="27">
        <f t="shared" si="0"/>
        <v>0</v>
      </c>
      <c r="AS5" s="27">
        <f t="shared" si="0"/>
        <v>0</v>
      </c>
      <c r="AT5" s="27">
        <f t="shared" si="0"/>
        <v>3430</v>
      </c>
      <c r="AU5" s="976"/>
      <c r="AV5" s="26" t="s">
        <v>168</v>
      </c>
      <c r="AW5" s="977"/>
      <c r="AX5" s="977"/>
      <c r="AY5" s="28" t="s">
        <v>3</v>
      </c>
      <c r="AZ5" s="29">
        <f t="shared" ref="AZ5:BT5" si="1">SUM(AZ13:AZ641)</f>
        <v>83857</v>
      </c>
      <c r="BA5" s="29">
        <f t="shared" si="1"/>
        <v>59457</v>
      </c>
      <c r="BB5" s="29">
        <f t="shared" si="1"/>
        <v>44536</v>
      </c>
      <c r="BC5" s="29">
        <f t="shared" si="1"/>
        <v>14921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24400</v>
      </c>
      <c r="BM5" s="29">
        <f t="shared" si="1"/>
        <v>0</v>
      </c>
      <c r="BN5" s="29">
        <f t="shared" si="1"/>
        <v>0</v>
      </c>
      <c r="BO5" s="29">
        <f t="shared" si="1"/>
        <v>150</v>
      </c>
      <c r="BP5" s="29">
        <f t="shared" si="1"/>
        <v>0</v>
      </c>
      <c r="BQ5" s="29">
        <f t="shared" si="1"/>
        <v>20</v>
      </c>
      <c r="BR5" s="29">
        <f t="shared" si="1"/>
        <v>24230</v>
      </c>
      <c r="BS5" s="29">
        <f t="shared" si="1"/>
        <v>0</v>
      </c>
      <c r="BT5" s="30">
        <f t="shared" si="1"/>
        <v>0</v>
      </c>
    </row>
    <row r="6" spans="1:72" s="37" customFormat="1" ht="12.75">
      <c r="A6" s="26" t="s">
        <v>169</v>
      </c>
      <c r="B6" s="31"/>
      <c r="C6" s="31"/>
      <c r="D6" s="32"/>
      <c r="E6" s="27">
        <f>H6+AC6+AT6</f>
        <v>44978.48</v>
      </c>
      <c r="F6" s="27" t="s">
        <v>1</v>
      </c>
      <c r="G6" s="27" t="s">
        <v>2</v>
      </c>
      <c r="H6" s="33">
        <f>SUMIF(I$12:AB$12,"总值",I6:AB6)</f>
        <v>31891.02</v>
      </c>
      <c r="I6" s="27">
        <f t="shared" ref="I6:AB6" si="2">ROUND($A$3*I5/$B$3,2)</f>
        <v>23887.83</v>
      </c>
      <c r="J6" s="27">
        <f t="shared" si="2"/>
        <v>0</v>
      </c>
      <c r="K6" s="27">
        <f t="shared" si="2"/>
        <v>8003.19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13087.460000000001</v>
      </c>
      <c r="AD6" s="27">
        <f t="shared" ref="AD6:AS6" si="3">ROUND($A$3*AD5/$B$3,2)</f>
        <v>0</v>
      </c>
      <c r="AE6" s="27">
        <f t="shared" si="3"/>
        <v>0</v>
      </c>
      <c r="AF6" s="27">
        <f t="shared" si="3"/>
        <v>0</v>
      </c>
      <c r="AG6" s="27">
        <f t="shared" si="3"/>
        <v>0</v>
      </c>
      <c r="AH6" s="27">
        <f t="shared" si="3"/>
        <v>80.459999999999994</v>
      </c>
      <c r="AI6" s="27">
        <f t="shared" si="3"/>
        <v>0</v>
      </c>
      <c r="AJ6" s="27">
        <f t="shared" si="3"/>
        <v>0</v>
      </c>
      <c r="AK6" s="27">
        <f t="shared" si="3"/>
        <v>0</v>
      </c>
      <c r="AL6" s="27">
        <f t="shared" si="3"/>
        <v>10.73</v>
      </c>
      <c r="AM6" s="27">
        <f t="shared" si="3"/>
        <v>0</v>
      </c>
      <c r="AN6" s="27">
        <f t="shared" si="3"/>
        <v>12996.27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44978.48</v>
      </c>
      <c r="AZ6" s="27" t="s">
        <v>3</v>
      </c>
      <c r="BA6" s="27">
        <f>ROUND($AY$6*BA5/$AZ$5,2)</f>
        <v>31891.02</v>
      </c>
      <c r="BB6" s="27">
        <f>ROUND($AY$6*BB5/$AZ$5,2)</f>
        <v>23887.83</v>
      </c>
      <c r="BC6" s="27">
        <f t="shared" ref="BC6:BH6" si="4">ROUND($AY$6*BC5/$AZ$5,2)</f>
        <v>8003.19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13087.46</v>
      </c>
      <c r="BM6" s="27">
        <f t="shared" si="5"/>
        <v>0</v>
      </c>
      <c r="BN6" s="27">
        <f t="shared" si="5"/>
        <v>0</v>
      </c>
      <c r="BO6" s="27">
        <f t="shared" si="5"/>
        <v>80.459999999999994</v>
      </c>
      <c r="BP6" s="27">
        <f t="shared" si="5"/>
        <v>0</v>
      </c>
      <c r="BQ6" s="27">
        <f t="shared" si="5"/>
        <v>10.73</v>
      </c>
      <c r="BR6" s="27">
        <f t="shared" si="5"/>
        <v>12996.27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3018</v>
      </c>
      <c r="J9" s="51"/>
      <c r="K9" s="2730" t="s">
        <v>3019</v>
      </c>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914</v>
      </c>
      <c r="J10" s="51"/>
      <c r="K10" s="2732" t="s">
        <v>3031</v>
      </c>
      <c r="L10" s="51"/>
      <c r="M10" s="2732"/>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3281" t="s">
        <v>3032</v>
      </c>
      <c r="D13" s="2726" t="s">
        <v>1669</v>
      </c>
      <c r="E13" s="27">
        <f t="shared" ref="E13:E20" si="6">IF($C$3="是",ROUND($A$3*G13/$B$3,2),ROUND($A$3*(G13-AT13)/$B$3,2))</f>
        <v>44978.48</v>
      </c>
      <c r="F13" s="81"/>
      <c r="G13" s="82">
        <f t="shared" ref="G13:G20" si="7">H13+AC13+AT13</f>
        <v>87287</v>
      </c>
      <c r="H13" s="33">
        <f t="shared" ref="H13:H20" si="8">SUMIF(I$12:AB$12,"总值",I13:AB13)</f>
        <v>59457</v>
      </c>
      <c r="I13" s="83">
        <v>44536</v>
      </c>
      <c r="J13" s="83"/>
      <c r="K13" s="83">
        <v>14921</v>
      </c>
      <c r="L13" s="83"/>
      <c r="M13" s="83"/>
      <c r="N13" s="83"/>
      <c r="O13" s="83"/>
      <c r="P13" s="83"/>
      <c r="Q13" s="83"/>
      <c r="R13" s="83"/>
      <c r="S13" s="83"/>
      <c r="T13" s="83"/>
      <c r="U13" s="83"/>
      <c r="V13" s="83"/>
      <c r="W13" s="83"/>
      <c r="X13" s="83"/>
      <c r="Y13" s="83"/>
      <c r="Z13" s="83"/>
      <c r="AA13" s="83"/>
      <c r="AB13" s="83"/>
      <c r="AC13" s="27">
        <f t="shared" ref="AC13:AC20" si="9">SUMIF(AD$12:AS$12,"总值",AD13:AS13)</f>
        <v>24400</v>
      </c>
      <c r="AD13" s="2733"/>
      <c r="AE13" s="2733"/>
      <c r="AF13" s="2733"/>
      <c r="AG13" s="2733"/>
      <c r="AH13" s="2733">
        <v>150</v>
      </c>
      <c r="AI13" s="2733"/>
      <c r="AJ13" s="2733"/>
      <c r="AK13" s="2733"/>
      <c r="AL13" s="2733">
        <v>20</v>
      </c>
      <c r="AM13" s="2733"/>
      <c r="AN13" s="2733">
        <v>24230</v>
      </c>
      <c r="AO13" s="2733"/>
      <c r="AP13" s="2733"/>
      <c r="AQ13" s="2733"/>
      <c r="AR13" s="2733"/>
      <c r="AS13" s="2733"/>
      <c r="AT13" s="2734">
        <v>3430</v>
      </c>
      <c r="AU13" s="2735"/>
      <c r="AV13" s="17">
        <f t="shared" ref="AV13:AX20" si="10">A13</f>
        <v>0</v>
      </c>
      <c r="AW13" s="17">
        <f t="shared" si="10"/>
        <v>0</v>
      </c>
      <c r="AX13" s="17" t="str">
        <f t="shared" si="10"/>
        <v>改规部分</v>
      </c>
      <c r="AY13" s="984">
        <f t="shared" ref="AY13:AY20" si="11">ROUND($AY$6*AZ13/$AZ$5,2)</f>
        <v>44978.48</v>
      </c>
      <c r="AZ13" s="27">
        <f t="shared" ref="AZ13:AZ20" si="12">BA13+BL13</f>
        <v>83857</v>
      </c>
      <c r="BA13" s="27">
        <f t="shared" ref="BA13:BA20" si="13">SUM(BB13:BK13)</f>
        <v>59457</v>
      </c>
      <c r="BB13" s="27">
        <f t="shared" ref="BB13:BB20" si="14">IF($D13="是",I13-J13,0)</f>
        <v>44536</v>
      </c>
      <c r="BC13" s="27">
        <f t="shared" ref="BC13:BC20" si="15">IF($D13="是",K13-L13,0)</f>
        <v>14921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24400</v>
      </c>
      <c r="BM13" s="27">
        <f t="shared" ref="BM13:BM20" si="25">IF($D13="是",AD13-AE13,0)</f>
        <v>0</v>
      </c>
      <c r="BN13" s="27">
        <f t="shared" ref="BN13:BN20" si="26">IF($D13="是",AF13-AG13,0)</f>
        <v>0</v>
      </c>
      <c r="BO13" s="27">
        <f t="shared" ref="BO13:BO20" si="27">IF($D13="是",AH13-AI13,0)</f>
        <v>150</v>
      </c>
      <c r="BP13" s="27">
        <f t="shared" ref="BP13:BP20" si="28">IF($D13="是",AJ13-AK13,0)</f>
        <v>0</v>
      </c>
      <c r="BQ13" s="27">
        <f t="shared" ref="BQ13:BQ20" si="29">IF($D13="是",AL13-AM13,0)</f>
        <v>20</v>
      </c>
      <c r="BR13" s="27">
        <f t="shared" ref="BR13:BR20" si="30">IF($D13="是",AN13-AO13,0)</f>
        <v>24230</v>
      </c>
      <c r="BS13" s="27">
        <f t="shared" ref="BS13:BS20" si="31">IF($D13="是",AP13-AQ13,0)</f>
        <v>0</v>
      </c>
      <c r="BT13" s="36">
        <f t="shared" ref="BT13:BT20" si="32">IF($D13="是",AR13-AS13,0)</f>
        <v>0</v>
      </c>
    </row>
    <row r="14" spans="1:72" s="18" customFormat="1" ht="12.75">
      <c r="A14" s="2725"/>
      <c r="B14" s="2725"/>
      <c r="C14" s="3281"/>
      <c r="D14" s="2726" t="s">
        <v>1669</v>
      </c>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26" t="s">
        <v>0</v>
      </c>
      <c r="B1" s="3826" t="s">
        <v>4</v>
      </c>
      <c r="C1" s="3826" t="s">
        <v>5</v>
      </c>
      <c r="D1" s="3827" t="s">
        <v>40</v>
      </c>
      <c r="E1" s="3827" t="s">
        <v>41</v>
      </c>
      <c r="F1" s="3827"/>
      <c r="G1" s="3827"/>
      <c r="H1" s="3827"/>
      <c r="I1" s="3827"/>
      <c r="J1" s="3827"/>
      <c r="K1" s="3827"/>
      <c r="L1" s="3827"/>
      <c r="M1" s="3827"/>
    </row>
    <row r="2" spans="1:13" ht="27" customHeight="1">
      <c r="A2" s="3826"/>
      <c r="B2" s="3826"/>
      <c r="C2" s="3826"/>
      <c r="D2" s="3827"/>
      <c r="E2" s="3827" t="s">
        <v>24</v>
      </c>
      <c r="F2" s="3827" t="s">
        <v>25</v>
      </c>
      <c r="G2" s="3827"/>
      <c r="H2" s="3827"/>
      <c r="I2" s="3827"/>
      <c r="J2" s="3827" t="s">
        <v>26</v>
      </c>
      <c r="K2" s="3827"/>
      <c r="L2" s="3827"/>
      <c r="M2" s="3827"/>
    </row>
    <row r="3" spans="1:13" ht="28.5">
      <c r="A3" s="3826"/>
      <c r="B3" s="3826"/>
      <c r="C3" s="3826"/>
      <c r="D3" s="3827"/>
      <c r="E3" s="38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27" t="s">
        <v>42</v>
      </c>
      <c r="B9" s="3827"/>
      <c r="C9" s="38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5" zoomScaleNormal="70" zoomScaleSheetLayoutView="85"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837" t="s">
        <v>203</v>
      </c>
      <c r="B2" s="3837"/>
      <c r="C2" s="3837"/>
      <c r="D2" s="1888" t="s">
        <v>204</v>
      </c>
      <c r="E2" s="106" t="s">
        <v>205</v>
      </c>
      <c r="F2" s="3081"/>
      <c r="G2" s="1181"/>
      <c r="H2" s="1182"/>
      <c r="I2" s="1183" t="s">
        <v>849</v>
      </c>
      <c r="J2" s="3081"/>
      <c r="K2" s="3081"/>
      <c r="L2" s="3081"/>
      <c r="M2" s="3081"/>
      <c r="N2" s="3081"/>
      <c r="O2" s="3081"/>
      <c r="P2" s="3081"/>
    </row>
    <row r="3" spans="1:16" ht="15.75" thickBot="1">
      <c r="A3" s="3838" t="s">
        <v>206</v>
      </c>
      <c r="B3" s="3838"/>
      <c r="C3" s="3838"/>
      <c r="D3" s="107">
        <f>'数据-基础表'!AY6</f>
        <v>44978.48</v>
      </c>
      <c r="E3" s="107">
        <f>'数据-基础表'!AZ5</f>
        <v>83857</v>
      </c>
      <c r="F3" s="3081"/>
      <c r="G3" s="278" t="s">
        <v>850</v>
      </c>
      <c r="H3" s="273" t="s">
        <v>851</v>
      </c>
      <c r="I3" s="1889">
        <f>ROUND('数据-基础表'!B3/'数据-基础表'!A3,2)</f>
        <v>1.86</v>
      </c>
      <c r="J3" s="3081"/>
      <c r="K3" s="3081"/>
      <c r="L3" s="3081"/>
      <c r="M3" s="3081"/>
      <c r="N3" s="3081"/>
      <c r="O3" s="3081"/>
      <c r="P3" s="3081"/>
    </row>
    <row r="4" spans="1:16" ht="15">
      <c r="A4" s="3839"/>
      <c r="B4" s="3840"/>
      <c r="C4" s="3841"/>
      <c r="D4" s="108" t="s">
        <v>204</v>
      </c>
      <c r="E4" s="109" t="s">
        <v>205</v>
      </c>
      <c r="F4" s="3081"/>
      <c r="G4" s="1184"/>
      <c r="H4" s="273" t="s">
        <v>852</v>
      </c>
      <c r="I4" s="1889">
        <f>ROUND(SUMIF('数据-基础表'!I9:AS9,"地上",'数据-基础表'!I5:AS5)/'数据-基础表'!A3,2)</f>
        <v>0.99</v>
      </c>
      <c r="J4" s="3081"/>
      <c r="K4" s="3081"/>
      <c r="L4" s="3081"/>
      <c r="M4" s="3081"/>
      <c r="N4" s="3081"/>
      <c r="O4" s="3081"/>
      <c r="P4" s="3081"/>
    </row>
    <row r="5" spans="1:16">
      <c r="A5" s="110" t="s">
        <v>207</v>
      </c>
      <c r="B5" s="3842" t="s">
        <v>230</v>
      </c>
      <c r="C5" s="3842"/>
      <c r="D5" s="111">
        <f>ROUND($D$3*E5/$E$3,2)</f>
        <v>23887.83</v>
      </c>
      <c r="E5" s="112">
        <f>SUMIF('数据-基础表'!$11:$11,"住宅",'数据-基础表'!$5:$5)</f>
        <v>44536</v>
      </c>
      <c r="F5" s="3081"/>
      <c r="G5" s="278" t="s">
        <v>853</v>
      </c>
      <c r="H5" s="273" t="s">
        <v>851</v>
      </c>
      <c r="I5" s="1889">
        <f>ROUND(E31/D31,2)</f>
        <v>1.86</v>
      </c>
      <c r="J5" s="3081"/>
      <c r="K5" s="3081"/>
      <c r="L5" s="3081"/>
      <c r="M5" s="3081"/>
      <c r="N5" s="3081"/>
      <c r="O5" s="3081"/>
      <c r="P5" s="3081"/>
    </row>
    <row r="6" spans="1:16" ht="15" thickBot="1">
      <c r="A6" s="113"/>
      <c r="B6" s="3842" t="s">
        <v>208</v>
      </c>
      <c r="C6" s="3842"/>
      <c r="D6" s="111">
        <f>ROUND($D$3*E6/$E$3,2)</f>
        <v>21090.65</v>
      </c>
      <c r="E6" s="112">
        <f>E3-E5</f>
        <v>39321</v>
      </c>
      <c r="F6" s="3081"/>
      <c r="G6" s="1184"/>
      <c r="H6" s="273" t="s">
        <v>852</v>
      </c>
      <c r="I6" s="1889">
        <f>ROUND(F31/D31,2)</f>
        <v>0.99</v>
      </c>
      <c r="J6" s="3081"/>
      <c r="K6" s="3081"/>
      <c r="L6" s="3081"/>
      <c r="M6" s="3081"/>
      <c r="N6" s="3081"/>
      <c r="O6" s="3081"/>
      <c r="P6" s="3081"/>
    </row>
    <row r="7" spans="1:16" ht="15">
      <c r="A7" s="3834"/>
      <c r="B7" s="3835"/>
      <c r="C7" s="3836"/>
      <c r="D7" s="108" t="s">
        <v>204</v>
      </c>
      <c r="E7" s="114" t="s">
        <v>231</v>
      </c>
      <c r="F7" s="3081"/>
      <c r="G7" s="1139" t="s">
        <v>1636</v>
      </c>
      <c r="H7" s="1140"/>
      <c r="I7" s="1759">
        <v>1</v>
      </c>
      <c r="J7" s="3081"/>
      <c r="K7" s="3081"/>
      <c r="L7" s="3081"/>
      <c r="M7" s="3081"/>
      <c r="N7" s="3081"/>
      <c r="O7" s="3081"/>
      <c r="P7" s="3081"/>
    </row>
    <row r="8" spans="1:16">
      <c r="A8" s="110" t="s">
        <v>209</v>
      </c>
      <c r="B8" s="115" t="s">
        <v>210</v>
      </c>
      <c r="C8" s="111" t="s">
        <v>211</v>
      </c>
      <c r="D8" s="111">
        <f t="shared" ref="D8:D15" si="0">ROUND($D$3*E8/$E$3,2)</f>
        <v>23887.83</v>
      </c>
      <c r="E8" s="116">
        <f>SUMIF('数据-基础表'!BB10:BK10,"地上",'数据-基础表'!BB5:BK5)</f>
        <v>44536</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2322</v>
      </c>
      <c r="D13" s="111">
        <f t="shared" si="0"/>
        <v>8003.19</v>
      </c>
      <c r="E13" s="116">
        <f>SUMPRODUCT(('数据-基础表'!BB10:BK10="地下")*('数据-基础表'!BB11:BK11="车库")*('数据-基础表'!BB5:BK5))</f>
        <v>14921</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31891.02</v>
      </c>
      <c r="E16" s="120">
        <f>SUM(E8:E15)</f>
        <v>59457</v>
      </c>
      <c r="F16" s="3081"/>
      <c r="G16" s="3082"/>
      <c r="H16" s="956" t="s">
        <v>219</v>
      </c>
      <c r="I16" s="957"/>
      <c r="J16" s="1897"/>
      <c r="K16" s="3828" t="s">
        <v>2547</v>
      </c>
      <c r="L16" s="3829"/>
      <c r="M16" s="3829"/>
      <c r="N16" s="3829"/>
      <c r="O16" s="3829"/>
      <c r="P16" s="3830"/>
    </row>
    <row r="17" spans="1:19" ht="15">
      <c r="A17" s="121" t="s">
        <v>216</v>
      </c>
      <c r="B17" s="122" t="s">
        <v>217</v>
      </c>
      <c r="C17" s="2177" t="s">
        <v>2301</v>
      </c>
      <c r="D17" s="108" t="s">
        <v>204</v>
      </c>
      <c r="E17" s="124" t="s">
        <v>205</v>
      </c>
      <c r="F17" s="125"/>
      <c r="G17" s="1319"/>
      <c r="H17" s="958" t="s">
        <v>218</v>
      </c>
      <c r="I17" s="959" t="s">
        <v>2300</v>
      </c>
      <c r="J17" s="1897"/>
      <c r="K17" s="3831" t="s">
        <v>2548</v>
      </c>
      <c r="L17" s="3832"/>
      <c r="M17" s="3833"/>
      <c r="N17" s="3831" t="s">
        <v>2549</v>
      </c>
      <c r="O17" s="3832"/>
      <c r="P17" s="3833"/>
      <c r="R17" s="2178" t="s">
        <v>2299</v>
      </c>
      <c r="S17" s="142"/>
    </row>
    <row r="18" spans="1:19" ht="15">
      <c r="A18" s="117"/>
      <c r="B18" s="128"/>
      <c r="C18" s="129"/>
      <c r="D18" s="2483"/>
      <c r="E18" s="130" t="s">
        <v>220</v>
      </c>
      <c r="F18" s="131" t="s">
        <v>221</v>
      </c>
      <c r="G18" s="1320" t="s">
        <v>222</v>
      </c>
      <c r="H18" s="960" t="s">
        <v>223</v>
      </c>
      <c r="I18" s="961"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6" t="s">
        <v>3020</v>
      </c>
      <c r="D19" s="111">
        <f t="shared" ref="D19:D26" si="1">ROUND($D$3*E19/$E$3,2)</f>
        <v>23887.83</v>
      </c>
      <c r="E19" s="134">
        <f t="shared" ref="E19:E26" si="2">SUM(F19:G19)</f>
        <v>44536</v>
      </c>
      <c r="F19" s="3083">
        <f>'数据-基础表'!I5</f>
        <v>44536</v>
      </c>
      <c r="G19" s="3084"/>
      <c r="H19" s="962">
        <f>ROUND($D$3*I19/$E$3,2)</f>
        <v>9823.2900000000009</v>
      </c>
      <c r="I19" s="116">
        <f>IF($I$17="自定义",P19,M19)</f>
        <v>18314.349999999999</v>
      </c>
      <c r="J19" s="1897"/>
      <c r="K19" s="2451">
        <f t="shared" ref="K19:K26" si="3">ROUND(E$28*E19/E$27,2)</f>
        <v>18164.349999999999</v>
      </c>
      <c r="L19" s="273">
        <f t="shared" ref="L19:L26" si="4">ROUND(IF(COUNTIF(C19,"*住宅*")&gt;0,E$29*E19/E$32,0),2)</f>
        <v>150</v>
      </c>
      <c r="M19" s="2452">
        <f>K19+L19</f>
        <v>18314.349999999999</v>
      </c>
      <c r="N19" s="2453"/>
      <c r="O19" s="2454"/>
      <c r="P19" s="2455">
        <f>N19+O19</f>
        <v>0</v>
      </c>
      <c r="R19" s="273">
        <f t="shared" ref="R19:S26" si="5">D19+H19</f>
        <v>33711.120000000003</v>
      </c>
      <c r="S19" s="2180">
        <f t="shared" si="5"/>
        <v>62850.35</v>
      </c>
    </row>
    <row r="20" spans="1:19">
      <c r="A20" s="137"/>
      <c r="B20" s="115" t="s">
        <v>226</v>
      </c>
      <c r="C20" s="2736" t="s">
        <v>3033</v>
      </c>
      <c r="D20" s="111">
        <f t="shared" si="1"/>
        <v>8003.19</v>
      </c>
      <c r="E20" s="134">
        <f t="shared" si="2"/>
        <v>14921</v>
      </c>
      <c r="F20" s="3083"/>
      <c r="G20" s="3084">
        <f>'数据-基础表'!K5</f>
        <v>14921</v>
      </c>
      <c r="H20" s="962">
        <f t="shared" ref="H20:H26" si="6">ROUND($D$3*I20/$E$3,2)</f>
        <v>3264.17</v>
      </c>
      <c r="I20" s="116">
        <f t="shared" ref="I20:I26" si="7">IF($I$17="自定义",P20,M20)</f>
        <v>6085.65</v>
      </c>
      <c r="J20" s="1897"/>
      <c r="K20" s="2451">
        <f t="shared" si="3"/>
        <v>6085.65</v>
      </c>
      <c r="L20" s="273">
        <f t="shared" si="4"/>
        <v>0</v>
      </c>
      <c r="M20" s="2452">
        <f t="shared" ref="M20:M26" si="8">K20+L20</f>
        <v>6085.65</v>
      </c>
      <c r="N20" s="2453"/>
      <c r="O20" s="2454"/>
      <c r="P20" s="2455">
        <f t="shared" ref="P20:P26" si="9">N20+O20</f>
        <v>0</v>
      </c>
      <c r="R20" s="273">
        <f t="shared" si="5"/>
        <v>11267.36</v>
      </c>
      <c r="S20" s="2180">
        <f t="shared" si="5"/>
        <v>21006.65</v>
      </c>
    </row>
    <row r="21" spans="1:19">
      <c r="A21" s="137"/>
      <c r="B21" s="115" t="s">
        <v>226</v>
      </c>
      <c r="C21" s="2736"/>
      <c r="D21" s="111">
        <f t="shared" si="1"/>
        <v>0</v>
      </c>
      <c r="E21" s="134">
        <f t="shared" si="2"/>
        <v>0</v>
      </c>
      <c r="F21" s="3083"/>
      <c r="G21" s="3084"/>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5"/>
      <c r="G22" s="3086"/>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31891.02</v>
      </c>
      <c r="E27" s="141">
        <f>IF(SUM(E19:E26)='数据-基础表'!BA5,SUM(E19:E26),IF(F27="地上面积有误","面积有误","地下面积有误"))</f>
        <v>59457</v>
      </c>
      <c r="F27" s="134">
        <f>IF(SUM(F19:F26)=E8,SUM(F19:F26),"地上面积有误")</f>
        <v>44536</v>
      </c>
      <c r="G27" s="112">
        <f>SUM(G19:G26)</f>
        <v>14921</v>
      </c>
      <c r="H27" s="963">
        <f>SUM(H19:H26)</f>
        <v>13087.460000000001</v>
      </c>
      <c r="I27" s="964">
        <f>SUM(I19:I26)</f>
        <v>24400</v>
      </c>
      <c r="J27" s="1897"/>
      <c r="K27" s="2460">
        <f>SUM(K19:K26)</f>
        <v>24250</v>
      </c>
      <c r="L27" s="2461">
        <f>SUM(L19:L26)</f>
        <v>150</v>
      </c>
      <c r="M27" s="2462">
        <f>SUM(M19:M26)</f>
        <v>24400</v>
      </c>
      <c r="N27" s="2460">
        <f t="shared" ref="N27:O27" si="10">SUM(N19:N26)</f>
        <v>0</v>
      </c>
      <c r="O27" s="2461">
        <f t="shared" si="10"/>
        <v>0</v>
      </c>
      <c r="P27" s="2463">
        <f>SUM(P19:P26)</f>
        <v>0</v>
      </c>
      <c r="R27" s="2184">
        <f>IF(SUM(R19:R26)=$D$3,SUM(R19:R26),SUM(R19:R26)&amp;"误差"&amp;ROUND(SUM(R19:R26)-$D$3,2))</f>
        <v>44978.48</v>
      </c>
      <c r="S27" s="273">
        <f>IF(SUM(S19:S26)=$E$3,SUM(S19:S26),SUM(S19:S26)&amp;"误差"&amp;ROUND(SUM(S19:S26)-E3,2))</f>
        <v>83857</v>
      </c>
    </row>
    <row r="28" spans="1:19">
      <c r="A28" s="137"/>
      <c r="B28" s="115" t="s">
        <v>227</v>
      </c>
      <c r="C28" s="135" t="s">
        <v>228</v>
      </c>
      <c r="D28" s="111">
        <f>ROUND($D$3*E28/$E$3,2)</f>
        <v>13007</v>
      </c>
      <c r="E28" s="134">
        <f>SUM(F28:G28)</f>
        <v>24250</v>
      </c>
      <c r="F28" s="142">
        <f>'数据-基础表'!BQ5+'数据-基础表'!BS5</f>
        <v>20</v>
      </c>
      <c r="G28" s="143">
        <f>'数据-基础表'!BR5+'数据-基础表'!BT5</f>
        <v>24230</v>
      </c>
      <c r="H28" s="3081"/>
      <c r="I28" s="3081"/>
      <c r="J28" s="3081"/>
      <c r="K28" s="3081"/>
      <c r="L28" s="3081"/>
      <c r="M28" s="3081"/>
      <c r="N28" s="3081"/>
      <c r="O28" s="3081"/>
      <c r="P28" s="3081"/>
    </row>
    <row r="29" spans="1:19">
      <c r="A29" s="137"/>
      <c r="B29" s="115" t="s">
        <v>227</v>
      </c>
      <c r="C29" s="2192" t="s">
        <v>2308</v>
      </c>
      <c r="D29" s="111">
        <f>ROUND($D$3*E29/$E$3,2)</f>
        <v>80.459999999999994</v>
      </c>
      <c r="E29" s="134">
        <f>SUM(F29:G29)</f>
        <v>150</v>
      </c>
      <c r="F29" s="142">
        <f>'数据-基础表'!BM5+'数据-基础表'!BO5</f>
        <v>150</v>
      </c>
      <c r="G29" s="144">
        <f>'数据-基础表'!BN5+'数据-基础表'!BP5</f>
        <v>0</v>
      </c>
      <c r="H29" s="3081"/>
      <c r="I29" s="3081"/>
      <c r="J29" s="3081"/>
      <c r="K29" s="3081"/>
      <c r="L29" s="3081"/>
      <c r="M29" s="3081"/>
      <c r="N29" s="3081"/>
      <c r="O29" s="3081"/>
      <c r="P29" s="3081"/>
    </row>
    <row r="30" spans="1:19">
      <c r="A30" s="137"/>
      <c r="B30" s="111"/>
      <c r="C30" s="145" t="s">
        <v>215</v>
      </c>
      <c r="D30" s="134">
        <f>SUM(D28:D29)</f>
        <v>13087.46</v>
      </c>
      <c r="E30" s="134">
        <f>SUM(E28:E29)</f>
        <v>24400</v>
      </c>
      <c r="F30" s="134">
        <f>SUM(F28:F29)</f>
        <v>170</v>
      </c>
      <c r="G30" s="112">
        <f>SUM(G28:G29)</f>
        <v>24230</v>
      </c>
      <c r="H30" s="3081"/>
      <c r="I30" s="3081"/>
      <c r="J30" s="3081"/>
      <c r="K30" s="3081"/>
      <c r="L30" s="3081"/>
      <c r="M30" s="3081"/>
      <c r="N30" s="3081"/>
      <c r="O30" s="3081"/>
      <c r="P30" s="3081"/>
    </row>
    <row r="31" spans="1:19" ht="32.25" customHeight="1" thickBot="1">
      <c r="A31" s="1321"/>
      <c r="B31" s="1322" t="s">
        <v>229</v>
      </c>
      <c r="C31" s="2209" t="s">
        <v>2310</v>
      </c>
      <c r="D31" s="1323">
        <f>D27+D30</f>
        <v>44978.479999999996</v>
      </c>
      <c r="E31" s="1323">
        <f>E27+E30</f>
        <v>83857</v>
      </c>
      <c r="F31" s="1324">
        <f>F27+F30</f>
        <v>44706</v>
      </c>
      <c r="G31" s="1325">
        <f>G27+G30</f>
        <v>39151</v>
      </c>
      <c r="H31" s="3081"/>
      <c r="I31" s="3081"/>
      <c r="J31" s="3081"/>
      <c r="K31" s="3081"/>
      <c r="L31" s="3081"/>
      <c r="M31" s="3081"/>
      <c r="N31" s="3081"/>
      <c r="O31" s="3081"/>
      <c r="P31" s="3081"/>
    </row>
    <row r="32" spans="1:19">
      <c r="A32" s="1897"/>
      <c r="B32" s="2221" t="s">
        <v>2309</v>
      </c>
      <c r="C32" s="2488"/>
      <c r="D32" s="1184"/>
      <c r="E32" s="1184">
        <f>SUMIF(C19:C26,"*住宅*",E19:E26)</f>
        <v>44536</v>
      </c>
      <c r="F32" s="1184"/>
      <c r="G32" s="1184"/>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G1" sqref="G1:G104857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235</v>
      </c>
      <c r="B2" s="2217">
        <f>项目基本情况!D3</f>
        <v>44232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2806</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2"/>
      <c r="AP5" s="3087" t="s">
        <v>2974</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63688</v>
      </c>
      <c r="F6" s="172">
        <f>SUMIF(项目基本情况!D$15:I$15,C6,项目基本情况!D$19:I$19)</f>
        <v>53.3</v>
      </c>
      <c r="G6" s="173">
        <f>IF(ISERROR(ROUND(POWER(1+H6,D6-F6)*(POWER(1+H6,F6)-1)/(POWER(1+H6,D6)-1),3)),0,ROUND(POWER(1+H6,D6-F6)*(POWER(1+H6,F6)-1)/(POWER(1+H6,D6)-1),3))</f>
        <v>0.95699999999999996</v>
      </c>
      <c r="H6" s="2737">
        <v>0.05</v>
      </c>
      <c r="I6" s="2737">
        <v>5.5E-2</v>
      </c>
      <c r="J6" s="174">
        <v>0.08</v>
      </c>
      <c r="K6" s="177">
        <f>SUMIF('数据-汇总表'!C$19:C$33,'数据-取费表'!A6,'数据-汇总表'!E$19:E$33)</f>
        <v>44536</v>
      </c>
      <c r="L6" s="2738">
        <v>3500</v>
      </c>
      <c r="M6" s="175">
        <f t="shared" ref="M6:M14" si="0">ROUND(K6*L6/10000,0)</f>
        <v>15588</v>
      </c>
      <c r="N6" s="2739">
        <v>0</v>
      </c>
      <c r="O6" s="175">
        <f>IF($N$5="成新度","——",ROUND(M6*N6,0))</f>
        <v>0</v>
      </c>
      <c r="P6" s="176">
        <f>IF($N$5="成新度","——",M6-O6)</f>
        <v>15588</v>
      </c>
      <c r="Q6" s="2740">
        <v>0.2</v>
      </c>
      <c r="R6" s="177">
        <f>SUMIF('数据-汇总表'!C$19:C$33,A6,'数据-汇总表'!R$19:R$33)</f>
        <v>33711.120000000003</v>
      </c>
      <c r="S6" s="132">
        <f>IF('数据-汇总表'!$I$17="按面积比例",SUMIF('数据-汇总表'!C$19:C$33,A6,'数据-汇总表'!K$19:K$33),SUMIF('数据-汇总表'!C$19:C$33,A6,'数据-汇总表'!N$19:N$33))</f>
        <v>18164.349999999999</v>
      </c>
      <c r="T6" s="2113">
        <f>IF($T$4="按面积比例",IF(ISERROR(ROUND($M$14*S6/S$16,0)),"0",ROUND($M$14*S6/S$16,0)),"需自行计算录入")</f>
        <v>6358</v>
      </c>
      <c r="U6" s="178"/>
      <c r="V6" s="179"/>
      <c r="W6" s="179"/>
      <c r="X6" s="2200"/>
      <c r="Y6" s="180"/>
      <c r="Z6" s="181"/>
      <c r="AA6" s="174"/>
      <c r="AB6" s="174"/>
      <c r="AC6" s="2203"/>
      <c r="AD6" s="182"/>
      <c r="AE6" s="960">
        <f ca="1">IF(AN6="",0,SUMIF(INDIRECT("'"&amp;AN6&amp;"'"&amp;"!E:E"),$AE$5,INDIRECT("'"&amp;AN6&amp;"'"&amp;"!F:F")))</f>
        <v>0</v>
      </c>
      <c r="AF6" s="139"/>
      <c r="AG6" s="1196">
        <f>IF(AF6="",0,AE6-AF6)</f>
        <v>0</v>
      </c>
      <c r="AH6" s="139"/>
      <c r="AI6" s="185">
        <v>365</v>
      </c>
      <c r="AJ6" s="186"/>
      <c r="AK6" s="187">
        <v>1.4999999999999999E-2</v>
      </c>
      <c r="AL6" s="188">
        <v>2E-3</v>
      </c>
      <c r="AM6" s="2751">
        <v>0.01</v>
      </c>
      <c r="AN6" s="2246"/>
      <c r="AO6" s="3091"/>
      <c r="AP6" s="1187">
        <f>ROUND(1-1/(1+H6)^F6,3)</f>
        <v>0.92600000000000005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车库</v>
      </c>
      <c r="B7" s="2216" t="str">
        <f t="shared" ref="B7:B13" si="1">IF(A7=0,"","经营性")</f>
        <v>经营性</v>
      </c>
      <c r="C7" s="171" t="s">
        <v>3031</v>
      </c>
      <c r="D7" s="2187">
        <f>SUMIF(项目基本情况!D$15:I$15,C7,项目基本情况!D$18:I$18)</f>
        <v>50</v>
      </c>
      <c r="E7" s="2188">
        <f>IF(B7="","",SUMIF(项目基本情况!D$15:I$15,C7,项目基本情况!D$17:I$17))</f>
        <v>52731</v>
      </c>
      <c r="F7" s="172">
        <f>SUMIF(项目基本情况!D$15:I$15,C7,项目基本情况!D$19:I$19)</f>
        <v>23.28</v>
      </c>
      <c r="G7" s="173">
        <f t="shared" ref="G7:G11" si="2">IF(ISERROR(ROUND(POWER(1+H7,D7-F7)*(POWER(1+H7,F7)-1)/(POWER(1+H7,D7)-1),3)),0,ROUND(POWER(1+H7,D7-F7)*(POWER(1+H7,F7)-1)/(POWER(1+H7,D7)-1),3))</f>
        <v>0.72099999999999997</v>
      </c>
      <c r="H7" s="2737">
        <v>4.4999999999999998E-2</v>
      </c>
      <c r="I7" s="2737">
        <v>0.05</v>
      </c>
      <c r="J7" s="174">
        <v>0.08</v>
      </c>
      <c r="K7" s="177">
        <f>SUMIF('数据-汇总表'!C$19:C$33,'数据-取费表'!A7,'数据-汇总表'!E$19:E$33)</f>
        <v>14921</v>
      </c>
      <c r="L7" s="2738">
        <f>L6</f>
        <v>3500</v>
      </c>
      <c r="M7" s="175">
        <f t="shared" si="0"/>
        <v>5222</v>
      </c>
      <c r="N7" s="2739">
        <v>0</v>
      </c>
      <c r="O7" s="175">
        <f t="shared" ref="O7:O14" si="3">IF($N$5="成新度","——",ROUND(M7*N7,0))</f>
        <v>0</v>
      </c>
      <c r="P7" s="176">
        <f t="shared" ref="P7:P14" si="4">IF($N$5="成新度","——",M7-O7)</f>
        <v>5222</v>
      </c>
      <c r="Q7" s="2740">
        <v>0.05</v>
      </c>
      <c r="R7" s="177">
        <f>SUMIF('数据-汇总表'!C$19:C$33,A7,'数据-汇总表'!R$19:R$33)</f>
        <v>11267.36</v>
      </c>
      <c r="S7" s="132">
        <f>IF('数据-汇总表'!$I$17="按面积比例",SUMIF('数据-汇总表'!C$19:C$33,A7,'数据-汇总表'!K$19:K$33),SUMIF('数据-汇总表'!C$19:C$33,A7,'数据-汇总表'!N$19:N$33))</f>
        <v>6085.65</v>
      </c>
      <c r="T7" s="2113">
        <f t="shared" ref="T7:T13" si="5">IF($T$4="按面积比例",IF(ISERROR(ROUND($M$14*S7/S$16,0)),"0",ROUND($M$14*S7/S$16,0)),"需自行计算录入")</f>
        <v>2130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v>365</v>
      </c>
      <c r="AJ7" s="186"/>
      <c r="AK7" s="187">
        <v>0.01</v>
      </c>
      <c r="AL7" s="188">
        <f>AL6</f>
        <v>2E-3</v>
      </c>
      <c r="AM7" s="2244">
        <v>0.01</v>
      </c>
      <c r="AN7" s="2246"/>
      <c r="AO7" s="3091"/>
      <c r="AP7" s="1187">
        <f t="shared" ref="AP7:AP13" si="8">ROUND(1-1/(1+H7)^F7,3)</f>
        <v>0.64100000000000001</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3">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1"/>
      <c r="AP8" s="1187">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1"/>
      <c r="AP9" s="1187">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24250</v>
      </c>
      <c r="L14" s="191">
        <v>3500</v>
      </c>
      <c r="M14" s="175">
        <f t="shared" si="0"/>
        <v>8488</v>
      </c>
      <c r="N14" s="192">
        <v>0</v>
      </c>
      <c r="O14" s="175">
        <f t="shared" si="3"/>
        <v>0</v>
      </c>
      <c r="P14" s="176">
        <f t="shared" si="4"/>
        <v>8488</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150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0.89800000000000002</v>
      </c>
      <c r="H16" s="201">
        <f>ROUND(SUMPRODUCT(H6:H13,K6:K13)/SUMPRODUCT((H6:H13&gt;0)*(K6:K13)),3)</f>
        <v>4.9000000000000002E-2</v>
      </c>
      <c r="I16" s="202"/>
      <c r="J16" s="202"/>
      <c r="K16" s="203">
        <f>SUM(K6:K15)</f>
        <v>83857</v>
      </c>
      <c r="L16" s="204">
        <f>ROUND(M16*10000/SUM(K6:K14),0)</f>
        <v>3500</v>
      </c>
      <c r="M16" s="204">
        <f>SUM(M6:M14)</f>
        <v>29298</v>
      </c>
      <c r="N16" s="205">
        <f>ROUND(SUMPRODUCT(M6:M14,N6:N14)/M16,3)</f>
        <v>0</v>
      </c>
      <c r="O16" s="204">
        <f>SUM(O6:O14)</f>
        <v>0</v>
      </c>
      <c r="P16" s="204">
        <f>SUM(P6:P14)</f>
        <v>29298</v>
      </c>
      <c r="Q16" s="206">
        <f>ROUND(SUMPRODUCT(Q6:Q13,K6:K13)/SUMPRODUCT((Q6:Q13&gt;0)*(K6:K13)),2)</f>
        <v>0.16</v>
      </c>
      <c r="R16" s="2190">
        <f>SUM(R6:R13)</f>
        <v>44978.48</v>
      </c>
      <c r="S16" s="207">
        <f>SUM(S6:S13)</f>
        <v>24250</v>
      </c>
      <c r="T16" s="208">
        <f>IF(SUMIF(T6:T13,"&lt;9E307")=M14,SUMIF(T6:T13,"&lt;9E307"),"有误，请检查")</f>
        <v>8488</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f>ROUND(SUMPRODUCT(AP6:AP13,K6:K13)/SUMPRODUCT((AP6:AP13&gt;0)*(K6:K13)),3)</f>
        <v>0.85399999999999998</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2986</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2325</v>
      </c>
      <c r="B27" s="225">
        <v>160</v>
      </c>
      <c r="C27" s="3104" t="s">
        <v>2987</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6" t="s">
        <v>2975</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2976</v>
      </c>
      <c r="D34" s="3107" t="s">
        <v>2983</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2977</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2978</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2979</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2979</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8" t="s">
        <v>3003</v>
      </c>
      <c r="B40" s="2333">
        <f ca="1">IF(A40="利息：取LPR",存贷款利率!E2,存贷款利率!E2+C40)</f>
        <v>3.85E-2</v>
      </c>
      <c r="C40" s="3279">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2984</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2980</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2981</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2988</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2980</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2982</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1400</v>
      </c>
      <c r="C53" s="3099" t="s">
        <v>2871</v>
      </c>
      <c r="D53" s="3110" t="s">
        <v>2985</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2872</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2873</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2874</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2875</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2876</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2877</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2878</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2879</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2880</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2881</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843" t="s">
        <v>1654</v>
      </c>
      <c r="B1" s="3844"/>
      <c r="C1" s="3844"/>
      <c r="D1" s="3844"/>
      <c r="E1" s="3844"/>
      <c r="F1" s="3844"/>
      <c r="G1" s="3844"/>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2888</v>
      </c>
      <c r="D3" s="3126"/>
      <c r="E3" s="3127" t="s">
        <v>1657</v>
      </c>
      <c r="F3" s="3128" t="s">
        <v>1645</v>
      </c>
      <c r="G3" s="3129" t="s">
        <v>2887</v>
      </c>
      <c r="H3" s="3122"/>
      <c r="I3" s="3122"/>
      <c r="J3" s="3122"/>
      <c r="K3" s="3122"/>
      <c r="L3" s="3122"/>
      <c r="M3" s="3122"/>
      <c r="N3" s="3122"/>
      <c r="O3" s="3122"/>
      <c r="P3" s="3122"/>
      <c r="Q3" s="3122"/>
      <c r="R3" s="3122"/>
    </row>
    <row r="4" spans="1:18" ht="40.5">
      <c r="A4" s="3127"/>
      <c r="B4" s="3130" t="s">
        <v>1658</v>
      </c>
      <c r="C4" s="3131" t="s">
        <v>2889</v>
      </c>
      <c r="D4" s="3126"/>
      <c r="E4" s="3132"/>
      <c r="F4" s="3133" t="s">
        <v>1659</v>
      </c>
      <c r="G4" s="3134" t="s">
        <v>2884</v>
      </c>
      <c r="H4" s="3122"/>
      <c r="I4" s="3122"/>
      <c r="J4" s="3122"/>
      <c r="K4" s="3122"/>
      <c r="L4" s="3122"/>
      <c r="M4" s="3122"/>
      <c r="N4" s="3122"/>
      <c r="O4" s="3122"/>
      <c r="P4" s="3122"/>
      <c r="Q4" s="3122"/>
      <c r="R4" s="3122"/>
    </row>
    <row r="5" spans="1:18" ht="41.25">
      <c r="A5" s="3127"/>
      <c r="B5" s="3130" t="s">
        <v>1660</v>
      </c>
      <c r="C5" s="3131" t="s">
        <v>2890</v>
      </c>
      <c r="D5" s="3126"/>
      <c r="E5" s="3132"/>
      <c r="F5" s="3130" t="s">
        <v>2527</v>
      </c>
      <c r="G5" s="3134" t="s">
        <v>2885</v>
      </c>
      <c r="H5" s="3122"/>
      <c r="I5" s="3122"/>
      <c r="J5" s="3122"/>
      <c r="K5" s="3122"/>
      <c r="L5" s="3122"/>
      <c r="M5" s="3122"/>
      <c r="N5" s="3122"/>
      <c r="O5" s="3122"/>
      <c r="P5" s="3122"/>
      <c r="Q5" s="3122"/>
      <c r="R5" s="3122"/>
    </row>
    <row r="6" spans="1:18" ht="40.5">
      <c r="A6" s="3127"/>
      <c r="B6" s="3130" t="s">
        <v>1646</v>
      </c>
      <c r="C6" s="3134" t="s">
        <v>2884</v>
      </c>
      <c r="D6" s="3126"/>
      <c r="E6" s="3132"/>
      <c r="F6" s="3130" t="s">
        <v>2528</v>
      </c>
      <c r="G6" s="3134" t="s">
        <v>2882</v>
      </c>
      <c r="H6" s="3122"/>
      <c r="I6" s="3122"/>
      <c r="J6" s="3122"/>
      <c r="K6" s="3122"/>
      <c r="L6" s="3122"/>
      <c r="M6" s="3122"/>
      <c r="N6" s="3122"/>
      <c r="O6" s="3122"/>
      <c r="P6" s="3122"/>
      <c r="Q6" s="3122"/>
      <c r="R6" s="3122"/>
    </row>
    <row r="7" spans="1:18" ht="27.75" thickBot="1">
      <c r="A7" s="3127"/>
      <c r="B7" s="3130" t="s">
        <v>2527</v>
      </c>
      <c r="C7" s="3134" t="s">
        <v>2885</v>
      </c>
      <c r="D7" s="3135"/>
      <c r="E7" s="3136"/>
      <c r="F7" s="3137" t="s">
        <v>1661</v>
      </c>
      <c r="G7" s="3138" t="s">
        <v>2886</v>
      </c>
      <c r="H7" s="3122"/>
      <c r="I7" s="3122"/>
      <c r="J7" s="3122"/>
      <c r="K7" s="3122"/>
      <c r="L7" s="3122"/>
      <c r="M7" s="3122"/>
      <c r="N7" s="3122"/>
      <c r="O7" s="3122"/>
      <c r="P7" s="3122"/>
      <c r="Q7" s="3122"/>
      <c r="R7" s="3122"/>
    </row>
    <row r="8" spans="1:18">
      <c r="A8" s="3127"/>
      <c r="B8" s="3130" t="s">
        <v>2528</v>
      </c>
      <c r="C8" s="3134" t="s">
        <v>2882</v>
      </c>
      <c r="D8" s="3135"/>
      <c r="E8" s="3135"/>
      <c r="F8" s="3139"/>
      <c r="G8" s="3139"/>
      <c r="H8" s="3122"/>
      <c r="I8" s="3122"/>
      <c r="J8" s="3122"/>
      <c r="K8" s="3122"/>
      <c r="L8" s="3122"/>
      <c r="M8" s="3122"/>
      <c r="N8" s="3122"/>
      <c r="O8" s="3122"/>
      <c r="P8" s="3122"/>
      <c r="Q8" s="3122"/>
      <c r="R8" s="3122"/>
    </row>
    <row r="9" spans="1:18" ht="27">
      <c r="A9" s="3127"/>
      <c r="B9" s="3130" t="s">
        <v>1647</v>
      </c>
      <c r="C9" s="3131" t="s">
        <v>2883</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7" sqref="D17"/>
    </sheetView>
  </sheetViews>
  <sheetFormatPr defaultColWidth="14.625" defaultRowHeight="13.5"/>
  <cols>
    <col min="1" max="1" width="24.375" style="3185" customWidth="1"/>
    <col min="2" max="16384" width="14.625" style="3185"/>
  </cols>
  <sheetData>
    <row r="1" spans="1:10" ht="16.5">
      <c r="A1" s="3184" t="s">
        <v>2822</v>
      </c>
      <c r="B1" s="3184">
        <f>SUM(B14:B23)</f>
        <v>97438.94</v>
      </c>
      <c r="C1" s="3193"/>
      <c r="D1" s="3193"/>
      <c r="E1" s="3193"/>
      <c r="F1" s="3193"/>
      <c r="G1" s="3194"/>
      <c r="H1" s="3194"/>
      <c r="I1" s="3194"/>
      <c r="J1" s="3194"/>
    </row>
    <row r="2" spans="1:10" ht="16.5">
      <c r="A2" s="3184" t="s">
        <v>2823</v>
      </c>
      <c r="B2" s="3184">
        <f>SUM(C14:C23)</f>
        <v>55524.930000000008</v>
      </c>
      <c r="C2" s="3193"/>
      <c r="D2" s="3193"/>
      <c r="E2" s="3193"/>
      <c r="F2" s="3193"/>
      <c r="G2" s="3194"/>
      <c r="H2" s="3194"/>
      <c r="I2" s="3194"/>
      <c r="J2" s="3194"/>
    </row>
    <row r="3" spans="1:10" ht="16.5">
      <c r="A3" s="3184" t="s">
        <v>2824</v>
      </c>
      <c r="B3" s="3186">
        <f>项目基本情况!D3</f>
        <v>44232</v>
      </c>
      <c r="C3" s="3193"/>
      <c r="D3" s="3193"/>
      <c r="E3" s="3193"/>
      <c r="F3" s="3193"/>
      <c r="G3" s="3194"/>
      <c r="H3" s="3194"/>
      <c r="I3" s="3194"/>
      <c r="J3" s="3194"/>
    </row>
    <row r="4" spans="1:10" ht="33">
      <c r="A4" s="3184" t="s">
        <v>2825</v>
      </c>
      <c r="B4" s="3184" t="s">
        <v>2826</v>
      </c>
      <c r="C4" s="3184" t="s">
        <v>2827</v>
      </c>
      <c r="D4" s="3184" t="s">
        <v>2828</v>
      </c>
      <c r="E4" s="3193"/>
      <c r="F4" s="3193"/>
      <c r="G4" s="3194"/>
      <c r="H4" s="3194"/>
      <c r="I4" s="3194"/>
      <c r="J4" s="3194"/>
    </row>
    <row r="5" spans="1:10" ht="16.5">
      <c r="A5" s="3184" t="s">
        <v>2829</v>
      </c>
      <c r="B5" s="3184">
        <f ca="1">SUM(D14:D23)</f>
        <v>374585</v>
      </c>
      <c r="C5" s="3184">
        <f ca="1">ROUND(B5*10000/$B$1,0)</f>
        <v>38443</v>
      </c>
      <c r="D5" s="3184">
        <f ca="1">ROUND(B5*10000/$B$2,0)</f>
        <v>67462</v>
      </c>
      <c r="E5" s="3193"/>
      <c r="F5" s="3193"/>
      <c r="G5" s="3194"/>
      <c r="H5" s="3194"/>
      <c r="I5" s="3194"/>
      <c r="J5" s="3194"/>
    </row>
    <row r="6" spans="1:10" ht="16.5">
      <c r="A6" s="3184" t="s">
        <v>2830</v>
      </c>
      <c r="B6" s="3184">
        <f ca="1">SUM(G14:G23)</f>
        <v>374585</v>
      </c>
      <c r="C6" s="3184">
        <f t="shared" ref="C6:C8" ca="1" si="0">ROUND(B6*10000/$B$1,0)</f>
        <v>38443</v>
      </c>
      <c r="D6" s="3184">
        <f t="shared" ref="D6:D8" ca="1" si="1">ROUND(B6*10000/$B$2,0)</f>
        <v>67462</v>
      </c>
      <c r="E6" s="3193"/>
      <c r="F6" s="3193"/>
      <c r="G6" s="3194"/>
      <c r="H6" s="3194"/>
      <c r="I6" s="3194"/>
      <c r="J6" s="3194"/>
    </row>
    <row r="7" spans="1:10" ht="16.5">
      <c r="A7" s="3184" t="s">
        <v>2831</v>
      </c>
      <c r="B7" s="3184">
        <f>SUM(H14:H23)</f>
        <v>0</v>
      </c>
      <c r="C7" s="3184">
        <f t="shared" si="0"/>
        <v>0</v>
      </c>
      <c r="D7" s="3184">
        <f t="shared" si="1"/>
        <v>0</v>
      </c>
      <c r="E7" s="3193"/>
      <c r="F7" s="3193"/>
      <c r="G7" s="3194"/>
      <c r="H7" s="3194"/>
      <c r="I7" s="3194"/>
      <c r="J7" s="3194"/>
    </row>
    <row r="8" spans="1:10" ht="16.5">
      <c r="A8" s="3184" t="s">
        <v>2832</v>
      </c>
      <c r="B8" s="3184">
        <f>SUM(I14:I23)</f>
        <v>0</v>
      </c>
      <c r="C8" s="3184">
        <f t="shared" si="0"/>
        <v>0</v>
      </c>
      <c r="D8" s="3184">
        <f t="shared" si="1"/>
        <v>0</v>
      </c>
      <c r="E8" s="3193"/>
      <c r="F8" s="3193"/>
      <c r="G8" s="3194"/>
      <c r="H8" s="3194"/>
      <c r="I8" s="3194"/>
      <c r="J8" s="3194"/>
    </row>
    <row r="9" spans="1:10" ht="16.5">
      <c r="A9" s="3184" t="s">
        <v>2833</v>
      </c>
      <c r="B9" s="3192"/>
      <c r="C9" s="3193"/>
      <c r="D9" s="3193"/>
      <c r="E9" s="3193"/>
      <c r="F9" s="3193"/>
      <c r="G9" s="3194"/>
      <c r="H9" s="3194"/>
      <c r="I9" s="3194"/>
      <c r="J9" s="3194"/>
    </row>
    <row r="10" spans="1:10" ht="16.5">
      <c r="A10" s="3184" t="s">
        <v>2834</v>
      </c>
      <c r="B10" s="3192"/>
      <c r="C10" s="3193"/>
      <c r="D10" s="3193"/>
      <c r="E10" s="3193"/>
      <c r="F10" s="3193"/>
      <c r="G10" s="3194"/>
      <c r="H10" s="3194"/>
      <c r="I10" s="3194"/>
      <c r="J10" s="3194"/>
    </row>
    <row r="11" spans="1:10" ht="16.5">
      <c r="A11" s="3184" t="s">
        <v>2851</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2850</v>
      </c>
      <c r="B13" s="3188" t="s">
        <v>2822</v>
      </c>
      <c r="C13" s="3188" t="s">
        <v>2823</v>
      </c>
      <c r="D13" s="3188" t="s">
        <v>2835</v>
      </c>
      <c r="E13" s="3184" t="s">
        <v>2849</v>
      </c>
      <c r="F13" s="3184" t="s">
        <v>2828</v>
      </c>
      <c r="G13" s="3188" t="s">
        <v>2836</v>
      </c>
      <c r="H13" s="3188" t="s">
        <v>2837</v>
      </c>
      <c r="I13" s="3188" t="s">
        <v>2838</v>
      </c>
      <c r="J13" s="3194"/>
    </row>
    <row r="14" spans="1:10" ht="16.5">
      <c r="A14" s="3189" t="s">
        <v>2848</v>
      </c>
      <c r="B14" s="3190">
        <f>'数据-基础表'!G13</f>
        <v>87287</v>
      </c>
      <c r="C14" s="3190">
        <f>'数据-基础表'!A3</f>
        <v>44978.48</v>
      </c>
      <c r="D14" s="3190">
        <f ca="1">结果表!C42</f>
        <v>300336</v>
      </c>
      <c r="E14" s="3190">
        <f ca="1">ROUND(D14*10000/B14,0)</f>
        <v>34408</v>
      </c>
      <c r="F14" s="3190">
        <f ca="1">ROUND(D14*10000/C14,0)</f>
        <v>66773</v>
      </c>
      <c r="G14" s="3190">
        <f ca="1">结果表!C44</f>
        <v>300336</v>
      </c>
      <c r="H14" s="3190" t="str">
        <f>结果表!C45</f>
        <v>——</v>
      </c>
      <c r="I14" s="3190" t="str">
        <f>结果表!C46</f>
        <v>——</v>
      </c>
      <c r="J14" s="3194"/>
    </row>
    <row r="15" spans="1:10" ht="16.5">
      <c r="A15" s="3189" t="s">
        <v>2839</v>
      </c>
      <c r="B15" s="3191">
        <f>[4]系统读取表!$B$14</f>
        <v>10151.94</v>
      </c>
      <c r="C15" s="3191">
        <f>[4]系统读取表!$C$14</f>
        <v>10546.45</v>
      </c>
      <c r="D15" s="3191">
        <f ca="1">[4]系统读取表!$D$14</f>
        <v>74249</v>
      </c>
      <c r="E15" s="3190">
        <f t="shared" ref="E15:E23" ca="1" si="2">ROUND(D15*10000/B15,0)</f>
        <v>73138</v>
      </c>
      <c r="F15" s="3190">
        <f t="shared" ref="F15:F23" ca="1" si="3">ROUND(D15*10000/C15,0)</f>
        <v>70402</v>
      </c>
      <c r="G15" s="2756">
        <f ca="1">D15</f>
        <v>74249</v>
      </c>
      <c r="H15" s="2756"/>
      <c r="I15" s="3191"/>
      <c r="J15" s="3194"/>
    </row>
    <row r="16" spans="1:10" ht="16.5">
      <c r="A16" s="3189" t="s">
        <v>2840</v>
      </c>
      <c r="B16" s="3191"/>
      <c r="C16" s="3191"/>
      <c r="D16" s="3191"/>
      <c r="E16" s="3190" t="e">
        <f t="shared" si="2"/>
        <v>#DIV/0!</v>
      </c>
      <c r="F16" s="3190" t="e">
        <f t="shared" si="3"/>
        <v>#DIV/0!</v>
      </c>
      <c r="G16" s="2756"/>
      <c r="H16" s="2756"/>
      <c r="I16" s="3191"/>
      <c r="J16" s="3194"/>
    </row>
    <row r="17" spans="1:10" ht="16.5">
      <c r="A17" s="3189" t="s">
        <v>2841</v>
      </c>
      <c r="B17" s="3191"/>
      <c r="C17" s="3191"/>
      <c r="D17" s="3191"/>
      <c r="E17" s="3190" t="e">
        <f t="shared" si="2"/>
        <v>#DIV/0!</v>
      </c>
      <c r="F17" s="3190" t="e">
        <f t="shared" si="3"/>
        <v>#DIV/0!</v>
      </c>
      <c r="G17" s="2756"/>
      <c r="H17" s="2756"/>
      <c r="I17" s="3191"/>
      <c r="J17" s="3194"/>
    </row>
    <row r="18" spans="1:10" ht="16.5">
      <c r="A18" s="3189" t="s">
        <v>2842</v>
      </c>
      <c r="B18" s="3191"/>
      <c r="C18" s="3191"/>
      <c r="D18" s="3191"/>
      <c r="E18" s="3190" t="e">
        <f t="shared" si="2"/>
        <v>#DIV/0!</v>
      </c>
      <c r="F18" s="3190" t="e">
        <f t="shared" si="3"/>
        <v>#DIV/0!</v>
      </c>
      <c r="G18" s="3191"/>
      <c r="H18" s="3191"/>
      <c r="I18" s="3191"/>
      <c r="J18" s="3194"/>
    </row>
    <row r="19" spans="1:10" ht="16.5">
      <c r="A19" s="3189" t="s">
        <v>2843</v>
      </c>
      <c r="B19" s="3191"/>
      <c r="C19" s="3191"/>
      <c r="D19" s="3191"/>
      <c r="E19" s="3190" t="e">
        <f t="shared" si="2"/>
        <v>#DIV/0!</v>
      </c>
      <c r="F19" s="3190" t="e">
        <f t="shared" si="3"/>
        <v>#DIV/0!</v>
      </c>
      <c r="G19" s="3191"/>
      <c r="H19" s="3191"/>
      <c r="I19" s="3191"/>
      <c r="J19" s="3194"/>
    </row>
    <row r="20" spans="1:10" ht="16.5">
      <c r="A20" s="3189" t="s">
        <v>2844</v>
      </c>
      <c r="B20" s="3191"/>
      <c r="C20" s="3191"/>
      <c r="D20" s="3191"/>
      <c r="E20" s="3190" t="e">
        <f t="shared" si="2"/>
        <v>#DIV/0!</v>
      </c>
      <c r="F20" s="3190" t="e">
        <f t="shared" si="3"/>
        <v>#DIV/0!</v>
      </c>
      <c r="G20" s="3191"/>
      <c r="H20" s="3191"/>
      <c r="I20" s="3191"/>
      <c r="J20" s="3194"/>
    </row>
    <row r="21" spans="1:10" ht="16.5">
      <c r="A21" s="3189" t="s">
        <v>2845</v>
      </c>
      <c r="B21" s="3191"/>
      <c r="C21" s="3191"/>
      <c r="D21" s="3191"/>
      <c r="E21" s="3190" t="e">
        <f t="shared" si="2"/>
        <v>#DIV/0!</v>
      </c>
      <c r="F21" s="3190" t="e">
        <f t="shared" si="3"/>
        <v>#DIV/0!</v>
      </c>
      <c r="G21" s="3191"/>
      <c r="H21" s="3191"/>
      <c r="I21" s="3191"/>
      <c r="J21" s="3194"/>
    </row>
    <row r="22" spans="1:10" ht="16.5">
      <c r="A22" s="3189" t="s">
        <v>2846</v>
      </c>
      <c r="B22" s="3191"/>
      <c r="C22" s="3191"/>
      <c r="D22" s="3191"/>
      <c r="E22" s="3190" t="e">
        <f t="shared" si="2"/>
        <v>#DIV/0!</v>
      </c>
      <c r="F22" s="3190" t="e">
        <f t="shared" si="3"/>
        <v>#DIV/0!</v>
      </c>
      <c r="G22" s="3191"/>
      <c r="H22" s="3191"/>
      <c r="I22" s="3191"/>
      <c r="J22" s="3194"/>
    </row>
    <row r="23" spans="1:10" ht="16.5">
      <c r="A23" s="3189" t="s">
        <v>2847</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SheetLayoutView="85" zoomScalePageLayoutView="80" workbookViewId="0">
      <selection activeCell="C19" sqref="C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889" t="str">
        <f>项目基本情况!K2</f>
        <v>北京市出让国有建设用地使用权</v>
      </c>
      <c r="B2" s="3890"/>
      <c r="C2" s="3891"/>
      <c r="D2" s="3891"/>
      <c r="E2" s="3891"/>
      <c r="F2" s="3891"/>
      <c r="G2" s="3890"/>
      <c r="H2" s="3890"/>
      <c r="I2" s="3892"/>
      <c r="J2" s="1912"/>
      <c r="K2" s="1911"/>
      <c r="L2" s="1911"/>
      <c r="M2" s="1911"/>
      <c r="N2" s="1911"/>
      <c r="O2" s="1911"/>
      <c r="P2" s="1911"/>
      <c r="Q2" s="1911"/>
      <c r="R2" s="1911"/>
      <c r="S2" s="1911"/>
      <c r="T2" s="1911"/>
      <c r="U2" s="1911"/>
      <c r="V2" s="1911"/>
    </row>
    <row r="3" spans="1:22" ht="14.25">
      <c r="A3" s="3882" t="s">
        <v>298</v>
      </c>
      <c r="B3" s="3883"/>
      <c r="C3" s="3883"/>
      <c r="D3" s="3883"/>
      <c r="E3" s="3883"/>
      <c r="F3" s="3883"/>
      <c r="G3" s="3883"/>
      <c r="H3" s="3883"/>
      <c r="I3" s="3883"/>
      <c r="J3" s="1912"/>
      <c r="K3" s="1911"/>
      <c r="L3" s="1911"/>
      <c r="M3" s="1911"/>
      <c r="N3" s="1911"/>
      <c r="O3" s="1911"/>
      <c r="P3" s="1911"/>
      <c r="Q3" s="1911"/>
      <c r="R3" s="1911"/>
      <c r="S3" s="1911"/>
      <c r="T3" s="1911"/>
      <c r="U3" s="1911"/>
      <c r="V3" s="1911"/>
    </row>
    <row r="4" spans="1:22" ht="14.25">
      <c r="A4" s="256" t="s">
        <v>299</v>
      </c>
      <c r="B4" s="257" t="s">
        <v>300</v>
      </c>
      <c r="C4" s="258" t="s">
        <v>3029</v>
      </c>
      <c r="D4" s="258" t="s">
        <v>3030</v>
      </c>
      <c r="E4" s="3848" t="s">
        <v>301</v>
      </c>
      <c r="F4" s="3849"/>
      <c r="G4" s="3849"/>
      <c r="H4" s="3849"/>
      <c r="I4" s="3884"/>
      <c r="J4" s="1912"/>
      <c r="K4" s="1911"/>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847" t="s">
        <v>302</v>
      </c>
      <c r="B5" s="3876">
        <v>25</v>
      </c>
      <c r="C5" s="3874"/>
      <c r="D5" s="3878"/>
      <c r="E5" s="259" t="s">
        <v>303</v>
      </c>
      <c r="F5" s="260"/>
      <c r="G5" s="260"/>
      <c r="H5" s="260"/>
      <c r="I5" s="261"/>
      <c r="J5" s="1912"/>
      <c r="K5" s="1911"/>
      <c r="L5" s="1911"/>
      <c r="M5" s="1911"/>
      <c r="N5" s="1911"/>
      <c r="O5" s="1911"/>
      <c r="P5" s="1911"/>
      <c r="Q5" s="1911"/>
      <c r="R5" s="1911"/>
      <c r="S5" s="1911"/>
      <c r="T5" s="1911"/>
      <c r="U5" s="1911"/>
      <c r="V5" s="1911"/>
    </row>
    <row r="6" spans="1:22" ht="14.25">
      <c r="A6" s="3847"/>
      <c r="B6" s="3876"/>
      <c r="C6" s="3877"/>
      <c r="D6" s="3878"/>
      <c r="E6" s="259" t="s">
        <v>304</v>
      </c>
      <c r="F6" s="260"/>
      <c r="G6" s="260"/>
      <c r="H6" s="260"/>
      <c r="I6" s="261"/>
      <c r="J6" s="1912"/>
      <c r="K6" s="1911"/>
      <c r="L6" s="1911"/>
      <c r="M6" s="1911"/>
      <c r="N6" s="1911"/>
      <c r="O6" s="1911"/>
      <c r="P6" s="1911"/>
      <c r="Q6" s="1911"/>
      <c r="R6" s="1911"/>
      <c r="S6" s="1911"/>
      <c r="T6" s="1911"/>
      <c r="U6" s="1911"/>
      <c r="V6" s="1911"/>
    </row>
    <row r="7" spans="1:22" ht="14.25">
      <c r="A7" s="3847"/>
      <c r="B7" s="3876"/>
      <c r="C7" s="3875"/>
      <c r="D7" s="3878"/>
      <c r="E7" s="259" t="s">
        <v>305</v>
      </c>
      <c r="F7" s="260"/>
      <c r="G7" s="260"/>
      <c r="H7" s="260"/>
      <c r="I7" s="261"/>
      <c r="J7" s="1912"/>
      <c r="K7" s="1911"/>
      <c r="L7" s="1911"/>
      <c r="M7" s="1911"/>
      <c r="N7" s="1911"/>
      <c r="O7" s="1911"/>
      <c r="P7" s="1911"/>
      <c r="Q7" s="1911"/>
      <c r="R7" s="1911"/>
      <c r="S7" s="1911"/>
      <c r="T7" s="1911"/>
      <c r="U7" s="1911"/>
      <c r="V7" s="1911"/>
    </row>
    <row r="8" spans="1:22" ht="14.25">
      <c r="A8" s="3847" t="s">
        <v>306</v>
      </c>
      <c r="B8" s="3876">
        <v>15</v>
      </c>
      <c r="C8" s="3874"/>
      <c r="D8" s="3878"/>
      <c r="E8" s="259" t="s">
        <v>307</v>
      </c>
      <c r="F8" s="260"/>
      <c r="G8" s="260"/>
      <c r="H8" s="260"/>
      <c r="I8" s="261"/>
      <c r="J8" s="1912"/>
      <c r="K8" s="1911"/>
      <c r="L8" s="1911"/>
      <c r="M8" s="1911"/>
      <c r="N8" s="1911"/>
      <c r="O8" s="1911"/>
      <c r="P8" s="1911"/>
      <c r="Q8" s="1911"/>
      <c r="R8" s="1911"/>
      <c r="S8" s="1911"/>
      <c r="T8" s="1911"/>
      <c r="U8" s="1911"/>
      <c r="V8" s="1911"/>
    </row>
    <row r="9" spans="1:22" ht="14.25">
      <c r="A9" s="3847"/>
      <c r="B9" s="3876"/>
      <c r="C9" s="3875"/>
      <c r="D9" s="3878"/>
      <c r="E9" s="259" t="s">
        <v>308</v>
      </c>
      <c r="F9" s="260"/>
      <c r="G9" s="260"/>
      <c r="H9" s="260"/>
      <c r="I9" s="261"/>
      <c r="J9" s="1912"/>
      <c r="K9" s="1911"/>
      <c r="L9" s="1911"/>
      <c r="M9" s="1911"/>
      <c r="N9" s="1911"/>
      <c r="O9" s="1911"/>
      <c r="P9" s="1911"/>
      <c r="Q9" s="1911"/>
      <c r="R9" s="1911"/>
      <c r="S9" s="1911"/>
      <c r="T9" s="1911"/>
      <c r="U9" s="1911"/>
      <c r="V9" s="1911"/>
    </row>
    <row r="10" spans="1:22" ht="14.25">
      <c r="A10" s="3847" t="s">
        <v>309</v>
      </c>
      <c r="B10" s="3876">
        <v>15</v>
      </c>
      <c r="C10" s="3874"/>
      <c r="D10" s="38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847"/>
      <c r="B11" s="3876"/>
      <c r="C11" s="3875"/>
      <c r="D11" s="38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847" t="s">
        <v>312</v>
      </c>
      <c r="B12" s="3876">
        <v>15</v>
      </c>
      <c r="C12" s="3874"/>
      <c r="D12" s="38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847"/>
      <c r="B13" s="3876"/>
      <c r="C13" s="3875"/>
      <c r="D13" s="38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847" t="s">
        <v>315</v>
      </c>
      <c r="B14" s="3876">
        <v>30</v>
      </c>
      <c r="C14" s="3874">
        <v>5</v>
      </c>
      <c r="D14" s="3878">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847"/>
      <c r="B15" s="3876"/>
      <c r="C15" s="3877"/>
      <c r="D15" s="38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847"/>
      <c r="B16" s="3876"/>
      <c r="C16" s="3875"/>
      <c r="D16" s="38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879" t="s">
        <v>2963</v>
      </c>
      <c r="F18" s="3880"/>
      <c r="G18" s="3880"/>
      <c r="H18" s="3880"/>
      <c r="I18" s="388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292495</v>
      </c>
      <c r="D19" s="269">
        <f ca="1">SUMIF(INDIRECT("'"&amp;D4&amp;"'"&amp;"!A:A"),结果表!B19,INDIRECT("'"&amp;D4&amp;"'"&amp;"!B:B"))</f>
        <v>308176</v>
      </c>
      <c r="E19" s="266" t="s">
        <v>323</v>
      </c>
      <c r="F19" s="267" t="s">
        <v>322</v>
      </c>
      <c r="G19" s="270">
        <f ca="1">ROUND(C19*$C$18+D19*$D$18,0)</f>
        <v>300336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34880</v>
      </c>
      <c r="D20" s="275">
        <f ca="1">SUMIF(INDIRECT("'"&amp;D4&amp;"'"&amp;"!A:A"),结果表!B20,INDIRECT("'"&amp;D4&amp;"'"&amp;"!B:B"))</f>
        <v>36750</v>
      </c>
      <c r="E20" s="272"/>
      <c r="F20" s="273" t="s">
        <v>325</v>
      </c>
      <c r="G20" s="276">
        <f ca="1">ROUND(C20*$C$18+D20*$D$18,0)</f>
        <v>35815</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65030</v>
      </c>
      <c r="D21" s="149">
        <f ca="1">SUMIF(INDIRECT("'"&amp;D4&amp;"'"&amp;"!A:A"),结果表!B21,INDIRECT("'"&amp;D4&amp;"'"&amp;"!B:B"))</f>
        <v>68516</v>
      </c>
      <c r="E21" s="272"/>
      <c r="F21" s="278" t="s">
        <v>327</v>
      </c>
      <c r="G21" s="280">
        <f ca="1">ROUND(C21*$C$18+D21*$D$18,0)</f>
        <v>66773</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5.3611172840561272E-2</v>
      </c>
      <c r="E22" s="282"/>
      <c r="F22" s="283"/>
      <c r="G22" s="284">
        <f ca="1">ROUND(G19/('数据-汇总表'!D3/666.67),0)</f>
        <v>4452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8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854"/>
      <c r="B25" s="1275" t="s">
        <v>331</v>
      </c>
      <c r="C25" s="288">
        <f>IF(B30=0,0,C30)</f>
        <v>0</v>
      </c>
      <c r="D25" s="289"/>
      <c r="E25" s="309"/>
      <c r="F25" s="309"/>
      <c r="G25" s="309"/>
      <c r="H25" s="309"/>
      <c r="I25" s="309"/>
      <c r="J25" s="1911"/>
      <c r="K25" s="1209" t="str">
        <f ca="1">项目基本情况!B16&amp;"国有建设用地使用权价格："&amp;O38&amp;"万元"</f>
        <v>出让国有建设用地使用权价格：300336万元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大写金额：人民币叁拾亿零叁佰叁拾陆万元整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单位面积地价：66773元/平方米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楼面地价：35815元/平方米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抵押价格：300336万元</v>
      </c>
      <c r="L29" s="1206"/>
      <c r="M29" s="1206"/>
      <c r="N29" s="1206"/>
      <c r="O29" s="1205"/>
      <c r="P29" s="1911"/>
      <c r="V29" s="1911"/>
    </row>
    <row r="30" spans="1:26" ht="18.75" thickBot="1">
      <c r="A30" s="2799" t="s">
        <v>336</v>
      </c>
      <c r="B30" s="307"/>
      <c r="C30" s="307"/>
      <c r="D30" s="308"/>
      <c r="E30" s="3002" t="s">
        <v>2964</v>
      </c>
      <c r="F30" s="309"/>
      <c r="G30" s="309"/>
      <c r="H30" s="309"/>
      <c r="I30" s="309"/>
      <c r="J30" s="1911"/>
      <c r="K30" s="1212" t="str">
        <f ca="1">IF(K29="——","——","大写金额：人民币"&amp;NUMBERSTRING(INT(O39*10000),2)&amp;"元整")</f>
        <v>大写金额：人民币叁拾亿零叁佰叁拾陆万元整</v>
      </c>
      <c r="L30" s="1206"/>
      <c r="M30" s="1206"/>
      <c r="N30" s="1206"/>
      <c r="O30" s="1205"/>
      <c r="P30" s="1911"/>
      <c r="V30" s="1911"/>
    </row>
    <row r="31" spans="1:26" ht="24" customHeight="1" thickBot="1">
      <c r="A31" s="3881" t="s">
        <v>2965</v>
      </c>
      <c r="B31" s="3881"/>
      <c r="C31" s="3881"/>
      <c r="D31" s="3881"/>
      <c r="E31" s="3881"/>
      <c r="F31" s="3881"/>
      <c r="G31" s="3881"/>
      <c r="H31" s="3881"/>
      <c r="I31" s="38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3" t="s">
        <v>1679</v>
      </c>
      <c r="C32" s="264">
        <f ca="1">G19-C24</f>
        <v>300336</v>
      </c>
      <c r="D32" s="3004"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35815</v>
      </c>
      <c r="D33" s="1333" t="s">
        <v>1682</v>
      </c>
      <c r="E33" s="3853"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1683</v>
      </c>
      <c r="C34" s="262">
        <f ca="1">ROUND(C32*10000/'数据-汇总表'!D3,0)</f>
        <v>66773</v>
      </c>
      <c r="D34" s="1335" t="s">
        <v>1682</v>
      </c>
      <c r="E34" s="389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4452</v>
      </c>
      <c r="D35" s="1338" t="s">
        <v>1684</v>
      </c>
      <c r="E35" s="3898"/>
      <c r="F35" s="299" t="s">
        <v>342</v>
      </c>
      <c r="G35" s="970"/>
      <c r="H35" s="969" t="s">
        <v>343</v>
      </c>
      <c r="I35" s="309"/>
      <c r="J35" s="1911"/>
      <c r="K35" s="3871" t="s">
        <v>350</v>
      </c>
      <c r="L35" s="3871" t="s">
        <v>351</v>
      </c>
      <c r="M35" s="1218" t="s">
        <v>352</v>
      </c>
      <c r="N35" s="3871" t="s">
        <v>353</v>
      </c>
      <c r="O35" s="3871" t="s">
        <v>354</v>
      </c>
      <c r="P35" s="1911"/>
      <c r="V35" s="1911"/>
    </row>
    <row r="36" spans="1:26" ht="16.5" customHeight="1">
      <c r="A36" s="301" t="s">
        <v>344</v>
      </c>
      <c r="B36" s="302" t="s">
        <v>333</v>
      </c>
      <c r="C36" s="303" t="s">
        <v>345</v>
      </c>
      <c r="D36" s="303" t="s">
        <v>346</v>
      </c>
      <c r="E36" s="304" t="s">
        <v>347</v>
      </c>
      <c r="F36" s="309"/>
      <c r="G36" s="309"/>
      <c r="H36" s="309"/>
      <c r="I36" s="309"/>
      <c r="J36" s="1913"/>
      <c r="K36" s="3872"/>
      <c r="L36" s="3872"/>
      <c r="M36" s="1220" t="s">
        <v>355</v>
      </c>
      <c r="N36" s="3872"/>
      <c r="O36" s="3872"/>
      <c r="P36" s="1911"/>
      <c r="V36" s="1911"/>
    </row>
    <row r="37" spans="1:26" ht="16.5" customHeight="1" thickBot="1">
      <c r="A37" s="1214" t="s">
        <v>348</v>
      </c>
      <c r="B37" s="305"/>
      <c r="C37" s="292"/>
      <c r="D37" s="292"/>
      <c r="E37" s="293"/>
      <c r="F37" s="309"/>
      <c r="G37" s="309"/>
      <c r="H37" s="309"/>
      <c r="I37" s="309"/>
      <c r="J37" s="1913"/>
      <c r="K37" s="3873"/>
      <c r="L37" s="3873"/>
      <c r="M37" s="1221"/>
      <c r="N37" s="3873"/>
      <c r="O37" s="3873"/>
      <c r="P37" s="1911"/>
      <c r="V37" s="1911"/>
    </row>
    <row r="38" spans="1:26" ht="16.5" customHeight="1" thickBot="1">
      <c r="A38" s="1214" t="s">
        <v>349</v>
      </c>
      <c r="B38" s="305"/>
      <c r="C38" s="292"/>
      <c r="D38" s="292"/>
      <c r="E38" s="293"/>
      <c r="F38" s="309"/>
      <c r="G38" s="309"/>
      <c r="H38" s="309"/>
      <c r="I38" s="309"/>
      <c r="J38" s="1913"/>
      <c r="K38" s="1222">
        <f>'数据-汇总表'!D3</f>
        <v>44978.48</v>
      </c>
      <c r="L38" s="1223">
        <f>'数据-汇总表'!E3</f>
        <v>83857</v>
      </c>
      <c r="M38" s="1223">
        <f ca="1">C34</f>
        <v>66773</v>
      </c>
      <c r="N38" s="1223">
        <f ca="1">C33</f>
        <v>35815</v>
      </c>
      <c r="O38" s="1224">
        <f ca="1">C32</f>
        <v>300336</v>
      </c>
      <c r="P38" s="1911"/>
      <c r="V38" s="1911"/>
    </row>
    <row r="39" spans="1:26" ht="16.5" customHeight="1" thickBot="1">
      <c r="A39" s="1219"/>
      <c r="B39" s="306"/>
      <c r="C39" s="307"/>
      <c r="D39" s="307"/>
      <c r="E39" s="308"/>
      <c r="F39" s="309"/>
      <c r="G39" s="309"/>
      <c r="H39" s="309"/>
      <c r="I39" s="309"/>
      <c r="J39" s="1913"/>
      <c r="K39" s="3911" t="str">
        <f>MID(A44,3,LEN(A44)-2)</f>
        <v>抵押价格</v>
      </c>
      <c r="L39" s="3912"/>
      <c r="M39" s="3912"/>
      <c r="N39" s="3913"/>
      <c r="O39" s="1340">
        <f ca="1">C44</f>
        <v>300336</v>
      </c>
      <c r="P39" s="1911"/>
      <c r="V39" s="1911"/>
    </row>
    <row r="40" spans="1:26" ht="19.5" thickBot="1">
      <c r="A40" s="104" t="s">
        <v>864</v>
      </c>
      <c r="B40" s="309"/>
      <c r="C40" s="309"/>
      <c r="D40" s="309"/>
      <c r="E40" s="309"/>
      <c r="F40" s="309"/>
      <c r="G40" s="309"/>
      <c r="H40" s="309"/>
      <c r="I40" s="309"/>
      <c r="J40" s="1913"/>
      <c r="K40" s="3911" t="str">
        <f t="shared" ref="K40:K41" si="0">MID(A45,3,LEN(A45)-2)</f>
        <v/>
      </c>
      <c r="L40" s="3912"/>
      <c r="M40" s="3912"/>
      <c r="N40" s="39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911" t="str">
        <f t="shared" si="0"/>
        <v/>
      </c>
      <c r="L41" s="3912"/>
      <c r="M41" s="3912"/>
      <c r="N41" s="3913"/>
      <c r="O41" s="1340" t="str">
        <f>C46</f>
        <v>——</v>
      </c>
      <c r="P41" s="1911"/>
      <c r="V41" s="1911"/>
    </row>
    <row r="42" spans="1:26" ht="29.25">
      <c r="A42" s="3855" t="s">
        <v>2056</v>
      </c>
      <c r="B42" s="3856"/>
      <c r="C42" s="262">
        <f ca="1">C32</f>
        <v>300336</v>
      </c>
      <c r="D42" s="315">
        <f ca="1">C33</f>
        <v>35815</v>
      </c>
      <c r="E42" s="315">
        <f ca="1">C34</f>
        <v>66773</v>
      </c>
      <c r="F42" s="316">
        <f ca="1">C35</f>
        <v>4452</v>
      </c>
      <c r="G42" s="309"/>
      <c r="H42" s="309"/>
      <c r="I42" s="317"/>
      <c r="J42" s="1913"/>
      <c r="K42" s="1225" t="s">
        <v>361</v>
      </c>
      <c r="L42" s="1930" t="s">
        <v>362</v>
      </c>
      <c r="M42" s="1226" t="s">
        <v>363</v>
      </c>
      <c r="N42" s="1931" t="s">
        <v>364</v>
      </c>
      <c r="O42" s="1932" t="s">
        <v>365</v>
      </c>
      <c r="P42" s="1911"/>
      <c r="V42" s="1911"/>
    </row>
    <row r="43" spans="1:26" ht="30">
      <c r="A43" s="3866" t="s">
        <v>2709</v>
      </c>
      <c r="B43" s="3867"/>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292495</v>
      </c>
      <c r="M43" s="1229">
        <f>C18</f>
        <v>0.5</v>
      </c>
      <c r="N43" s="1230">
        <f ca="1">IF(N42="测算结果/万元",G19,G20)</f>
        <v>300336</v>
      </c>
      <c r="O43" s="1231">
        <f ca="1">IF(O42="最终结果/万元",C32,C33)</f>
        <v>300336</v>
      </c>
      <c r="P43" s="1911"/>
      <c r="V43" s="1911"/>
    </row>
    <row r="44" spans="1:26" ht="30.75" thickBot="1">
      <c r="A44" s="3855" t="str">
        <f>IF(OR(项目基本情况!E8="抵押价格",项目基本情况!E8="已注销及未注销"),"3.抵押价格","——")</f>
        <v>3.抵押价格</v>
      </c>
      <c r="B44" s="3856"/>
      <c r="C44" s="262">
        <f ca="1">IF(A44="——","——",C42-C43)</f>
        <v>300336</v>
      </c>
      <c r="D44" s="315">
        <f ca="1">ROUND(C44*10000/'数据-汇总表'!E3,0)</f>
        <v>35815</v>
      </c>
      <c r="E44" s="315">
        <f ca="1">ROUND(C44*10000/'数据-汇总表'!D3,0)</f>
        <v>66773</v>
      </c>
      <c r="F44" s="316">
        <f ca="1">ROUND(C44/('数据-汇总表'!D3/666.67),0)</f>
        <v>4452</v>
      </c>
      <c r="G44" s="309"/>
      <c r="H44" s="309"/>
      <c r="I44" s="317"/>
      <c r="J44" s="1913"/>
      <c r="K44" s="1232" t="str">
        <f>D4</f>
        <v>剩余法-待开发</v>
      </c>
      <c r="L44" s="1233">
        <f ca="1">IF(L42="估价结果/万元",D19,D20)</f>
        <v>308176</v>
      </c>
      <c r="M44" s="1234">
        <f>D18</f>
        <v>0.5</v>
      </c>
      <c r="N44" s="1235"/>
      <c r="O44" s="1236"/>
      <c r="P44" s="1911"/>
      <c r="V44" s="1911"/>
    </row>
    <row r="45" spans="1:26" ht="15">
      <c r="A45" s="3861" t="str">
        <f>IF(项目基本情况!E8="已注销及未注销","4.抵押担保权已注销时的抵押价格",IF(项目基本情况!E8="已注销","3.抵押担保权已注销时的抵押价格","——"))</f>
        <v>——</v>
      </c>
      <c r="B45" s="38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857" t="str">
        <f>IF(项目基本情况!E9="抵押净值",IF(A45="——","4.抵押净值","5.抵押净值"),"——")</f>
        <v>——</v>
      </c>
      <c r="B46" s="38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905" t="s">
        <v>374</v>
      </c>
      <c r="B63" s="3906"/>
      <c r="C63" s="3907"/>
      <c r="D63" s="339">
        <f ca="1">ROUND(C42*F63,0)</f>
        <v>300336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863" t="s">
        <v>378</v>
      </c>
      <c r="B64" s="3864"/>
      <c r="C64" s="3864"/>
      <c r="D64" s="3864"/>
      <c r="E64" s="3864"/>
      <c r="F64" s="3864"/>
      <c r="G64" s="3865"/>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859" t="s">
        <v>386</v>
      </c>
      <c r="B66" s="3860"/>
      <c r="C66" s="3860"/>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920" t="s">
        <v>385</v>
      </c>
      <c r="M66" s="3921"/>
      <c r="N66" s="2312"/>
      <c r="O66" s="2313"/>
      <c r="P66" s="2314"/>
      <c r="Q66" s="1911"/>
      <c r="R66" s="1911"/>
      <c r="S66" s="1911"/>
      <c r="T66" s="1911"/>
      <c r="U66" s="1911"/>
      <c r="V66" s="1911"/>
    </row>
    <row r="67" spans="1:22" ht="25.5" customHeight="1">
      <c r="A67" s="350" t="s">
        <v>389</v>
      </c>
      <c r="B67" s="3850" t="s">
        <v>390</v>
      </c>
      <c r="C67" s="3850"/>
      <c r="D67" s="351">
        <v>0</v>
      </c>
      <c r="E67" s="41" t="s">
        <v>391</v>
      </c>
      <c r="F67" s="62" t="s">
        <v>21</v>
      </c>
      <c r="G67" s="3908"/>
      <c r="H67" s="3005" t="s">
        <v>2966</v>
      </c>
      <c r="I67" s="3007"/>
      <c r="J67" s="1918"/>
      <c r="K67" s="1890">
        <v>2</v>
      </c>
      <c r="L67" s="3914" t="s">
        <v>388</v>
      </c>
      <c r="M67" s="3914"/>
      <c r="N67" s="1279">
        <f>'数据-取费表'!B2</f>
        <v>44232</v>
      </c>
      <c r="O67" s="1279"/>
      <c r="P67" s="1279"/>
      <c r="Q67" s="1911"/>
      <c r="R67" s="1911"/>
      <c r="S67" s="1911"/>
      <c r="T67" s="1911"/>
      <c r="U67" s="1911"/>
      <c r="V67" s="1911"/>
    </row>
    <row r="68" spans="1:22" ht="25.5" customHeight="1">
      <c r="A68" s="352"/>
      <c r="B68" s="3850" t="s">
        <v>393</v>
      </c>
      <c r="C68" s="3850"/>
      <c r="D68" s="353"/>
      <c r="E68" s="77"/>
      <c r="F68" s="354"/>
      <c r="G68" s="3909"/>
      <c r="H68" s="3006" t="s">
        <v>2967</v>
      </c>
      <c r="I68" s="3007"/>
      <c r="J68" s="1918"/>
      <c r="K68" s="1890">
        <v>3</v>
      </c>
      <c r="L68" s="3914" t="s">
        <v>392</v>
      </c>
      <c r="M68" s="3914"/>
      <c r="N68" s="1247">
        <f ca="1">C42</f>
        <v>300336</v>
      </c>
      <c r="O68" s="1247"/>
      <c r="P68" s="1247"/>
      <c r="Q68" s="1911"/>
      <c r="R68" s="1911"/>
      <c r="S68" s="1911"/>
      <c r="T68" s="1911"/>
      <c r="U68" s="1911"/>
      <c r="V68" s="1911"/>
    </row>
    <row r="69" spans="1:22" ht="23.45" customHeight="1">
      <c r="A69" s="355"/>
      <c r="B69" s="3850" t="s">
        <v>394</v>
      </c>
      <c r="C69" s="3850"/>
      <c r="D69" s="356"/>
      <c r="E69" s="73"/>
      <c r="F69" s="354"/>
      <c r="G69" s="3910"/>
      <c r="H69" s="3006" t="s">
        <v>2968</v>
      </c>
      <c r="I69" s="3007"/>
      <c r="J69" s="1918"/>
      <c r="K69" s="1248">
        <v>4</v>
      </c>
      <c r="L69" s="3924" t="s">
        <v>2861</v>
      </c>
      <c r="M69" s="3925"/>
      <c r="N69" s="1249">
        <f ca="1">C44</f>
        <v>300336</v>
      </c>
      <c r="O69" s="1249"/>
      <c r="P69" s="1249"/>
      <c r="Q69" s="1911"/>
      <c r="R69" s="1911"/>
      <c r="S69" s="1911"/>
      <c r="T69" s="1911"/>
      <c r="U69" s="1911"/>
      <c r="V69" s="1911"/>
    </row>
    <row r="70" spans="1:22" ht="24" customHeight="1">
      <c r="A70" s="357" t="s">
        <v>395</v>
      </c>
      <c r="B70" s="3850" t="s">
        <v>396</v>
      </c>
      <c r="C70" s="3850"/>
      <c r="D70" s="356">
        <f ca="1">ROUND(D63*'数据-取费表'!B41/(1+'数据-取费表'!C42),0)</f>
        <v>16018</v>
      </c>
      <c r="E70" s="17" t="s">
        <v>397</v>
      </c>
      <c r="F70" s="358">
        <f>'数据-取费表'!B41</f>
        <v>5.6000000000000001E-2</v>
      </c>
      <c r="G70" s="359"/>
      <c r="H70" s="309"/>
      <c r="I70" s="1246"/>
      <c r="J70" s="1918"/>
      <c r="K70" s="2764"/>
      <c r="L70" s="2765"/>
      <c r="M70" s="2765"/>
      <c r="N70" s="2766" t="s">
        <v>2865</v>
      </c>
      <c r="O70" s="2765"/>
      <c r="P70" s="2767"/>
      <c r="Q70" s="1911"/>
      <c r="R70" s="1911"/>
      <c r="S70" s="1911"/>
      <c r="T70" s="1911"/>
      <c r="U70" s="1911"/>
      <c r="V70" s="1911"/>
    </row>
    <row r="71" spans="1:22" ht="12" customHeight="1">
      <c r="A71" s="357" t="s">
        <v>403</v>
      </c>
      <c r="B71" s="3851" t="s">
        <v>2997</v>
      </c>
      <c r="C71" s="3852"/>
      <c r="D71" s="356">
        <f ca="1">ROUND(D63*'数据-取费表'!B41/(1+'数据-取费表'!C42),0)</f>
        <v>16018</v>
      </c>
      <c r="E71" s="17" t="s">
        <v>397</v>
      </c>
      <c r="F71" s="358">
        <f>'数据-取费表'!B41</f>
        <v>5.6000000000000001E-2</v>
      </c>
      <c r="G71" s="359"/>
      <c r="H71" s="309"/>
      <c r="I71" s="1246"/>
      <c r="J71" s="1918"/>
      <c r="K71" s="2763" t="s">
        <v>398</v>
      </c>
      <c r="L71" s="3926" t="s">
        <v>399</v>
      </c>
      <c r="M71" s="3926"/>
      <c r="N71" s="2763" t="s">
        <v>400</v>
      </c>
      <c r="O71" s="2763" t="s">
        <v>401</v>
      </c>
      <c r="P71" s="2763" t="s">
        <v>402</v>
      </c>
      <c r="Q71" s="1911"/>
      <c r="R71" s="1911"/>
      <c r="S71" s="1911"/>
      <c r="T71" s="1911"/>
      <c r="U71" s="1911"/>
      <c r="V71" s="1911"/>
    </row>
    <row r="72" spans="1:22" ht="12" customHeight="1">
      <c r="A72" s="357" t="s">
        <v>405</v>
      </c>
      <c r="B72" s="3851" t="s">
        <v>2998</v>
      </c>
      <c r="C72" s="3852"/>
      <c r="D72" s="356">
        <f ca="1">C86</f>
        <v>16018</v>
      </c>
      <c r="E72" s="73" t="s">
        <v>406</v>
      </c>
      <c r="F72" s="358">
        <f>'数据-取费表'!B41</f>
        <v>5.6000000000000001E-2</v>
      </c>
      <c r="G72" s="359"/>
      <c r="H72" s="1252"/>
      <c r="I72" s="1246"/>
      <c r="J72" s="1918"/>
      <c r="K72" s="1890">
        <v>1</v>
      </c>
      <c r="L72" s="3901" t="s">
        <v>404</v>
      </c>
      <c r="M72" s="3901"/>
      <c r="N72" s="1250" t="b">
        <f>D66</f>
        <v>0</v>
      </c>
      <c r="O72" s="1773" t="str">
        <f>E66</f>
        <v>销售额×税（费）率</v>
      </c>
      <c r="P72" s="1251">
        <f>F66</f>
        <v>5.6000000000000001E-2</v>
      </c>
      <c r="Q72" s="1911"/>
      <c r="R72" s="1911"/>
      <c r="S72" s="1911"/>
      <c r="T72" s="1911"/>
      <c r="U72" s="1911"/>
      <c r="V72" s="1911"/>
    </row>
    <row r="73" spans="1:22" ht="24" customHeight="1">
      <c r="A73" s="3896" t="s">
        <v>408</v>
      </c>
      <c r="B73" s="3860"/>
      <c r="C73" s="3860"/>
      <c r="D73" s="360">
        <f ca="1">IF(H73="个人住宅",0,ROUND(D63*I73,0))</f>
        <v>150</v>
      </c>
      <c r="E73" s="17" t="s">
        <v>409</v>
      </c>
      <c r="F73" s="358" t="str">
        <f>IF(H73="正常",I73,"免征")</f>
        <v>免征</v>
      </c>
      <c r="G73" s="359"/>
      <c r="H73" s="189"/>
      <c r="I73" s="358">
        <f>'数据-取费表'!B49</f>
        <v>5.0000000000000001E-4</v>
      </c>
      <c r="J73" s="1918"/>
      <c r="K73" s="1890">
        <v>2</v>
      </c>
      <c r="L73" s="3901" t="s">
        <v>407</v>
      </c>
      <c r="M73" s="3901"/>
      <c r="N73" s="1250">
        <f t="shared" ref="N73:P74" ca="1" si="1">D73</f>
        <v>150</v>
      </c>
      <c r="O73" s="1773" t="str">
        <f t="shared" si="1"/>
        <v>销售额×税（费）率</v>
      </c>
      <c r="P73" s="1251" t="str">
        <f t="shared" si="1"/>
        <v>免征</v>
      </c>
      <c r="Q73" s="1911"/>
      <c r="R73" s="1911"/>
      <c r="S73" s="1911"/>
      <c r="T73" s="1911"/>
      <c r="U73" s="1911"/>
      <c r="V73" s="1911"/>
    </row>
    <row r="74" spans="1:22" ht="24.75">
      <c r="A74" s="3896" t="s">
        <v>411</v>
      </c>
      <c r="B74" s="3860"/>
      <c r="C74" s="3860"/>
      <c r="D74" s="360">
        <f ca="1">IF(H74="个人住宅",D75,D76)</f>
        <v>169990</v>
      </c>
      <c r="E74" s="17" t="s">
        <v>412</v>
      </c>
      <c r="F74" s="358" t="str">
        <f>IF(H74="正常",F76,"免征")</f>
        <v>免征</v>
      </c>
      <c r="G74" s="971" t="s">
        <v>413</v>
      </c>
      <c r="H74" s="361"/>
      <c r="I74" s="42"/>
      <c r="J74" s="1918"/>
      <c r="K74" s="1890">
        <v>3</v>
      </c>
      <c r="L74" s="3901" t="s">
        <v>410</v>
      </c>
      <c r="M74" s="3901"/>
      <c r="N74" s="1250">
        <f t="shared" ca="1" si="1"/>
        <v>169990</v>
      </c>
      <c r="O74" s="1773" t="str">
        <f t="shared" si="1"/>
        <v>增值额×税（费）率</v>
      </c>
      <c r="P74" s="1253" t="str">
        <f t="shared" si="1"/>
        <v>免征</v>
      </c>
      <c r="Q74" s="1911"/>
      <c r="R74" s="1911"/>
      <c r="S74" s="1911"/>
      <c r="T74" s="1911"/>
      <c r="U74" s="1911"/>
      <c r="V74" s="1911"/>
    </row>
    <row r="75" spans="1:22" ht="12.75">
      <c r="A75" s="357" t="s">
        <v>414</v>
      </c>
      <c r="B75" s="3848" t="s">
        <v>415</v>
      </c>
      <c r="C75" s="3884"/>
      <c r="D75" s="362">
        <v>0</v>
      </c>
      <c r="E75" s="41" t="s">
        <v>416</v>
      </c>
      <c r="F75" s="363"/>
      <c r="G75" s="359"/>
      <c r="H75" s="42"/>
      <c r="I75" s="42"/>
      <c r="J75" s="1918"/>
      <c r="K75" s="2757">
        <f>IF(H77="非个人房产","",4)</f>
        <v>4</v>
      </c>
      <c r="L75" s="3901" t="str">
        <f>IF(H77="非个人房产","——","个人所得税")</f>
        <v>个人所得税</v>
      </c>
      <c r="M75" s="3901"/>
      <c r="N75" s="1254">
        <f>D77</f>
        <v>0</v>
      </c>
      <c r="O75" s="1786" t="str">
        <f>E77</f>
        <v>差额计税</v>
      </c>
      <c r="P75" s="1255">
        <f>F77</f>
        <v>0.01</v>
      </c>
      <c r="Q75" s="1911"/>
      <c r="R75" s="1911"/>
      <c r="S75" s="1911"/>
      <c r="T75" s="1911"/>
      <c r="U75" s="1911"/>
      <c r="V75" s="1911"/>
    </row>
    <row r="76" spans="1:22" ht="24.75">
      <c r="A76" s="357" t="s">
        <v>395</v>
      </c>
      <c r="B76" s="3848" t="s">
        <v>418</v>
      </c>
      <c r="C76" s="3849"/>
      <c r="D76" s="360">
        <f ca="1">IF(H76="转让取得",C99,C115)</f>
        <v>169990</v>
      </c>
      <c r="E76" s="17" t="s">
        <v>419</v>
      </c>
      <c r="F76" s="53" t="s">
        <v>21</v>
      </c>
      <c r="G76" s="359"/>
      <c r="H76" s="361"/>
      <c r="I76" s="42"/>
      <c r="J76" s="1918"/>
      <c r="K76" s="2757" t="str">
        <f>IF(项目基本情况!K6="上海银行",IF(K75="",4,K75+1),"")</f>
        <v/>
      </c>
      <c r="L76" s="3916" t="str">
        <f>IF(项目基本情况!K6="上海银行","其他处置费用","")</f>
        <v/>
      </c>
      <c r="M76" s="3917"/>
      <c r="N76" s="1250" t="str">
        <f>IF(项目基本情况!K6="上海银行",N89,"")</f>
        <v/>
      </c>
      <c r="O76" s="3918" t="str">
        <f>IF(项目基本情况!K6="上海银行","包含处置中涉及的律师、诉讼、拍卖、评估等费用","")</f>
        <v/>
      </c>
      <c r="P76" s="3919"/>
      <c r="Q76" s="1911"/>
      <c r="R76" s="1911"/>
      <c r="S76" s="1911"/>
      <c r="T76" s="1911"/>
      <c r="U76" s="1911"/>
      <c r="V76" s="1911"/>
    </row>
    <row r="77" spans="1:22" ht="24.75" thickBot="1">
      <c r="A77" s="3903" t="s">
        <v>421</v>
      </c>
      <c r="B77" s="3904"/>
      <c r="C77" s="3904"/>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413</v>
      </c>
      <c r="H77" s="3009"/>
      <c r="I77" s="3008" t="s">
        <v>2969</v>
      </c>
      <c r="J77" s="1918"/>
      <c r="K77" s="3902">
        <f>IF(AND(K75="",K76=""),4,IF(项目基本情况!K6="上海银行",K76+1,K75+1))</f>
        <v>5</v>
      </c>
      <c r="L77" s="3901" t="s">
        <v>2862</v>
      </c>
      <c r="M77" s="2762" t="s">
        <v>417</v>
      </c>
      <c r="N77" s="1256"/>
      <c r="O77" s="1257">
        <f ca="1">SUMIF(N72:N76,"&lt;9e307")</f>
        <v>170140</v>
      </c>
      <c r="P77" s="1258"/>
      <c r="Q77" s="2760">
        <f ca="1">O77/N69</f>
        <v>0.56649885461616323</v>
      </c>
      <c r="R77" s="1911"/>
      <c r="S77" s="1911"/>
      <c r="T77" s="1911"/>
      <c r="U77" s="1911"/>
      <c r="V77" s="1911"/>
    </row>
    <row r="78" spans="1:22" ht="12" customHeight="1">
      <c r="A78" s="1259"/>
      <c r="B78" s="309"/>
      <c r="C78" s="309"/>
      <c r="D78" s="309"/>
      <c r="E78" s="42"/>
      <c r="F78" s="42"/>
      <c r="G78" s="42"/>
      <c r="H78" s="991"/>
      <c r="I78" s="309"/>
      <c r="J78" s="1918"/>
      <c r="K78" s="3902"/>
      <c r="L78" s="3901"/>
      <c r="M78" s="2762" t="s">
        <v>420</v>
      </c>
      <c r="N78" s="1256"/>
      <c r="O78" s="1257" t="str">
        <f ca="1">NUMBERSTRING(INT(O77*10000),2)&amp;"元整"</f>
        <v>壹拾柒亿零壹佰肆拾万元整</v>
      </c>
      <c r="P78" s="1258"/>
      <c r="Q78" s="1911"/>
      <c r="R78" s="1911"/>
      <c r="S78" s="1911"/>
      <c r="T78" s="1911"/>
      <c r="U78" s="1911"/>
      <c r="V78" s="1911"/>
    </row>
    <row r="79" spans="1:22" ht="13.5" thickBot="1">
      <c r="A79" s="3868" t="s">
        <v>422</v>
      </c>
      <c r="B79" s="3868"/>
      <c r="C79" s="3868"/>
      <c r="D79" s="3868"/>
      <c r="E79" s="3868"/>
      <c r="F79" s="42"/>
      <c r="G79" s="42"/>
      <c r="H79" s="991"/>
      <c r="I79" s="309"/>
      <c r="J79" s="1918"/>
      <c r="K79" s="3922">
        <f>K77+1</f>
        <v>6</v>
      </c>
      <c r="L79" s="3901" t="s">
        <v>2863</v>
      </c>
      <c r="M79" s="2762" t="s">
        <v>417</v>
      </c>
      <c r="N79" s="1256"/>
      <c r="O79" s="1257">
        <f ca="1">N69-O77</f>
        <v>130196</v>
      </c>
      <c r="P79" s="1258"/>
      <c r="Q79" s="1911"/>
      <c r="R79" s="1911"/>
      <c r="S79" s="1911"/>
      <c r="T79" s="1911"/>
      <c r="U79" s="1911"/>
      <c r="V79" s="1911"/>
    </row>
    <row r="80" spans="1:22" ht="25.5">
      <c r="A80" s="3869" t="s">
        <v>423</v>
      </c>
      <c r="B80" s="3870"/>
      <c r="C80" s="982"/>
      <c r="D80" s="982" t="s">
        <v>424</v>
      </c>
      <c r="E80" s="364" t="s">
        <v>425</v>
      </c>
      <c r="F80" s="42"/>
      <c r="G80" s="42"/>
      <c r="H80" s="991"/>
      <c r="I80" s="309"/>
      <c r="J80" s="1911"/>
      <c r="K80" s="3923"/>
      <c r="L80" s="3901"/>
      <c r="M80" s="2762" t="s">
        <v>420</v>
      </c>
      <c r="N80" s="1256"/>
      <c r="O80" s="1257" t="str">
        <f ca="1">NUMBERSTRING(INT(O79*10000),2)&amp;"元整"</f>
        <v>壹拾叁亿零壹佰玖拾陆万元整</v>
      </c>
      <c r="P80" s="1258"/>
      <c r="Q80" s="1911"/>
      <c r="R80" s="1911"/>
      <c r="S80" s="1911"/>
      <c r="T80" s="1911"/>
      <c r="U80" s="1911"/>
      <c r="V80" s="1911"/>
    </row>
    <row r="81" spans="1:26" ht="13.5" thickBot="1">
      <c r="A81" s="375" t="s">
        <v>1814</v>
      </c>
      <c r="B81" s="365" t="s">
        <v>426</v>
      </c>
      <c r="C81" s="366">
        <f ca="1">ROUND((C82+C83)/(1+'数据-取费表'!C42),0)</f>
        <v>286034</v>
      </c>
      <c r="D81" s="367"/>
      <c r="E81" s="368"/>
      <c r="F81" s="42"/>
      <c r="G81" s="42"/>
      <c r="H81" s="991"/>
      <c r="I81" s="309"/>
      <c r="J81" s="1911"/>
      <c r="K81" s="2757">
        <f>K79+1</f>
        <v>7</v>
      </c>
      <c r="L81" s="3899" t="s">
        <v>2864</v>
      </c>
      <c r="M81" s="3900"/>
      <c r="N81" s="1260"/>
      <c r="O81" s="1261">
        <f ca="1">ROUND(O79*10000/'数据-汇总表'!E3,0)</f>
        <v>15526</v>
      </c>
      <c r="P81" s="1262"/>
      <c r="Q81" s="1911"/>
      <c r="R81" s="1911"/>
      <c r="S81" s="1911"/>
      <c r="T81" s="1911"/>
      <c r="U81" s="1911"/>
      <c r="V81" s="1911"/>
    </row>
    <row r="82" spans="1:26" ht="13.5" thickTop="1">
      <c r="A82" s="369" t="s">
        <v>1815</v>
      </c>
      <c r="B82" s="370" t="s">
        <v>427</v>
      </c>
      <c r="C82" s="371">
        <f ca="1">D63</f>
        <v>300336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915" t="s">
        <v>2852</v>
      </c>
      <c r="L83" s="2768" t="s">
        <v>2853</v>
      </c>
      <c r="M83" s="2758">
        <f ca="1">IF(N69&gt;10000,N69*0.5%,IF(AND(N69&gt;1000,N69&lt;=10000),N69*1%,IF(AND(N69&gt;100,N69&lt;=1000),N69*3%,IF(AND(N69&gt;10,N69&lt;=100),N69*5%,N69*8%))))</f>
        <v>1501.68</v>
      </c>
      <c r="N83" s="53">
        <f ca="1">ROUND(M83,1)</f>
        <v>1501.7</v>
      </c>
      <c r="O83" s="2761"/>
      <c r="P83" s="1911"/>
      <c r="Q83" s="1911"/>
      <c r="R83" s="1911"/>
      <c r="S83" s="1911"/>
      <c r="T83" s="1911"/>
      <c r="U83" s="1911"/>
      <c r="V83" s="1911"/>
    </row>
    <row r="84" spans="1:26" ht="12.75">
      <c r="A84" s="375" t="s">
        <v>1817</v>
      </c>
      <c r="B84" s="376" t="s">
        <v>429</v>
      </c>
      <c r="C84" s="377"/>
      <c r="D84" s="378" t="s">
        <v>19</v>
      </c>
      <c r="E84" s="2786" t="s">
        <v>2907</v>
      </c>
      <c r="F84" s="42"/>
      <c r="G84" s="42"/>
      <c r="H84" s="991"/>
      <c r="I84" s="309"/>
      <c r="J84" s="1911"/>
      <c r="K84" s="3915"/>
      <c r="L84" s="2768" t="s">
        <v>2854</v>
      </c>
      <c r="M84" s="2758">
        <f ca="1">IF(N69&gt;2000,N69*0.5%,IF(AND(N69&gt;1000,N69&lt;=2000),N69*0.6%,IF(AND(N69&gt;500,N69&lt;=1000),N69*0.7%,IF(AND(N69&gt;200,N69&lt;=500),N69*0.8%,IF(AND(N69&gt;100,N69&lt;=200),N69*0.9%,IF(AND(N69&gt;50,N69&lt;=100),N69*1%,IF(AND(N69&gt;20,N69&lt;=50),N69*1.5%,IF(AND(N69&gt;10,N69&lt;=20),N69*2%,IF(AND(N69&gt;1,N69&lt;=10),N69*2.5%)))))))))</f>
        <v>1501.68</v>
      </c>
      <c r="N84" s="53">
        <f t="shared" ref="N84:N85" ca="1" si="2">ROUND(M84,1)</f>
        <v>1501.7</v>
      </c>
      <c r="O84" s="1911" t="s">
        <v>2855</v>
      </c>
      <c r="P84" s="1911"/>
      <c r="Q84" s="1911"/>
      <c r="R84" s="1911"/>
      <c r="S84" s="1911"/>
      <c r="T84" s="1911"/>
      <c r="U84" s="1911"/>
      <c r="V84" s="1911"/>
    </row>
    <row r="85" spans="1:26" ht="12.75">
      <c r="A85" s="375" t="s">
        <v>1818</v>
      </c>
      <c r="B85" s="376" t="s">
        <v>430</v>
      </c>
      <c r="C85" s="379">
        <f ca="1">C81-C84</f>
        <v>286034</v>
      </c>
      <c r="D85" s="372" t="s">
        <v>19</v>
      </c>
      <c r="E85" s="373"/>
      <c r="F85" s="42"/>
      <c r="G85" s="42"/>
      <c r="H85" s="991"/>
      <c r="I85" s="309"/>
      <c r="J85" s="1911"/>
      <c r="K85" s="3915"/>
      <c r="L85" s="2768" t="s">
        <v>2856</v>
      </c>
      <c r="M85" s="2758">
        <f ca="1">IF(N69&gt;1000,N69*0.1%,IF(AND(N69&gt;500,N69&lt;=1000),N69*0.5%,IF(AND(N69&gt;50,N69&lt;=500),N69*1%,IF(AND(N69&gt;1,N69&lt;=50),N69*1.5%))))</f>
        <v>300.33600000000001</v>
      </c>
      <c r="N85" s="53">
        <f t="shared" ca="1" si="2"/>
        <v>300.3</v>
      </c>
      <c r="O85" s="1911" t="s">
        <v>2855</v>
      </c>
      <c r="P85" s="1911"/>
      <c r="Q85" s="1911"/>
      <c r="R85" s="1911"/>
      <c r="S85" s="1911"/>
      <c r="T85" s="1911"/>
      <c r="U85" s="1911"/>
      <c r="V85" s="1911"/>
    </row>
    <row r="86" spans="1:26" ht="13.5" thickBot="1">
      <c r="A86" s="380" t="s">
        <v>1819</v>
      </c>
      <c r="B86" s="381" t="s">
        <v>431</v>
      </c>
      <c r="C86" s="382">
        <f ca="1">IF(C85&lt;=0,0,ROUND(C85*D86,0))</f>
        <v>16018</v>
      </c>
      <c r="D86" s="383">
        <f>'数据-取费表'!B41</f>
        <v>5.6000000000000001E-2</v>
      </c>
      <c r="E86" s="384"/>
      <c r="F86" s="42"/>
      <c r="G86" s="42"/>
      <c r="H86" s="991"/>
      <c r="I86" s="309"/>
      <c r="J86" s="1911"/>
      <c r="K86" s="3915"/>
      <c r="L86" s="2768" t="s">
        <v>2857</v>
      </c>
      <c r="M86" s="2758">
        <f ca="1">N69*0.5%</f>
        <v>1501.68</v>
      </c>
      <c r="N86" s="53">
        <f ca="1">IF(M86&gt;0.5,0.5,ROUND(M86,0))</f>
        <v>0.5</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915"/>
      <c r="L87" s="2768" t="s">
        <v>2859</v>
      </c>
      <c r="M87" s="2758">
        <f ca="1">IF(N69&gt;=10000,(8.25+(N69-10000)*0.01%),IF(AND(N69&gt;=8000,N69&lt;10000),(7.85+(N69-8000)*0.02%),IF(AND(N69&gt;=5000,N69&lt;8000),(6.65+(N69-5000)*0.04%),IF(AND(N69&gt;=2000,N69&lt;5000),(4.25+(PN69-2000)*0.08%),IF(AND(N69&gt;=1000,N69&lt;2000),(2.75+(N69-1000)*0.15%),IF(AND(N69&gt;=100,N69&lt;1000),(0.5+(N69-100)*0.25%),IF(AND(N69&gt;0,N69&lt;100),N69*0.5%)))))))</f>
        <v>37.2836</v>
      </c>
      <c r="N87" s="53">
        <f ca="1">ROUND(M87*0.9,1)</f>
        <v>33.6</v>
      </c>
      <c r="O87" s="2761"/>
      <c r="P87" s="1911"/>
      <c r="Q87" s="1911"/>
      <c r="R87" s="1911"/>
      <c r="S87" s="1911"/>
      <c r="T87" s="1911"/>
      <c r="U87" s="1911"/>
      <c r="V87" s="1911"/>
      <c r="W87" s="290"/>
      <c r="X87" s="290"/>
      <c r="Y87" s="290"/>
      <c r="Z87" s="290"/>
    </row>
    <row r="88" spans="1:26" s="1268" customFormat="1" ht="15" thickBot="1">
      <c r="A88" s="3894" t="s">
        <v>432</v>
      </c>
      <c r="B88" s="3895"/>
      <c r="C88" s="3895"/>
      <c r="D88" s="3895"/>
      <c r="E88" s="3895"/>
      <c r="F88" s="3895"/>
      <c r="G88" s="3895"/>
      <c r="H88" s="3895"/>
      <c r="I88" s="1269"/>
      <c r="J88" s="1919"/>
      <c r="K88" s="3915"/>
      <c r="L88" s="2768" t="s">
        <v>2860</v>
      </c>
      <c r="M88" s="2758">
        <f ca="1">IF(N69&gt;10000,N69*0.5%,IF(AND(N69&gt;5000,N69&lt;=10000),N69*1%,IF(AND(N69&gt;1000,N69&lt;=5000),N69*2%,IF(AND(N69&gt;200,N69&lt;=1000),N69*3%,N69*5%))))</f>
        <v>1501.68</v>
      </c>
      <c r="N88" s="53">
        <f ca="1">ROUND(M88,1)</f>
        <v>1501.7</v>
      </c>
      <c r="O88" s="2761"/>
      <c r="P88" s="1916"/>
      <c r="Q88" s="1916"/>
      <c r="R88" s="1916"/>
      <c r="S88" s="1916"/>
      <c r="T88" s="1916"/>
      <c r="U88" s="1916"/>
      <c r="V88" s="1916"/>
      <c r="W88" s="1920"/>
      <c r="X88" s="1920"/>
      <c r="Y88" s="1920"/>
      <c r="Z88" s="1920"/>
    </row>
    <row r="89" spans="1:26" s="1268" customFormat="1" ht="14.25">
      <c r="A89" s="3869" t="s">
        <v>423</v>
      </c>
      <c r="B89" s="3870"/>
      <c r="C89" s="982"/>
      <c r="D89" s="982" t="s">
        <v>424</v>
      </c>
      <c r="E89" s="385" t="s">
        <v>433</v>
      </c>
      <c r="F89" s="386"/>
      <c r="G89" s="386"/>
      <c r="H89" s="387"/>
      <c r="I89" s="1270"/>
      <c r="J89" s="1921"/>
      <c r="K89" s="3915"/>
      <c r="L89" s="2768" t="s">
        <v>27</v>
      </c>
      <c r="M89" s="2759"/>
      <c r="N89" s="53">
        <f ca="1">ROUND(SUM(N83:N88),0)</f>
        <v>4840</v>
      </c>
      <c r="O89" s="2769">
        <f ca="1">N89/N69</f>
        <v>1.6115284215012519E-2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286034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1716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851" t="s">
        <v>441</v>
      </c>
      <c r="F94" s="3850"/>
      <c r="G94" s="3850"/>
      <c r="H94" s="389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1716</v>
      </c>
      <c r="D96" s="400">
        <f>'数据-取费表'!B43</f>
        <v>6.000000000000001E-3</v>
      </c>
      <c r="E96" s="3885" t="s">
        <v>2413</v>
      </c>
      <c r="F96" s="3886"/>
      <c r="G96" s="3886"/>
      <c r="H96" s="388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284318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165.6864801864802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169990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894" t="s">
        <v>448</v>
      </c>
      <c r="B101" s="3895"/>
      <c r="C101" s="3895"/>
      <c r="D101" s="3895"/>
      <c r="E101" s="3895"/>
      <c r="F101" s="3895"/>
      <c r="G101" s="3895"/>
      <c r="H101" s="3895"/>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869" t="s">
        <v>423</v>
      </c>
      <c r="B102" s="3870"/>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286034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1716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3" t="s">
        <v>2990</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845" t="s">
        <v>2961</v>
      </c>
      <c r="H108" s="3846"/>
      <c r="I108" s="2858"/>
      <c r="J108" s="1916"/>
      <c r="K108" s="3243" t="s">
        <v>2991</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888" t="s">
        <v>456</v>
      </c>
      <c r="F109" s="3886"/>
      <c r="G109" s="388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ROUND((C105+C108+C109)*D110,0)</f>
        <v>0</v>
      </c>
      <c r="D110" s="3274">
        <v>0</v>
      </c>
      <c r="E110" s="3888" t="s">
        <v>458</v>
      </c>
      <c r="F110" s="3886"/>
      <c r="G110" s="3886"/>
      <c r="H110" s="3887"/>
      <c r="I110" s="11"/>
      <c r="J110" s="1916"/>
      <c r="K110" s="3244" t="s">
        <v>2992</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1716</v>
      </c>
      <c r="D111" s="400">
        <f>'数据-取费表'!B43</f>
        <v>6.000000000000001E-3</v>
      </c>
      <c r="E111" s="3885" t="s">
        <v>2413</v>
      </c>
      <c r="F111" s="3886"/>
      <c r="G111" s="3886"/>
      <c r="H111" s="388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ROUND(C108*D112,0)</f>
        <v>0</v>
      </c>
      <c r="D112" s="400">
        <v>0.2</v>
      </c>
      <c r="E112" s="3888" t="s">
        <v>2436</v>
      </c>
      <c r="F112" s="3886"/>
      <c r="G112" s="3886"/>
      <c r="H112" s="388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284318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165.6864801864802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169990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1" zoomScale="85" zoomScaleNormal="95" zoomScaleSheetLayoutView="85" workbookViewId="0">
      <selection activeCell="M58" sqref="M5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9"/>
    </row>
    <row r="2" spans="1:30" s="1290" customFormat="1" ht="28.5" customHeight="1">
      <c r="A2" s="417" t="s">
        <v>461</v>
      </c>
      <c r="B2" s="502">
        <f>F68</f>
        <v>292495</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9"/>
    </row>
    <row r="3" spans="1:30" s="1290" customFormat="1" ht="28.5" customHeight="1">
      <c r="A3" s="1330" t="s">
        <v>1675</v>
      </c>
      <c r="B3" s="504">
        <f>ROUND(B2*10000/'数据-汇总表'!E3,0)</f>
        <v>34880</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90" customFormat="1" ht="28.5" customHeight="1">
      <c r="A4" s="505" t="s">
        <v>514</v>
      </c>
      <c r="B4" s="421">
        <f>IF(B48="单位面积地价",C50,ROUND(B2*10000/'数据-汇总表'!D3,0))</f>
        <v>65030</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4335</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936" t="s">
        <v>516</v>
      </c>
      <c r="D6" s="3937"/>
      <c r="E6" s="3936" t="s">
        <v>517</v>
      </c>
      <c r="F6" s="3937"/>
      <c r="G6" s="3936" t="s">
        <v>518</v>
      </c>
      <c r="H6" s="3937"/>
      <c r="I6" s="3936" t="s">
        <v>519</v>
      </c>
      <c r="J6" s="3937"/>
      <c r="K6" s="508" t="s">
        <v>520</v>
      </c>
      <c r="L6" s="2015"/>
      <c r="M6" s="2014"/>
      <c r="N6" s="2014"/>
      <c r="O6" s="2016"/>
      <c r="P6" s="3938" t="s">
        <v>521</v>
      </c>
      <c r="Q6" s="3939"/>
      <c r="R6" s="3944" t="s">
        <v>517</v>
      </c>
      <c r="S6" s="3945"/>
      <c r="T6" s="3944" t="s">
        <v>518</v>
      </c>
      <c r="U6" s="3945"/>
      <c r="V6" s="3931" t="s">
        <v>519</v>
      </c>
      <c r="W6" s="3931"/>
      <c r="X6" s="1501"/>
      <c r="Y6" s="3944" t="s">
        <v>521</v>
      </c>
      <c r="Z6" s="3945"/>
      <c r="AA6" s="3933" t="s">
        <v>517</v>
      </c>
      <c r="AB6" s="3934" t="s">
        <v>518</v>
      </c>
      <c r="AC6" s="3933" t="s">
        <v>519</v>
      </c>
    </row>
    <row r="7" spans="1:30" ht="20.25">
      <c r="A7" s="509"/>
      <c r="B7" s="510"/>
      <c r="C7" s="3952" t="s">
        <v>2896</v>
      </c>
      <c r="D7" s="3953"/>
      <c r="E7" s="3958" t="str">
        <f>[3]土地案例!$A$7</f>
        <v>北京市朝阳区孙河乡北甸西村、北甸东村、西甸村、孙河村2902-31地块R2二类居住用地</v>
      </c>
      <c r="F7" s="3959"/>
      <c r="G7" s="3952" t="str">
        <f>[3]土地案例!$A$20</f>
        <v>北京市海淀区四季青镇中坞重点村资金平衡用地南地块R2二类居住用地</v>
      </c>
      <c r="H7" s="3953"/>
      <c r="I7" s="3952" t="str">
        <f>[3]土地案例!$A$22</f>
        <v>北京市海淀区四季青镇中坞重点村资金平衡用地北地块R2二类居住用地</v>
      </c>
      <c r="J7" s="3953"/>
      <c r="K7" s="508"/>
      <c r="L7" s="2015"/>
      <c r="M7" s="2014"/>
      <c r="N7" s="2014"/>
      <c r="O7" s="2016"/>
      <c r="P7" s="3940"/>
      <c r="Q7" s="3941"/>
      <c r="R7" s="3946"/>
      <c r="S7" s="3947"/>
      <c r="T7" s="3946"/>
      <c r="U7" s="3947"/>
      <c r="V7" s="3931"/>
      <c r="W7" s="3931"/>
      <c r="X7" s="1501"/>
      <c r="Y7" s="3946"/>
      <c r="Z7" s="3947"/>
      <c r="AA7" s="3934"/>
      <c r="AB7" s="3934"/>
      <c r="AC7" s="3934"/>
    </row>
    <row r="8" spans="1:30" ht="21" thickBot="1">
      <c r="A8" s="509"/>
      <c r="B8" s="510"/>
      <c r="C8" s="3954" t="s">
        <v>2900</v>
      </c>
      <c r="D8" s="3955"/>
      <c r="E8" s="3956" t="s">
        <v>3021</v>
      </c>
      <c r="F8" s="3957"/>
      <c r="G8" s="3950" t="s">
        <v>3021</v>
      </c>
      <c r="H8" s="3951"/>
      <c r="I8" s="3950" t="s">
        <v>3021</v>
      </c>
      <c r="J8" s="3951"/>
      <c r="K8" s="508" t="s">
        <v>522</v>
      </c>
      <c r="L8" s="2015"/>
      <c r="M8" s="2014"/>
      <c r="N8" s="2014"/>
      <c r="O8" s="2016"/>
      <c r="P8" s="3942"/>
      <c r="Q8" s="3943"/>
      <c r="R8" s="3946"/>
      <c r="S8" s="3947"/>
      <c r="T8" s="3948"/>
      <c r="U8" s="3949"/>
      <c r="V8" s="3931"/>
      <c r="W8" s="3931"/>
      <c r="X8" s="1501"/>
      <c r="Y8" s="3948"/>
      <c r="Z8" s="3949"/>
      <c r="AA8" s="3935"/>
      <c r="AB8" s="3935"/>
      <c r="AC8" s="3935"/>
    </row>
    <row r="9" spans="1:30" s="1203" customFormat="1" ht="21" thickBot="1">
      <c r="A9" s="2628"/>
      <c r="B9" s="2635" t="s">
        <v>523</v>
      </c>
      <c r="C9" s="2627">
        <f>'数据-取费表'!B2</f>
        <v>44232</v>
      </c>
      <c r="D9" s="514">
        <v>100</v>
      </c>
      <c r="E9" s="515" t="str">
        <f>[3]土地案例!$L$7</f>
        <v>2019-05-28</v>
      </c>
      <c r="F9" s="516">
        <f>SUMIF(72:72,YEAR(E9)&amp;"-"&amp;INT((MONTH(E9)+2)/3),73:73)</f>
        <v>97</v>
      </c>
      <c r="G9" s="517" t="str">
        <f>[3]土地案例!$L$20</f>
        <v>2020-01-20</v>
      </c>
      <c r="H9" s="514">
        <f>SUMIF(72:72,YEAR(G9)&amp;"-"&amp;INT((MONTH(G9)+2)/3),73:73)</f>
        <v>100</v>
      </c>
      <c r="I9" s="517" t="str">
        <f>[3]土地案例!$L$22</f>
        <v>2020-01-20</v>
      </c>
      <c r="J9" s="514">
        <f>SUMIF(72:72,YEAR(I9)&amp;"-"&amp;INT((MONTH(I9)+2)/3),73:73)</f>
        <v>100</v>
      </c>
      <c r="K9" s="518"/>
      <c r="L9" s="2017"/>
      <c r="M9" s="2014"/>
      <c r="N9" s="2014"/>
      <c r="O9" s="2018"/>
      <c r="P9" s="3965" t="s">
        <v>524</v>
      </c>
      <c r="Q9" s="3967"/>
      <c r="R9" s="1502" t="s">
        <v>8</v>
      </c>
      <c r="S9" s="1503">
        <f t="shared" ref="S9:S17" si="0">F9</f>
        <v>97</v>
      </c>
      <c r="T9" s="1502" t="s">
        <v>8</v>
      </c>
      <c r="U9" s="1503">
        <f t="shared" ref="U9:U17" si="1">H9</f>
        <v>100</v>
      </c>
      <c r="V9" s="1502" t="s">
        <v>8</v>
      </c>
      <c r="W9" s="1503">
        <f t="shared" ref="W9:W17" si="2">J9</f>
        <v>100</v>
      </c>
      <c r="X9" s="1504"/>
      <c r="Y9" s="3965" t="s">
        <v>524</v>
      </c>
      <c r="Z9" s="3966"/>
      <c r="AA9" s="1505">
        <f>D9/F9</f>
        <v>1.0309278350515463</v>
      </c>
      <c r="AB9" s="1505">
        <f>D9/H9</f>
        <v>1</v>
      </c>
      <c r="AC9" s="1505">
        <f>D9/J9</f>
        <v>1</v>
      </c>
    </row>
    <row r="10" spans="1:30" s="1203" customFormat="1" ht="21" thickBot="1">
      <c r="A10" s="2629"/>
      <c r="B10" s="2636" t="s">
        <v>525</v>
      </c>
      <c r="C10" s="519" t="s">
        <v>3026</v>
      </c>
      <c r="D10" s="514">
        <v>100</v>
      </c>
      <c r="E10" s="519" t="s">
        <v>3022</v>
      </c>
      <c r="F10" s="516">
        <f>SUMIF(75:75,E10,76:76)-SUMIF(75:75,C10,76:76)+100</f>
        <v>100</v>
      </c>
      <c r="G10" s="519" t="s">
        <v>3022</v>
      </c>
      <c r="H10" s="514">
        <f>SUMIF(75:75,G10,76:76)-SUMIF(75:75,C10,76:76)+100</f>
        <v>100</v>
      </c>
      <c r="I10" s="519" t="s">
        <v>3022</v>
      </c>
      <c r="J10" s="514">
        <f>SUMIF(75:75,I10,76:76)-SUMIF(75:75,C10,76:76)+100</f>
        <v>100</v>
      </c>
      <c r="K10" s="518"/>
      <c r="L10" s="2017"/>
      <c r="M10" s="2014"/>
      <c r="N10" s="2014"/>
      <c r="O10" s="2018"/>
      <c r="P10" s="3965" t="s">
        <v>527</v>
      </c>
      <c r="Q10" s="3966"/>
      <c r="R10" s="1502" t="s">
        <v>8</v>
      </c>
      <c r="S10" s="1503">
        <f t="shared" si="0"/>
        <v>100</v>
      </c>
      <c r="T10" s="1502" t="s">
        <v>8</v>
      </c>
      <c r="U10" s="1503">
        <f t="shared" si="1"/>
        <v>100</v>
      </c>
      <c r="V10" s="1502" t="s">
        <v>8</v>
      </c>
      <c r="W10" s="1503">
        <f t="shared" si="2"/>
        <v>100</v>
      </c>
      <c r="X10" s="1504"/>
      <c r="Y10" s="3965" t="s">
        <v>527</v>
      </c>
      <c r="Z10" s="3966"/>
      <c r="AA10" s="1505">
        <f t="shared" ref="AA10:AA47" si="3">D10/F10</f>
        <v>1</v>
      </c>
      <c r="AB10" s="1505">
        <f t="shared" ref="AB10:AB47" si="4">D10/H10</f>
        <v>1</v>
      </c>
      <c r="AC10" s="1505">
        <f t="shared" ref="AC10:AC47" si="5">D10/J10</f>
        <v>1</v>
      </c>
    </row>
    <row r="11" spans="1:30" s="1203" customFormat="1" ht="20.25">
      <c r="A11" s="2630"/>
      <c r="B11" s="2637" t="s">
        <v>2735</v>
      </c>
      <c r="C11" s="520"/>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930" t="s">
        <v>529</v>
      </c>
      <c r="Q11" s="1134" t="str">
        <f t="shared" ref="Q11:Q17" si="6">B11</f>
        <v>用途</v>
      </c>
      <c r="R11" s="1502" t="s">
        <v>8</v>
      </c>
      <c r="S11" s="1503">
        <f t="shared" si="0"/>
        <v>100</v>
      </c>
      <c r="T11" s="1502" t="s">
        <v>8</v>
      </c>
      <c r="U11" s="1503">
        <f t="shared" si="1"/>
        <v>100</v>
      </c>
      <c r="V11" s="1502" t="s">
        <v>8</v>
      </c>
      <c r="W11" s="1503">
        <f t="shared" si="2"/>
        <v>100</v>
      </c>
      <c r="X11" s="1504"/>
      <c r="Y11" s="3876" t="s">
        <v>530</v>
      </c>
      <c r="Z11" s="1133" t="str">
        <f t="shared" ref="Z11:Z17" si="7">Q11</f>
        <v>用途</v>
      </c>
      <c r="AA11" s="1505">
        <f t="shared" si="3"/>
        <v>1</v>
      </c>
      <c r="AB11" s="1505">
        <f t="shared" si="4"/>
        <v>1</v>
      </c>
      <c r="AC11" s="1505">
        <f t="shared" si="5"/>
        <v>1</v>
      </c>
    </row>
    <row r="12" spans="1:30" s="1292" customFormat="1" ht="27">
      <c r="A12" s="2631"/>
      <c r="B12" s="2636" t="s">
        <v>2736</v>
      </c>
      <c r="C12" s="522"/>
      <c r="D12" s="253">
        <v>100</v>
      </c>
      <c r="E12" s="523"/>
      <c r="F12" s="253">
        <f>ROUND(100/'数据-取费表'!G16,0)</f>
        <v>111</v>
      </c>
      <c r="G12" s="524"/>
      <c r="H12" s="253">
        <f>ROUND(100/'数据-取费表'!G16,0)</f>
        <v>111</v>
      </c>
      <c r="I12" s="524"/>
      <c r="J12" s="253">
        <f>ROUND(100/'数据-取费表'!G16,0)</f>
        <v>111</v>
      </c>
      <c r="K12" s="525"/>
      <c r="L12" s="2020"/>
      <c r="M12" s="2014"/>
      <c r="N12" s="2014"/>
      <c r="O12" s="2021"/>
      <c r="P12" s="3930"/>
      <c r="Q12" s="1134" t="str">
        <f t="shared" si="6"/>
        <v>土地使用年限（年）</v>
      </c>
      <c r="R12" s="1502" t="s">
        <v>8</v>
      </c>
      <c r="S12" s="1503">
        <f t="shared" si="0"/>
        <v>111</v>
      </c>
      <c r="T12" s="1502" t="s">
        <v>8</v>
      </c>
      <c r="U12" s="1503">
        <f t="shared" si="1"/>
        <v>111</v>
      </c>
      <c r="V12" s="1502" t="s">
        <v>8</v>
      </c>
      <c r="W12" s="1503">
        <f t="shared" si="2"/>
        <v>111</v>
      </c>
      <c r="X12" s="1504"/>
      <c r="Y12" s="3876"/>
      <c r="Z12" s="1133" t="str">
        <f t="shared" si="7"/>
        <v>土地使用年限（年）</v>
      </c>
      <c r="AA12" s="1505">
        <f t="shared" si="3"/>
        <v>0.90090090090090091</v>
      </c>
      <c r="AB12" s="1505">
        <f t="shared" si="4"/>
        <v>0.90090090090090091</v>
      </c>
      <c r="AC12" s="1505">
        <f t="shared" si="5"/>
        <v>0.90090090090090091</v>
      </c>
    </row>
    <row r="13" spans="1:30" ht="21" thickBot="1">
      <c r="A13" s="2632"/>
      <c r="B13" s="2636" t="s">
        <v>2737</v>
      </c>
      <c r="C13" s="527">
        <v>1</v>
      </c>
      <c r="D13" s="253">
        <v>100</v>
      </c>
      <c r="E13" s="527">
        <v>1.1000000000000001</v>
      </c>
      <c r="F13" s="253">
        <f>LOOKUP(E13,82:82,83:83)-LOOKUP(C13,82:82,83:83)+100</f>
        <v>97</v>
      </c>
      <c r="G13" s="528">
        <v>1.5</v>
      </c>
      <c r="H13" s="253">
        <f>LOOKUP(G13,82:82,83:83)-LOOKUP(C13,82:82,83:83)+100</f>
        <v>97</v>
      </c>
      <c r="I13" s="527">
        <v>1.5</v>
      </c>
      <c r="J13" s="253">
        <f>LOOKUP(I13,82:82,83:83)-LOOKUP(C13,82:82,83:83)+100</f>
        <v>97</v>
      </c>
      <c r="K13" s="529">
        <v>3</v>
      </c>
      <c r="L13" s="2022"/>
      <c r="M13" s="2014"/>
      <c r="N13" s="2014"/>
      <c r="O13" s="2023"/>
      <c r="P13" s="3930"/>
      <c r="Q13" s="1134" t="str">
        <f t="shared" si="6"/>
        <v>容积率</v>
      </c>
      <c r="R13" s="1502" t="s">
        <v>8</v>
      </c>
      <c r="S13" s="1503">
        <f t="shared" si="0"/>
        <v>97</v>
      </c>
      <c r="T13" s="1502" t="s">
        <v>8</v>
      </c>
      <c r="U13" s="1503">
        <f t="shared" si="1"/>
        <v>97</v>
      </c>
      <c r="V13" s="1502" t="s">
        <v>8</v>
      </c>
      <c r="W13" s="1503">
        <f t="shared" si="2"/>
        <v>97</v>
      </c>
      <c r="X13" s="1504"/>
      <c r="Y13" s="3876"/>
      <c r="Z13" s="1133" t="str">
        <f t="shared" si="7"/>
        <v>容积率</v>
      </c>
      <c r="AA13" s="1505">
        <f t="shared" si="3"/>
        <v>1.0309278350515463</v>
      </c>
      <c r="AB13" s="1505">
        <f t="shared" si="4"/>
        <v>1.0309278350515463</v>
      </c>
      <c r="AC13" s="1505">
        <f t="shared" si="5"/>
        <v>1.0309278350515463</v>
      </c>
    </row>
    <row r="14" spans="1:30" s="1203" customFormat="1" ht="20.25" hidden="1">
      <c r="A14" s="2629"/>
      <c r="B14" s="2638" t="s">
        <v>2738</v>
      </c>
      <c r="C14" s="2625"/>
      <c r="D14" s="532">
        <v>100</v>
      </c>
      <c r="E14" s="523"/>
      <c r="F14" s="253">
        <f>SUMIF(84:84,E14,85:85)-SUMIF(84:84,C14,85:85)+100</f>
        <v>100</v>
      </c>
      <c r="G14" s="524"/>
      <c r="H14" s="253">
        <f>SUMIF(84:84,G14,85:85)-SUMIF(84:84,C14,85:85)+100</f>
        <v>100</v>
      </c>
      <c r="I14" s="523"/>
      <c r="J14" s="253">
        <f>SUMIF(84:84,I14,85:85)-SUMIF(84:84,C14,85:85)+100</f>
        <v>100</v>
      </c>
      <c r="K14" s="525"/>
      <c r="L14" s="2017"/>
      <c r="M14" s="2014"/>
      <c r="N14" s="2014"/>
      <c r="O14" s="2019"/>
      <c r="P14" s="3930"/>
      <c r="Q14" s="1134" t="str">
        <f t="shared" si="6"/>
        <v>配建</v>
      </c>
      <c r="R14" s="1502" t="s">
        <v>8</v>
      </c>
      <c r="S14" s="1503">
        <f t="shared" si="0"/>
        <v>100</v>
      </c>
      <c r="T14" s="1502" t="s">
        <v>8</v>
      </c>
      <c r="U14" s="1503">
        <f t="shared" si="1"/>
        <v>100</v>
      </c>
      <c r="V14" s="1502" t="s">
        <v>8</v>
      </c>
      <c r="W14" s="1503">
        <f t="shared" si="2"/>
        <v>100</v>
      </c>
      <c r="X14" s="1504"/>
      <c r="Y14" s="3876"/>
      <c r="Z14" s="1133" t="str">
        <f t="shared" si="7"/>
        <v>配建</v>
      </c>
      <c r="AA14" s="1505">
        <f>D14/F14</f>
        <v>1</v>
      </c>
      <c r="AB14" s="1505">
        <f>D14/H14</f>
        <v>1</v>
      </c>
      <c r="AC14" s="1505">
        <f>D14/J14</f>
        <v>1</v>
      </c>
    </row>
    <row r="15" spans="1:30" ht="20.25" hidden="1">
      <c r="A15" s="2633"/>
      <c r="B15" s="2639">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930"/>
      <c r="Q15" s="1134">
        <f t="shared" si="6"/>
        <v>111</v>
      </c>
      <c r="R15" s="1502" t="s">
        <v>8</v>
      </c>
      <c r="S15" s="1503">
        <f t="shared" si="0"/>
        <v>100</v>
      </c>
      <c r="T15" s="1502" t="s">
        <v>8</v>
      </c>
      <c r="U15" s="1503">
        <f t="shared" si="1"/>
        <v>100</v>
      </c>
      <c r="V15" s="1502" t="s">
        <v>8</v>
      </c>
      <c r="W15" s="1503">
        <f t="shared" si="2"/>
        <v>100</v>
      </c>
      <c r="X15" s="1504"/>
      <c r="Y15" s="3876"/>
      <c r="Z15" s="1133">
        <f t="shared" si="7"/>
        <v>111</v>
      </c>
      <c r="AA15" s="1505">
        <f>D15/F15</f>
        <v>1</v>
      </c>
      <c r="AB15" s="1505">
        <f>D15/H15</f>
        <v>1</v>
      </c>
      <c r="AC15" s="1505">
        <f>D15/J15</f>
        <v>1</v>
      </c>
    </row>
    <row r="16" spans="1:30" ht="21" hidden="1" thickBot="1">
      <c r="A16" s="2634"/>
      <c r="B16" s="2640">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930"/>
      <c r="Q16" s="1134">
        <f t="shared" si="6"/>
        <v>111</v>
      </c>
      <c r="R16" s="1502" t="s">
        <v>8</v>
      </c>
      <c r="S16" s="1503">
        <f t="shared" si="0"/>
        <v>100</v>
      </c>
      <c r="T16" s="1502" t="s">
        <v>8</v>
      </c>
      <c r="U16" s="1503">
        <f t="shared" si="1"/>
        <v>100</v>
      </c>
      <c r="V16" s="1502" t="s">
        <v>8</v>
      </c>
      <c r="W16" s="1503">
        <f t="shared" si="2"/>
        <v>100</v>
      </c>
      <c r="X16" s="1504"/>
      <c r="Y16" s="3876"/>
      <c r="Z16" s="1133">
        <f t="shared" si="7"/>
        <v>111</v>
      </c>
      <c r="AA16" s="1505">
        <f>D16/F16</f>
        <v>1</v>
      </c>
      <c r="AB16" s="1505">
        <f>D16/H16</f>
        <v>1</v>
      </c>
      <c r="AC16" s="1505">
        <f>D16/J16</f>
        <v>1</v>
      </c>
    </row>
    <row r="17" spans="1:29" ht="99.75">
      <c r="A17" s="2626" t="s">
        <v>2733</v>
      </c>
      <c r="B17" s="572" t="s">
        <v>295</v>
      </c>
      <c r="C17" s="542" t="str">
        <f>估价对象房地状况!C15</f>
        <v>估价对象周边居住用地比例、居住小区规模和社区发展完善程度，综合评价居住社区成熟度一般</v>
      </c>
      <c r="D17" s="545">
        <v>100</v>
      </c>
      <c r="E17" s="544"/>
      <c r="F17" s="543">
        <f>SUMIF(90:90,E18,91:91)-SUMIF(90:90,C18,91:91)+100</f>
        <v>100</v>
      </c>
      <c r="G17" s="544"/>
      <c r="H17" s="543">
        <f>SUMIF(90:90,G18,91:91)-SUMIF(90:90,C18,91:91)+100</f>
        <v>103</v>
      </c>
      <c r="I17" s="546"/>
      <c r="J17" s="543">
        <f>SUMIF(90:90,I18,91:91)-SUMIF(90:90,C18,91:91)+100</f>
        <v>103</v>
      </c>
      <c r="K17" s="529">
        <v>3</v>
      </c>
      <c r="L17" s="2024"/>
      <c r="M17" s="2014"/>
      <c r="N17" s="2014"/>
      <c r="O17" s="2023"/>
      <c r="P17" s="3968" t="s">
        <v>534</v>
      </c>
      <c r="Q17" s="1506" t="str">
        <f t="shared" si="6"/>
        <v>居住社区成熟度</v>
      </c>
      <c r="R17" s="1507" t="s">
        <v>8</v>
      </c>
      <c r="S17" s="1508">
        <f t="shared" si="0"/>
        <v>100</v>
      </c>
      <c r="T17" s="1507" t="s">
        <v>8</v>
      </c>
      <c r="U17" s="1508">
        <f t="shared" si="1"/>
        <v>103</v>
      </c>
      <c r="V17" s="1507" t="s">
        <v>8</v>
      </c>
      <c r="W17" s="1508">
        <f t="shared" si="2"/>
        <v>103</v>
      </c>
      <c r="X17" s="1501"/>
      <c r="Y17" s="3968" t="s">
        <v>534</v>
      </c>
      <c r="Z17" s="1509" t="str">
        <f t="shared" si="7"/>
        <v>居住社区成熟度</v>
      </c>
      <c r="AA17" s="1510">
        <f t="shared" si="3"/>
        <v>1</v>
      </c>
      <c r="AB17" s="1510">
        <f t="shared" si="4"/>
        <v>0.970873786407767</v>
      </c>
      <c r="AC17" s="1510">
        <f t="shared" si="5"/>
        <v>0.970873786407767</v>
      </c>
    </row>
    <row r="18" spans="1:29" ht="20.25">
      <c r="A18" s="526"/>
      <c r="B18" s="547"/>
      <c r="C18" s="548" t="s">
        <v>3023</v>
      </c>
      <c r="D18" s="551"/>
      <c r="E18" s="570" t="s">
        <v>3023</v>
      </c>
      <c r="F18" s="549"/>
      <c r="G18" s="570" t="s">
        <v>3024</v>
      </c>
      <c r="H18" s="553"/>
      <c r="I18" s="570" t="s">
        <v>3024</v>
      </c>
      <c r="J18" s="549"/>
      <c r="K18" s="525"/>
      <c r="L18" s="2024"/>
      <c r="M18" s="2014"/>
      <c r="N18" s="2014"/>
      <c r="O18" s="2023"/>
      <c r="P18" s="3969"/>
      <c r="Q18" s="1506"/>
      <c r="R18" s="1507"/>
      <c r="S18" s="1508"/>
      <c r="T18" s="1507"/>
      <c r="U18" s="1508"/>
      <c r="V18" s="1507"/>
      <c r="W18" s="1508"/>
      <c r="X18" s="1501"/>
      <c r="Y18" s="3969"/>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6"/>
      <c r="F19" s="553">
        <f>SUMIF(92:92,E20,93:93)-SUMIF(92:92,C20,93:93)+100</f>
        <v>100</v>
      </c>
      <c r="G19" s="556"/>
      <c r="H19" s="559">
        <f>SUMIF(92:92,G20,93:93)-SUMIF(92:92,C20,93:93)+100</f>
        <v>100</v>
      </c>
      <c r="I19" s="558"/>
      <c r="J19" s="559">
        <f>SUMIF(92:92,I20,93:93)-SUMIF(92:92,C20,93:93)+100</f>
        <v>100</v>
      </c>
      <c r="K19" s="529"/>
      <c r="L19" s="2024"/>
      <c r="M19" s="2014"/>
      <c r="N19" s="2014"/>
      <c r="O19" s="2023"/>
      <c r="P19" s="3969"/>
      <c r="Q19" s="1506" t="str">
        <f>B19</f>
        <v>商业繁华度</v>
      </c>
      <c r="R19" s="1507" t="s">
        <v>8</v>
      </c>
      <c r="S19" s="1508">
        <f>F19</f>
        <v>100</v>
      </c>
      <c r="T19" s="1507" t="s">
        <v>8</v>
      </c>
      <c r="U19" s="1508">
        <f>H19</f>
        <v>100</v>
      </c>
      <c r="V19" s="1507" t="s">
        <v>8</v>
      </c>
      <c r="W19" s="1508">
        <f>J19</f>
        <v>100</v>
      </c>
      <c r="X19" s="1501"/>
      <c r="Y19" s="3969"/>
      <c r="Z19" s="1509" t="str">
        <f>Q19</f>
        <v>商业繁华度</v>
      </c>
      <c r="AA19" s="1510">
        <f t="shared" si="3"/>
        <v>1</v>
      </c>
      <c r="AB19" s="1510">
        <f t="shared" si="4"/>
        <v>1</v>
      </c>
      <c r="AC19" s="1510">
        <f t="shared" si="5"/>
        <v>1</v>
      </c>
    </row>
    <row r="20" spans="1:29" ht="20.25" hidden="1">
      <c r="A20" s="526"/>
      <c r="B20" s="560"/>
      <c r="C20" s="561"/>
      <c r="D20" s="557"/>
      <c r="E20" s="562"/>
      <c r="F20" s="553"/>
      <c r="G20" s="562"/>
      <c r="H20" s="549"/>
      <c r="I20" s="563"/>
      <c r="J20" s="549"/>
      <c r="K20" s="525"/>
      <c r="L20" s="2024"/>
      <c r="M20" s="2014"/>
      <c r="N20" s="2014"/>
      <c r="O20" s="2023"/>
      <c r="P20" s="3969"/>
      <c r="Q20" s="1506"/>
      <c r="R20" s="1507"/>
      <c r="S20" s="1508"/>
      <c r="T20" s="1507"/>
      <c r="U20" s="1508"/>
      <c r="V20" s="1507"/>
      <c r="W20" s="1508"/>
      <c r="X20" s="1501"/>
      <c r="Y20" s="3969"/>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4"/>
      <c r="F21" s="559">
        <f>SUMIF(94:94,E22,95:95)-SUMIF(94:94,C22,95:95)+100</f>
        <v>100</v>
      </c>
      <c r="G21" s="564"/>
      <c r="H21" s="553">
        <f>SUMIF(94:94,G22,95:95)-SUMIF(94:94,C22,95:95)+100</f>
        <v>100</v>
      </c>
      <c r="I21" s="566"/>
      <c r="J21" s="553">
        <f>SUMIF(94:94,I22,95:95)-SUMIF(94:94,C22,95:95)+100</f>
        <v>100</v>
      </c>
      <c r="K21" s="529"/>
      <c r="L21" s="2024"/>
      <c r="M21" s="2014"/>
      <c r="N21" s="2014"/>
      <c r="O21" s="2023"/>
      <c r="P21" s="3969"/>
      <c r="Q21" s="1506" t="str">
        <f>B21</f>
        <v>办公集聚程度</v>
      </c>
      <c r="R21" s="1507" t="s">
        <v>8</v>
      </c>
      <c r="S21" s="1508">
        <f>F21</f>
        <v>100</v>
      </c>
      <c r="T21" s="1507" t="s">
        <v>8</v>
      </c>
      <c r="U21" s="1508">
        <f>H21</f>
        <v>100</v>
      </c>
      <c r="V21" s="1507" t="s">
        <v>8</v>
      </c>
      <c r="W21" s="1508">
        <f>J21</f>
        <v>100</v>
      </c>
      <c r="X21" s="1501"/>
      <c r="Y21" s="3969"/>
      <c r="Z21" s="1509" t="str">
        <f>Q21</f>
        <v>办公集聚程度</v>
      </c>
      <c r="AA21" s="1510">
        <f t="shared" si="3"/>
        <v>1</v>
      </c>
      <c r="AB21" s="1510">
        <f t="shared" si="4"/>
        <v>1</v>
      </c>
      <c r="AC21" s="1510">
        <f t="shared" si="5"/>
        <v>1</v>
      </c>
    </row>
    <row r="22" spans="1:29" ht="20.25" hidden="1">
      <c r="A22" s="526"/>
      <c r="B22" s="560"/>
      <c r="C22" s="548"/>
      <c r="D22" s="551"/>
      <c r="E22" s="550"/>
      <c r="F22" s="549"/>
      <c r="G22" s="550"/>
      <c r="H22" s="549"/>
      <c r="I22" s="552"/>
      <c r="J22" s="549"/>
      <c r="K22" s="525"/>
      <c r="L22" s="2024"/>
      <c r="M22" s="2014"/>
      <c r="N22" s="2014"/>
      <c r="O22" s="2023"/>
      <c r="P22" s="3969"/>
      <c r="Q22" s="1506"/>
      <c r="R22" s="1507"/>
      <c r="S22" s="1508"/>
      <c r="T22" s="1507"/>
      <c r="U22" s="1508"/>
      <c r="V22" s="1507"/>
      <c r="W22" s="1508"/>
      <c r="X22" s="1501"/>
      <c r="Y22" s="3969"/>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6"/>
      <c r="F23" s="559">
        <f>SUMIF(96:96,E24,97:97)-SUMIF(96:96,C24,97:97)+100</f>
        <v>100</v>
      </c>
      <c r="G23" s="556"/>
      <c r="H23" s="553">
        <f>SUMIF(96:96,G24,97:97)-SUMIF(96:96,C24,97:97)+100</f>
        <v>103</v>
      </c>
      <c r="I23" s="558"/>
      <c r="J23" s="553">
        <f>SUMIF(96:96,I24,97:97)-SUMIF(96:96,C24,97:97)+100</f>
        <v>103</v>
      </c>
      <c r="K23" s="529">
        <v>3</v>
      </c>
      <c r="L23" s="2024"/>
      <c r="M23" s="2014"/>
      <c r="N23" s="2014"/>
      <c r="O23" s="2023"/>
      <c r="P23" s="3969"/>
      <c r="Q23" s="1506" t="str">
        <f>B23</f>
        <v>交通便捷度</v>
      </c>
      <c r="R23" s="1507" t="s">
        <v>8</v>
      </c>
      <c r="S23" s="1508">
        <f>F23</f>
        <v>100</v>
      </c>
      <c r="T23" s="1507" t="s">
        <v>8</v>
      </c>
      <c r="U23" s="1508">
        <f>H23</f>
        <v>103</v>
      </c>
      <c r="V23" s="1507" t="s">
        <v>8</v>
      </c>
      <c r="W23" s="1508">
        <f>J23</f>
        <v>103</v>
      </c>
      <c r="X23" s="1501"/>
      <c r="Y23" s="3969"/>
      <c r="Z23" s="1509" t="str">
        <f>Q23</f>
        <v>交通便捷度</v>
      </c>
      <c r="AA23" s="1510">
        <f t="shared" si="3"/>
        <v>1</v>
      </c>
      <c r="AB23" s="1510">
        <f t="shared" si="4"/>
        <v>0.970873786407767</v>
      </c>
      <c r="AC23" s="1510">
        <f t="shared" si="5"/>
        <v>0.970873786407767</v>
      </c>
    </row>
    <row r="24" spans="1:29" ht="20.25">
      <c r="A24" s="526"/>
      <c r="B24" s="572"/>
      <c r="C24" s="548" t="s">
        <v>3023</v>
      </c>
      <c r="D24" s="551"/>
      <c r="E24" s="570" t="s">
        <v>3023</v>
      </c>
      <c r="F24" s="549"/>
      <c r="G24" s="570" t="s">
        <v>3024</v>
      </c>
      <c r="H24" s="549"/>
      <c r="I24" s="570" t="s">
        <v>3024</v>
      </c>
      <c r="J24" s="549"/>
      <c r="K24" s="525"/>
      <c r="L24" s="2024"/>
      <c r="M24" s="2014"/>
      <c r="N24" s="2014"/>
      <c r="O24" s="2023"/>
      <c r="P24" s="3969"/>
      <c r="Q24" s="1506"/>
      <c r="R24" s="1507"/>
      <c r="S24" s="1508"/>
      <c r="T24" s="1507"/>
      <c r="U24" s="1508"/>
      <c r="V24" s="1507"/>
      <c r="W24" s="1508"/>
      <c r="X24" s="1501"/>
      <c r="Y24" s="3969"/>
      <c r="Z24" s="1509"/>
      <c r="AA24" s="1510">
        <v>1</v>
      </c>
      <c r="AB24" s="1510">
        <v>1</v>
      </c>
      <c r="AC24" s="1510">
        <v>1</v>
      </c>
    </row>
    <row r="25" spans="1:29" ht="27">
      <c r="A25" s="509"/>
      <c r="B25" s="257" t="s">
        <v>538</v>
      </c>
      <c r="C25" s="567">
        <f>估价对象房地状况!C19</f>
        <v>0</v>
      </c>
      <c r="D25" s="557">
        <v>100</v>
      </c>
      <c r="E25" s="556"/>
      <c r="F25" s="559">
        <f>SUMIF(98:98,E26,99:99)-SUMIF(98:98,C26,99:99)+100</f>
        <v>100</v>
      </c>
      <c r="G25" s="558"/>
      <c r="H25" s="553">
        <f>SUMIF(98:98,G26,99:99)-SUMIF(98:98,C26,99:99)+100</f>
        <v>100</v>
      </c>
      <c r="I25" s="558"/>
      <c r="J25" s="553">
        <f>SUMIF(98:98,I26,99:99)-SUMIF(98:98,C26,99:99)+100</f>
        <v>100</v>
      </c>
      <c r="K25" s="529">
        <v>2</v>
      </c>
      <c r="L25" s="2024"/>
      <c r="M25" s="2014"/>
      <c r="N25" s="2014"/>
      <c r="O25" s="2023"/>
      <c r="P25" s="3969"/>
      <c r="Q25" s="1506" t="str">
        <f t="shared" ref="Q25:Q39" si="8">B25</f>
        <v>区域土地利用方向</v>
      </c>
      <c r="R25" s="1507" t="s">
        <v>8</v>
      </c>
      <c r="S25" s="1508">
        <f>F25</f>
        <v>100</v>
      </c>
      <c r="T25" s="1507" t="s">
        <v>8</v>
      </c>
      <c r="U25" s="1508">
        <f>H25</f>
        <v>100</v>
      </c>
      <c r="V25" s="1507" t="s">
        <v>8</v>
      </c>
      <c r="W25" s="1508">
        <f>J25</f>
        <v>100</v>
      </c>
      <c r="X25" s="1501"/>
      <c r="Y25" s="3969"/>
      <c r="Z25" s="1509" t="str">
        <f>Q25</f>
        <v>区域土地利用方向</v>
      </c>
      <c r="AA25" s="1510">
        <f t="shared" si="3"/>
        <v>1</v>
      </c>
      <c r="AB25" s="1510">
        <f t="shared" si="4"/>
        <v>1</v>
      </c>
      <c r="AC25" s="1510">
        <f t="shared" si="5"/>
        <v>1</v>
      </c>
    </row>
    <row r="26" spans="1:29" ht="20.25">
      <c r="A26" s="509"/>
      <c r="B26" s="994"/>
      <c r="C26" s="548" t="s">
        <v>3024</v>
      </c>
      <c r="D26" s="551"/>
      <c r="E26" s="577" t="s">
        <v>3024</v>
      </c>
      <c r="F26" s="549"/>
      <c r="G26" s="577" t="s">
        <v>3024</v>
      </c>
      <c r="H26" s="549"/>
      <c r="I26" s="577" t="s">
        <v>3024</v>
      </c>
      <c r="J26" s="549"/>
      <c r="K26" s="525"/>
      <c r="L26" s="2024"/>
      <c r="M26" s="2014"/>
      <c r="N26" s="2014"/>
      <c r="O26" s="2023"/>
      <c r="P26" s="3969"/>
      <c r="Q26" s="1506"/>
      <c r="R26" s="1507"/>
      <c r="S26" s="1508"/>
      <c r="T26" s="1507"/>
      <c r="U26" s="1508"/>
      <c r="V26" s="1507"/>
      <c r="W26" s="1508"/>
      <c r="X26" s="1501"/>
      <c r="Y26" s="3969"/>
      <c r="Z26" s="1509"/>
      <c r="AA26" s="1510"/>
      <c r="AB26" s="1510"/>
      <c r="AC26" s="1510"/>
    </row>
    <row r="27" spans="1:29" ht="57">
      <c r="A27" s="509"/>
      <c r="B27" s="572" t="s">
        <v>539</v>
      </c>
      <c r="C27" s="555" t="str">
        <f>估价对象房地状况!C20</f>
        <v>区域自然环境：；人文环境；综合评价环境状况一般</v>
      </c>
      <c r="D27" s="557">
        <v>100</v>
      </c>
      <c r="E27" s="556"/>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969"/>
      <c r="Q27" s="1506" t="str">
        <f t="shared" si="8"/>
        <v>自然及人文环境状况</v>
      </c>
      <c r="R27" s="1507" t="s">
        <v>8</v>
      </c>
      <c r="S27" s="1508">
        <f>F27</f>
        <v>100</v>
      </c>
      <c r="T27" s="1507" t="s">
        <v>8</v>
      </c>
      <c r="U27" s="1508">
        <f>H27</f>
        <v>100</v>
      </c>
      <c r="V27" s="1507" t="s">
        <v>8</v>
      </c>
      <c r="W27" s="1508">
        <f>J27</f>
        <v>100</v>
      </c>
      <c r="X27" s="1501"/>
      <c r="Y27" s="3969"/>
      <c r="Z27" s="1509" t="str">
        <f>Q27</f>
        <v>自然及人文环境状况</v>
      </c>
      <c r="AA27" s="1510">
        <f t="shared" si="3"/>
        <v>1</v>
      </c>
      <c r="AB27" s="1510">
        <f t="shared" si="4"/>
        <v>1</v>
      </c>
      <c r="AC27" s="1510">
        <f t="shared" si="5"/>
        <v>1</v>
      </c>
    </row>
    <row r="28" spans="1:29" ht="20.25">
      <c r="A28" s="509"/>
      <c r="B28" s="560"/>
      <c r="C28" s="548" t="s">
        <v>3024</v>
      </c>
      <c r="D28" s="551"/>
      <c r="E28" s="577" t="s">
        <v>3024</v>
      </c>
      <c r="F28" s="549"/>
      <c r="G28" s="577" t="s">
        <v>3024</v>
      </c>
      <c r="H28" s="549"/>
      <c r="I28" s="577" t="s">
        <v>3024</v>
      </c>
      <c r="J28" s="549"/>
      <c r="K28" s="525"/>
      <c r="L28" s="2024"/>
      <c r="M28" s="2014"/>
      <c r="N28" s="2014"/>
      <c r="O28" s="2023"/>
      <c r="P28" s="3969"/>
      <c r="Q28" s="1506"/>
      <c r="R28" s="1507"/>
      <c r="S28" s="1508"/>
      <c r="T28" s="1507"/>
      <c r="U28" s="1508"/>
      <c r="V28" s="1507"/>
      <c r="W28" s="1508"/>
      <c r="X28" s="1501"/>
      <c r="Y28" s="3969"/>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6"/>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969"/>
      <c r="Q29" s="1134" t="str">
        <f t="shared" si="8"/>
        <v>公共配套设施</v>
      </c>
      <c r="R29" s="1502" t="s">
        <v>8</v>
      </c>
      <c r="S29" s="1503">
        <f>F29</f>
        <v>100</v>
      </c>
      <c r="T29" s="1502" t="s">
        <v>8</v>
      </c>
      <c r="U29" s="1503">
        <f>H29</f>
        <v>100</v>
      </c>
      <c r="V29" s="1502" t="s">
        <v>8</v>
      </c>
      <c r="W29" s="1503">
        <f>J29</f>
        <v>100</v>
      </c>
      <c r="X29" s="1504"/>
      <c r="Y29" s="3969"/>
      <c r="Z29" s="1133" t="str">
        <f>Q29</f>
        <v>公共配套设施</v>
      </c>
      <c r="AA29" s="1510">
        <f>D29/F29</f>
        <v>1</v>
      </c>
      <c r="AB29" s="1510">
        <f>D29/H29</f>
        <v>1</v>
      </c>
      <c r="AC29" s="1510">
        <f>D29/J29</f>
        <v>1</v>
      </c>
    </row>
    <row r="30" spans="1:29" s="1203" customFormat="1" ht="20.25">
      <c r="A30" s="571"/>
      <c r="B30" s="560"/>
      <c r="C30" s="548" t="s">
        <v>3023</v>
      </c>
      <c r="D30" s="551"/>
      <c r="E30" s="2436" t="s">
        <v>3023</v>
      </c>
      <c r="F30" s="549"/>
      <c r="G30" s="2436" t="s">
        <v>3023</v>
      </c>
      <c r="H30" s="549"/>
      <c r="I30" s="2436" t="s">
        <v>3023</v>
      </c>
      <c r="J30" s="549"/>
      <c r="K30" s="525"/>
      <c r="L30" s="2017"/>
      <c r="M30" s="2014"/>
      <c r="N30" s="2014"/>
      <c r="O30" s="2019"/>
      <c r="P30" s="3969"/>
      <c r="Q30" s="1134"/>
      <c r="R30" s="1502"/>
      <c r="S30" s="1503"/>
      <c r="T30" s="1502"/>
      <c r="U30" s="1503"/>
      <c r="V30" s="1502"/>
      <c r="W30" s="1503"/>
      <c r="X30" s="1504"/>
      <c r="Y30" s="3969"/>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6"/>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969"/>
      <c r="Q31" s="2428" t="str">
        <f t="shared" ref="Q31" si="9">B31</f>
        <v>基础设施水平</v>
      </c>
      <c r="R31" s="1502" t="s">
        <v>8</v>
      </c>
      <c r="S31" s="1503">
        <f>F31</f>
        <v>100</v>
      </c>
      <c r="T31" s="1502" t="s">
        <v>8</v>
      </c>
      <c r="U31" s="1503">
        <f>H31</f>
        <v>100</v>
      </c>
      <c r="V31" s="1502" t="s">
        <v>8</v>
      </c>
      <c r="W31" s="1503">
        <f>J31</f>
        <v>100</v>
      </c>
      <c r="X31" s="1504"/>
      <c r="Y31" s="3969"/>
      <c r="Z31" s="2427" t="str">
        <f>Q31</f>
        <v>基础设施水平</v>
      </c>
      <c r="AA31" s="1510">
        <f>D31/F31</f>
        <v>1</v>
      </c>
      <c r="AB31" s="1510">
        <f>D31/H31</f>
        <v>1</v>
      </c>
      <c r="AC31" s="1510">
        <f>D31/J31</f>
        <v>1</v>
      </c>
    </row>
    <row r="32" spans="1:29" s="1203" customFormat="1" ht="21" thickBot="1">
      <c r="A32" s="571"/>
      <c r="B32" s="560"/>
      <c r="C32" s="573" t="s">
        <v>3027</v>
      </c>
      <c r="D32" s="551"/>
      <c r="E32" s="573" t="s">
        <v>3027</v>
      </c>
      <c r="F32" s="549"/>
      <c r="G32" s="573" t="s">
        <v>3027</v>
      </c>
      <c r="H32" s="549"/>
      <c r="I32" s="573" t="s">
        <v>3027</v>
      </c>
      <c r="J32" s="549"/>
      <c r="K32" s="525"/>
      <c r="L32" s="2017"/>
      <c r="M32" s="2014"/>
      <c r="N32" s="2014"/>
      <c r="O32" s="2019"/>
      <c r="P32" s="3969"/>
      <c r="Q32" s="2428"/>
      <c r="R32" s="1502"/>
      <c r="S32" s="1503"/>
      <c r="T32" s="1502"/>
      <c r="U32" s="1503"/>
      <c r="V32" s="1502"/>
      <c r="W32" s="1503"/>
      <c r="X32" s="1504"/>
      <c r="Y32" s="3969"/>
      <c r="Z32" s="2427"/>
      <c r="AA32" s="1510">
        <v>1</v>
      </c>
      <c r="AB32" s="1510">
        <v>1</v>
      </c>
      <c r="AC32" s="1510">
        <v>1</v>
      </c>
    </row>
    <row r="33" spans="1:29" ht="20.25" hidden="1">
      <c r="A33" s="526"/>
      <c r="B33" s="560" t="s">
        <v>541</v>
      </c>
      <c r="C33" s="574"/>
      <c r="D33" s="569">
        <v>100</v>
      </c>
      <c r="E33" s="574"/>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969"/>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969"/>
      <c r="Z33" s="1509" t="str">
        <f t="shared" ref="Z33:Z47" si="13">Q33</f>
        <v>临街状况</v>
      </c>
      <c r="AA33" s="1510">
        <f t="shared" si="3"/>
        <v>1</v>
      </c>
      <c r="AB33" s="1510">
        <f t="shared" si="4"/>
        <v>1</v>
      </c>
      <c r="AC33" s="1510">
        <f t="shared" si="5"/>
        <v>1</v>
      </c>
    </row>
    <row r="34" spans="1:29" ht="27" hidden="1">
      <c r="A34" s="526"/>
      <c r="B34" s="572" t="s">
        <v>542</v>
      </c>
      <c r="C34" s="556"/>
      <c r="D34" s="557">
        <v>100</v>
      </c>
      <c r="E34" s="556"/>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969"/>
      <c r="Q34" s="1506" t="str">
        <f t="shared" si="8"/>
        <v>毗邻道路的类型与等级</v>
      </c>
      <c r="R34" s="1507" t="s">
        <v>8</v>
      </c>
      <c r="S34" s="1508">
        <f t="shared" si="10"/>
        <v>100</v>
      </c>
      <c r="T34" s="1507" t="s">
        <v>8</v>
      </c>
      <c r="U34" s="1508">
        <f t="shared" si="11"/>
        <v>100</v>
      </c>
      <c r="V34" s="1507" t="s">
        <v>8</v>
      </c>
      <c r="W34" s="1508">
        <f t="shared" si="12"/>
        <v>100</v>
      </c>
      <c r="X34" s="1501"/>
      <c r="Y34" s="3969"/>
      <c r="Z34" s="1509" t="str">
        <f t="shared" si="13"/>
        <v>毗邻道路的类型与等级</v>
      </c>
      <c r="AA34" s="1510">
        <f t="shared" si="3"/>
        <v>1</v>
      </c>
      <c r="AB34" s="1510">
        <f t="shared" si="4"/>
        <v>1</v>
      </c>
      <c r="AC34" s="1510">
        <f t="shared" si="5"/>
        <v>1</v>
      </c>
    </row>
    <row r="35" spans="1:29" ht="20.25" hidden="1">
      <c r="A35" s="526"/>
      <c r="B35" s="560"/>
      <c r="C35" s="548"/>
      <c r="D35" s="551"/>
      <c r="E35" s="548"/>
      <c r="F35" s="549"/>
      <c r="G35" s="548"/>
      <c r="H35" s="549"/>
      <c r="I35" s="570"/>
      <c r="J35" s="549"/>
      <c r="K35" s="575"/>
      <c r="L35" s="2024"/>
      <c r="M35" s="2014"/>
      <c r="N35" s="2014"/>
      <c r="O35" s="2023"/>
      <c r="P35" s="3969"/>
      <c r="Q35" s="1506"/>
      <c r="R35" s="1507"/>
      <c r="S35" s="1508"/>
      <c r="T35" s="1507"/>
      <c r="U35" s="1508"/>
      <c r="V35" s="1507"/>
      <c r="W35" s="1508"/>
      <c r="X35" s="1501"/>
      <c r="Y35" s="3969"/>
      <c r="Z35" s="1509"/>
      <c r="AA35" s="1510">
        <v>1</v>
      </c>
      <c r="AB35" s="1510">
        <v>1</v>
      </c>
      <c r="AC35" s="1510">
        <v>1</v>
      </c>
    </row>
    <row r="36" spans="1:29" ht="20.25" hidden="1">
      <c r="A36" s="526"/>
      <c r="B36" s="576" t="s">
        <v>543</v>
      </c>
      <c r="C36" s="574"/>
      <c r="D36" s="569">
        <v>100</v>
      </c>
      <c r="E36" s="574"/>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969"/>
      <c r="Q36" s="1506" t="str">
        <f t="shared" si="8"/>
        <v>土地级别</v>
      </c>
      <c r="R36" s="1507" t="s">
        <v>8</v>
      </c>
      <c r="S36" s="1508">
        <f t="shared" si="10"/>
        <v>100</v>
      </c>
      <c r="T36" s="1507" t="s">
        <v>8</v>
      </c>
      <c r="U36" s="1508">
        <f t="shared" si="11"/>
        <v>100</v>
      </c>
      <c r="V36" s="1507" t="s">
        <v>8</v>
      </c>
      <c r="W36" s="1508">
        <f t="shared" si="12"/>
        <v>100</v>
      </c>
      <c r="X36" s="1501"/>
      <c r="Y36" s="3969"/>
      <c r="Z36" s="1509" t="str">
        <f t="shared" si="13"/>
        <v>土地级别</v>
      </c>
      <c r="AA36" s="1510">
        <f t="shared" si="3"/>
        <v>1</v>
      </c>
      <c r="AB36" s="1510">
        <f t="shared" si="4"/>
        <v>1</v>
      </c>
      <c r="AC36" s="1510">
        <f t="shared" si="5"/>
        <v>1</v>
      </c>
    </row>
    <row r="37" spans="1:29" ht="20.25" hidden="1">
      <c r="A37" s="509"/>
      <c r="B37" s="579">
        <v>111</v>
      </c>
      <c r="C37" s="580"/>
      <c r="D37" s="569">
        <v>100</v>
      </c>
      <c r="E37" s="580"/>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969"/>
      <c r="Q37" s="1506">
        <f t="shared" si="8"/>
        <v>111</v>
      </c>
      <c r="R37" s="1507" t="s">
        <v>8</v>
      </c>
      <c r="S37" s="1508">
        <f t="shared" si="10"/>
        <v>100</v>
      </c>
      <c r="T37" s="1507" t="s">
        <v>8</v>
      </c>
      <c r="U37" s="1508">
        <f t="shared" si="11"/>
        <v>100</v>
      </c>
      <c r="V37" s="1507" t="s">
        <v>8</v>
      </c>
      <c r="W37" s="1508">
        <f t="shared" si="12"/>
        <v>100</v>
      </c>
      <c r="X37" s="1501"/>
      <c r="Y37" s="3969"/>
      <c r="Z37" s="1509">
        <f t="shared" si="13"/>
        <v>111</v>
      </c>
      <c r="AA37" s="1510">
        <f t="shared" si="3"/>
        <v>1</v>
      </c>
      <c r="AB37" s="1510">
        <f t="shared" si="4"/>
        <v>1</v>
      </c>
      <c r="AC37" s="1510">
        <f t="shared" si="5"/>
        <v>1</v>
      </c>
    </row>
    <row r="38" spans="1:29" ht="20.25" hidden="1">
      <c r="A38" s="581"/>
      <c r="B38" s="582">
        <v>111</v>
      </c>
      <c r="C38" s="580"/>
      <c r="D38" s="569">
        <v>100</v>
      </c>
      <c r="E38" s="580"/>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970" t="s">
        <v>544</v>
      </c>
      <c r="Q38" s="1506">
        <f t="shared" si="8"/>
        <v>111</v>
      </c>
      <c r="R38" s="1507" t="s">
        <v>8</v>
      </c>
      <c r="S38" s="1508">
        <f t="shared" si="10"/>
        <v>100</v>
      </c>
      <c r="T38" s="1507" t="s">
        <v>8</v>
      </c>
      <c r="U38" s="1508">
        <f t="shared" si="11"/>
        <v>100</v>
      </c>
      <c r="V38" s="1507" t="s">
        <v>8</v>
      </c>
      <c r="W38" s="1508">
        <f t="shared" si="12"/>
        <v>100</v>
      </c>
      <c r="X38" s="1501"/>
      <c r="Y38" s="3971" t="s">
        <v>544</v>
      </c>
      <c r="Z38" s="1509">
        <f t="shared" si="13"/>
        <v>111</v>
      </c>
      <c r="AA38" s="1510">
        <f t="shared" si="3"/>
        <v>1</v>
      </c>
      <c r="AB38" s="1510">
        <f t="shared" si="4"/>
        <v>1</v>
      </c>
      <c r="AC38" s="1510">
        <f t="shared" si="5"/>
        <v>1</v>
      </c>
    </row>
    <row r="39" spans="1:29" s="1293" customFormat="1" ht="21" hidden="1" thickBot="1">
      <c r="A39" s="583"/>
      <c r="B39" s="584">
        <v>111</v>
      </c>
      <c r="C39" s="585"/>
      <c r="D39" s="732">
        <v>100</v>
      </c>
      <c r="E39" s="733"/>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971"/>
      <c r="Q39" s="1506">
        <f t="shared" si="8"/>
        <v>111</v>
      </c>
      <c r="R39" s="1511" t="s">
        <v>8</v>
      </c>
      <c r="S39" s="1512">
        <f t="shared" si="10"/>
        <v>100</v>
      </c>
      <c r="T39" s="1511" t="s">
        <v>8</v>
      </c>
      <c r="U39" s="1512">
        <f t="shared" si="11"/>
        <v>100</v>
      </c>
      <c r="V39" s="1511" t="s">
        <v>8</v>
      </c>
      <c r="W39" s="1512">
        <f t="shared" si="12"/>
        <v>100</v>
      </c>
      <c r="X39" s="1513"/>
      <c r="Y39" s="3971"/>
      <c r="Z39" s="1514">
        <f t="shared" si="13"/>
        <v>111</v>
      </c>
      <c r="AA39" s="1510">
        <f t="shared" si="3"/>
        <v>1</v>
      </c>
      <c r="AB39" s="1510">
        <f t="shared" si="4"/>
        <v>1</v>
      </c>
      <c r="AC39" s="1510">
        <f t="shared" si="5"/>
        <v>1</v>
      </c>
    </row>
    <row r="40" spans="1:29" ht="20.25">
      <c r="A40" s="2624" t="s">
        <v>2734</v>
      </c>
      <c r="B40" s="589" t="s">
        <v>546</v>
      </c>
      <c r="C40" s="590">
        <v>55524.93</v>
      </c>
      <c r="D40" s="591">
        <v>100</v>
      </c>
      <c r="E40" s="590">
        <f>[3]土地案例!$F$7</f>
        <v>39479.050000000003</v>
      </c>
      <c r="F40" s="591">
        <f>LOOKUP(E40,119:119,120:120)-LOOKUP(C40,119:119,120:120)+100</f>
        <v>99</v>
      </c>
      <c r="G40" s="590">
        <f>[3]土地案例!$F$20</f>
        <v>51339.15</v>
      </c>
      <c r="H40" s="591">
        <f>LOOKUP(G40,119:119,120:120)-LOOKUP(C40,119:119,120:120)+100</f>
        <v>100</v>
      </c>
      <c r="I40" s="592">
        <f>[3]土地案例!$F$22</f>
        <v>44507.26</v>
      </c>
      <c r="J40" s="591">
        <f>LOOKUP(I40,119:119,120:120)-LOOKUP(C40,119:119,120:120)+100</f>
        <v>100</v>
      </c>
      <c r="K40" s="575"/>
      <c r="L40" s="2024"/>
      <c r="M40" s="2014"/>
      <c r="N40" s="2014"/>
      <c r="O40" s="2023"/>
      <c r="P40" s="3971"/>
      <c r="Q40" s="1506" t="str">
        <f>B40</f>
        <v>宗地面积</v>
      </c>
      <c r="R40" s="1507" t="s">
        <v>8</v>
      </c>
      <c r="S40" s="1508">
        <f t="shared" si="10"/>
        <v>99</v>
      </c>
      <c r="T40" s="1507" t="s">
        <v>8</v>
      </c>
      <c r="U40" s="1508">
        <f t="shared" si="11"/>
        <v>100</v>
      </c>
      <c r="V40" s="1507" t="s">
        <v>8</v>
      </c>
      <c r="W40" s="1508">
        <f t="shared" si="12"/>
        <v>100</v>
      </c>
      <c r="X40" s="1501"/>
      <c r="Y40" s="3971"/>
      <c r="Z40" s="1509" t="str">
        <f t="shared" si="13"/>
        <v>宗地面积</v>
      </c>
      <c r="AA40" s="1510">
        <f t="shared" si="3"/>
        <v>1.0101010101010102</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971"/>
      <c r="Q41" s="1506" t="str">
        <f t="shared" ref="Q41:Q47" si="14">B41</f>
        <v>宗地形状</v>
      </c>
      <c r="R41" s="1507" t="s">
        <v>8</v>
      </c>
      <c r="S41" s="1508">
        <f t="shared" si="10"/>
        <v>100</v>
      </c>
      <c r="T41" s="1507" t="s">
        <v>8</v>
      </c>
      <c r="U41" s="1508">
        <f t="shared" si="11"/>
        <v>100</v>
      </c>
      <c r="V41" s="1507" t="s">
        <v>8</v>
      </c>
      <c r="W41" s="1508">
        <f t="shared" si="12"/>
        <v>100</v>
      </c>
      <c r="X41" s="1501"/>
      <c r="Y41" s="3971"/>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971"/>
      <c r="Q42" s="1506" t="str">
        <f t="shared" si="14"/>
        <v>临街宽度及深度</v>
      </c>
      <c r="R42" s="1507" t="s">
        <v>8</v>
      </c>
      <c r="S42" s="1508">
        <f t="shared" si="10"/>
        <v>100</v>
      </c>
      <c r="T42" s="1507" t="s">
        <v>8</v>
      </c>
      <c r="U42" s="1508">
        <f t="shared" si="11"/>
        <v>100</v>
      </c>
      <c r="V42" s="1507" t="s">
        <v>8</v>
      </c>
      <c r="W42" s="1508">
        <f t="shared" si="12"/>
        <v>100</v>
      </c>
      <c r="X42" s="1501"/>
      <c r="Y42" s="3971"/>
      <c r="Z42" s="1509" t="str">
        <f t="shared" si="13"/>
        <v>临街宽度及深度</v>
      </c>
      <c r="AA42" s="1510">
        <f t="shared" si="3"/>
        <v>1</v>
      </c>
      <c r="AB42" s="1510">
        <f t="shared" si="4"/>
        <v>1</v>
      </c>
      <c r="AC42" s="1510">
        <f t="shared" si="5"/>
        <v>1</v>
      </c>
    </row>
    <row r="43" spans="1:29" s="1203" customFormat="1" ht="20.25">
      <c r="A43" s="594"/>
      <c r="B43" s="1809" t="s">
        <v>2409</v>
      </c>
      <c r="C43" s="595" t="s">
        <v>3027</v>
      </c>
      <c r="D43" s="253">
        <v>100</v>
      </c>
      <c r="E43" s="595" t="s">
        <v>3025</v>
      </c>
      <c r="F43" s="534">
        <f>SUMIF(125:125,E43,126:126)-SUMIF(125:125,C43,126:126)+100</f>
        <v>98</v>
      </c>
      <c r="G43" s="595" t="s">
        <v>3025</v>
      </c>
      <c r="H43" s="534">
        <f>SUMIF(125:125,G43,126:126)-SUMIF(125:125,C43,126:126)+100</f>
        <v>98</v>
      </c>
      <c r="I43" s="595" t="s">
        <v>3025</v>
      </c>
      <c r="J43" s="534">
        <f>SUMIF(125:125,I43,126:126)-SUMIF(125:125,C43,126:126)+100</f>
        <v>98</v>
      </c>
      <c r="K43" s="578">
        <v>1</v>
      </c>
      <c r="L43" s="2017"/>
      <c r="M43" s="2014"/>
      <c r="N43" s="2014"/>
      <c r="O43" s="2019"/>
      <c r="P43" s="3971"/>
      <c r="Q43" s="1506" t="str">
        <f t="shared" si="14"/>
        <v>宗地开发程度</v>
      </c>
      <c r="R43" s="1502" t="s">
        <v>8</v>
      </c>
      <c r="S43" s="1503">
        <f t="shared" si="10"/>
        <v>98</v>
      </c>
      <c r="T43" s="1502" t="s">
        <v>8</v>
      </c>
      <c r="U43" s="1503">
        <f t="shared" si="11"/>
        <v>98</v>
      </c>
      <c r="V43" s="1502" t="s">
        <v>8</v>
      </c>
      <c r="W43" s="1503">
        <f t="shared" si="12"/>
        <v>98</v>
      </c>
      <c r="X43" s="1504"/>
      <c r="Y43" s="3971"/>
      <c r="Z43" s="1133" t="str">
        <f t="shared" si="13"/>
        <v>宗地开发程度</v>
      </c>
      <c r="AA43" s="1505">
        <f t="shared" si="3"/>
        <v>1.0204081632653061</v>
      </c>
      <c r="AB43" s="1505">
        <f t="shared" si="4"/>
        <v>1.0204081632653061</v>
      </c>
      <c r="AC43" s="1505">
        <f t="shared" si="5"/>
        <v>1.0204081632653061</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971" t="s">
        <v>544</v>
      </c>
      <c r="Q44" s="1506" t="str">
        <f t="shared" si="14"/>
        <v>工程地质条件</v>
      </c>
      <c r="R44" s="1507" t="s">
        <v>8</v>
      </c>
      <c r="S44" s="1508">
        <f t="shared" si="10"/>
        <v>100</v>
      </c>
      <c r="T44" s="1507" t="s">
        <v>8</v>
      </c>
      <c r="U44" s="1508">
        <f t="shared" si="11"/>
        <v>100</v>
      </c>
      <c r="V44" s="1507" t="s">
        <v>8</v>
      </c>
      <c r="W44" s="1508">
        <f t="shared" si="12"/>
        <v>100</v>
      </c>
      <c r="X44" s="1501"/>
      <c r="Y44" s="3971"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971"/>
      <c r="Q45" s="1506">
        <f t="shared" si="14"/>
        <v>111</v>
      </c>
      <c r="R45" s="1507" t="s">
        <v>8</v>
      </c>
      <c r="S45" s="1508">
        <f t="shared" si="10"/>
        <v>100</v>
      </c>
      <c r="T45" s="1507" t="s">
        <v>8</v>
      </c>
      <c r="U45" s="1508">
        <f t="shared" si="11"/>
        <v>100</v>
      </c>
      <c r="V45" s="1507" t="s">
        <v>8</v>
      </c>
      <c r="W45" s="1508">
        <f t="shared" si="12"/>
        <v>100</v>
      </c>
      <c r="X45" s="1501"/>
      <c r="Y45" s="3971"/>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971"/>
      <c r="Q46" s="1506">
        <f t="shared" si="14"/>
        <v>111</v>
      </c>
      <c r="R46" s="1507" t="s">
        <v>8</v>
      </c>
      <c r="S46" s="1508">
        <f t="shared" si="10"/>
        <v>100</v>
      </c>
      <c r="T46" s="1507" t="s">
        <v>8</v>
      </c>
      <c r="U46" s="1508">
        <f t="shared" si="11"/>
        <v>100</v>
      </c>
      <c r="V46" s="1507" t="s">
        <v>8</v>
      </c>
      <c r="W46" s="1508">
        <f t="shared" si="12"/>
        <v>100</v>
      </c>
      <c r="X46" s="1501"/>
      <c r="Y46" s="3971"/>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971"/>
      <c r="Q47" s="1506">
        <f t="shared" si="14"/>
        <v>111</v>
      </c>
      <c r="R47" s="1511" t="s">
        <v>8</v>
      </c>
      <c r="S47" s="1512">
        <f t="shared" si="10"/>
        <v>100</v>
      </c>
      <c r="T47" s="1511" t="s">
        <v>8</v>
      </c>
      <c r="U47" s="1512">
        <f t="shared" si="11"/>
        <v>100</v>
      </c>
      <c r="V47" s="1511" t="s">
        <v>8</v>
      </c>
      <c r="W47" s="1512">
        <f t="shared" si="12"/>
        <v>100</v>
      </c>
      <c r="X47" s="1513"/>
      <c r="Y47" s="3971"/>
      <c r="Z47" s="1514">
        <f t="shared" si="13"/>
        <v>111</v>
      </c>
      <c r="AA47" s="1510">
        <f t="shared" si="3"/>
        <v>1</v>
      </c>
      <c r="AB47" s="1510">
        <f t="shared" si="4"/>
        <v>1</v>
      </c>
      <c r="AC47" s="1510">
        <f t="shared" si="5"/>
        <v>1</v>
      </c>
    </row>
    <row r="48" spans="1:29" ht="20.25">
      <c r="A48" s="601" t="s">
        <v>550</v>
      </c>
      <c r="B48" s="602" t="s">
        <v>3028</v>
      </c>
      <c r="C48" s="603" t="s">
        <v>1</v>
      </c>
      <c r="D48" s="604"/>
      <c r="E48" s="605">
        <v>69542</v>
      </c>
      <c r="F48" s="606"/>
      <c r="G48" s="607">
        <v>70070</v>
      </c>
      <c r="H48" s="608"/>
      <c r="I48" s="605">
        <v>70027</v>
      </c>
      <c r="J48" s="608"/>
      <c r="K48" s="1294"/>
      <c r="L48" s="2026"/>
      <c r="M48" s="2014"/>
      <c r="N48" s="2014"/>
      <c r="O48" s="2027"/>
      <c r="P48" s="3930" t="str">
        <f>A48</f>
        <v>成交单价</v>
      </c>
      <c r="Q48" s="3930"/>
      <c r="R48" s="3931">
        <f>E48</f>
        <v>69542</v>
      </c>
      <c r="S48" s="3931"/>
      <c r="T48" s="3931">
        <f>G48</f>
        <v>70070</v>
      </c>
      <c r="U48" s="3931"/>
      <c r="V48" s="3931">
        <f>I48</f>
        <v>70027</v>
      </c>
      <c r="W48" s="3931"/>
      <c r="X48" s="1496"/>
      <c r="Y48" s="1515"/>
      <c r="Z48" s="1496"/>
      <c r="AA48" s="1496"/>
      <c r="AB48" s="1496"/>
      <c r="AC48" s="1496"/>
    </row>
    <row r="49" spans="1:29" ht="21" thickBot="1">
      <c r="A49" s="609" t="s">
        <v>2672</v>
      </c>
      <c r="B49" s="610"/>
      <c r="C49" s="611">
        <f>R50</f>
        <v>64594</v>
      </c>
      <c r="D49" s="3013" t="s">
        <v>2970</v>
      </c>
      <c r="E49" s="611">
        <f>R49</f>
        <v>68631</v>
      </c>
      <c r="F49" s="3014"/>
      <c r="G49" s="612">
        <f>T49</f>
        <v>62595</v>
      </c>
      <c r="H49" s="3014"/>
      <c r="I49" s="611">
        <f>V49</f>
        <v>62556</v>
      </c>
      <c r="J49" s="3014"/>
      <c r="K49" s="3015">
        <f>F49+H49+J49</f>
        <v>0</v>
      </c>
      <c r="L49" s="2026"/>
      <c r="M49" s="2014"/>
      <c r="N49" s="2014"/>
      <c r="O49" s="2027"/>
      <c r="P49" s="3930" t="str">
        <f>A49</f>
        <v>比较价格（元/平方米）</v>
      </c>
      <c r="Q49" s="3930"/>
      <c r="R49" s="3932">
        <f>ROUND(PRODUCT(R48,AA9:AA47),0)</f>
        <v>68631</v>
      </c>
      <c r="S49" s="3932"/>
      <c r="T49" s="3932">
        <f>ROUND(PRODUCT(T48,AB9:AB47),0)</f>
        <v>62595</v>
      </c>
      <c r="U49" s="3932"/>
      <c r="V49" s="3932">
        <f>ROUND(PRODUCT(V48,AC9:AC47),0)</f>
        <v>62556</v>
      </c>
      <c r="W49" s="3932"/>
      <c r="X49" s="1496"/>
      <c r="Y49" s="1496"/>
      <c r="Z49" s="1496"/>
      <c r="AA49" s="1496"/>
      <c r="AB49" s="1496"/>
      <c r="AC49" s="1496"/>
    </row>
    <row r="50" spans="1:29" ht="21" thickBot="1">
      <c r="A50" s="613" t="s">
        <v>2902</v>
      </c>
      <c r="B50" s="614"/>
      <c r="C50" s="615">
        <f>R50</f>
        <v>64594</v>
      </c>
      <c r="D50" s="615"/>
      <c r="E50" s="615"/>
      <c r="F50" s="615"/>
      <c r="G50" s="615"/>
      <c r="H50" s="615"/>
      <c r="I50" s="615"/>
      <c r="J50" s="615"/>
      <c r="K50" s="1295"/>
      <c r="L50" s="2026"/>
      <c r="M50" s="2014"/>
      <c r="N50" s="2014"/>
      <c r="O50" s="2027"/>
      <c r="P50" s="3927" t="str">
        <f>A50</f>
        <v>估价对象XX用房的比较价格（楼面单价，元/平方米）</v>
      </c>
      <c r="Q50" s="3928"/>
      <c r="R50" s="3929">
        <f>ROUND(IF(D49="简单平均",AVERAGE(R49:W49),R49*F49+T49*H49+V49*J49),0)</f>
        <v>64594</v>
      </c>
      <c r="S50" s="3929"/>
      <c r="T50" s="3929"/>
      <c r="U50" s="3929"/>
      <c r="V50" s="3929"/>
      <c r="W50" s="3929"/>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1.3273884979090989E-2</v>
      </c>
      <c r="F53" s="619" t="str">
        <f>IF(OR(E53&gt;=0.3,E53&lt;=-0.3),"超过30%","")</f>
        <v/>
      </c>
      <c r="G53" s="618">
        <f>IF(G48&lt;G49,G49/G48-1,G48/G49-1)</f>
        <v>0.11941848390446519</v>
      </c>
      <c r="H53" s="619" t="str">
        <f>IF(OR(G53&gt;=0.3,G53&lt;=-0.3),"超过30%","")</f>
        <v/>
      </c>
      <c r="I53" s="618">
        <f>IF(I48&lt;I49,I49/I48-1,I48/I49-1)</f>
        <v>0.1194289916235054</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9.6429427270548818E-2</v>
      </c>
      <c r="F54" s="619" t="str">
        <f>IF(OR(E54&gt;=0.2,E54&lt;=-0.2),"超过20%","")</f>
        <v/>
      </c>
      <c r="G54" s="618">
        <f>IF(G49&lt;I49,I49/G49-1,G49/I49-1)</f>
        <v>6.2344139650871711E-4</v>
      </c>
      <c r="H54" s="619" t="str">
        <f>IF(OR(G54&gt;=0.2,G54&lt;=-0.2),"超过20%","")</f>
        <v/>
      </c>
      <c r="I54" s="618">
        <f>IF(I49&lt;E49,E49/I49-1,I49/E49-1)</f>
        <v>9.7112986763859599E-2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f>IF(E48&lt;G48,G48/E48-1,E48/G48-1)</f>
        <v>7.5925340082252379E-3</v>
      </c>
      <c r="F55" s="619" t="str">
        <f>IF(OR(E55&gt;=0.3,E55&lt;=-0.3),"超过30%","")</f>
        <v/>
      </c>
      <c r="G55" s="618">
        <f>IF(G48&lt;I48,I48/G48-1,G48/I48-1)</f>
        <v>6.1404886686555749E-4</v>
      </c>
      <c r="H55" s="619" t="str">
        <f>IF(OR(G55&gt;=0.3,G55&lt;=-0.3),"超过30%","")</f>
        <v/>
      </c>
      <c r="I55" s="618">
        <f>IF(I48&lt;E48,E48/I48-1,I48/E48-1)</f>
        <v>6.9742026401311552E-3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960" t="s">
        <v>2269</v>
      </c>
      <c r="H57" s="3961"/>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64594</v>
      </c>
      <c r="C58" s="627">
        <v>1</v>
      </c>
      <c r="D58" s="2108">
        <v>1</v>
      </c>
      <c r="E58" s="627">
        <f>'数据-汇总表'!E8+'数据-汇总表'!E9</f>
        <v>44536</v>
      </c>
      <c r="F58" s="628">
        <f t="shared" ref="F58:F67" si="15">ROUND(B58*E58/10000,0)</f>
        <v>287676</v>
      </c>
      <c r="G58" s="3962"/>
      <c r="H58" s="3963"/>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964"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964"/>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964"/>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964"/>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4037</v>
      </c>
      <c r="C64" s="372">
        <f t="shared" si="16"/>
        <v>0.25</v>
      </c>
      <c r="D64" s="2109">
        <v>0.25</v>
      </c>
      <c r="E64" s="633">
        <f>'数据-汇总表'!E12</f>
        <v>0</v>
      </c>
      <c r="F64" s="628">
        <f t="shared" si="15"/>
        <v>0</v>
      </c>
      <c r="G64" s="1860" t="s">
        <v>914</v>
      </c>
      <c r="H64" s="1858" t="str">
        <f>IF(G64="商业",项目基本情况!B43,IF(G64="办公",项目基本情况!C43,IF(G64="住宅",项目基本情况!D43,项目基本情况!E43)))</f>
        <v>六级</v>
      </c>
      <c r="I64" s="1494">
        <f>SUMIF(修正!$A$45:$A$56,H64,修正!G45:G56)</f>
        <v>0.25</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3230</v>
      </c>
      <c r="C65" s="372">
        <f t="shared" si="16"/>
        <v>0.2</v>
      </c>
      <c r="D65" s="2109">
        <v>0.25</v>
      </c>
      <c r="E65" s="633">
        <f>'数据-汇总表'!E13</f>
        <v>14921</v>
      </c>
      <c r="F65" s="628">
        <f t="shared" si="15"/>
        <v>4819</v>
      </c>
      <c r="G65" s="1860" t="s">
        <v>914</v>
      </c>
      <c r="H65" s="1858" t="str">
        <f>IF(G65="商业",项目基本情况!B43,IF(G65="办公",项目基本情况!C43,IF(G65="住宅",项目基本情况!D43,项目基本情况!E43)))</f>
        <v>六级</v>
      </c>
      <c r="I65" s="1494">
        <f>SUMIF(修正!$A$45:$A$56,H65,修正!H45:H56)</f>
        <v>0.2</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59457</v>
      </c>
      <c r="F68" s="636">
        <f>IF(B48="楼面地价",SUM(F58:F67),ROUND(C50*E68/10000,0))</f>
        <v>292495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N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914</v>
      </c>
      <c r="B73" s="473" t="str">
        <f>"北京市平均增长率"&amp;TEXT(SUMIF(基准地价!N21:N25,A73,基准地价!P21:P25),"0.00%")</f>
        <v>北京市平均增长率1.85%</v>
      </c>
      <c r="C73" s="883">
        <v>100</v>
      </c>
      <c r="D73" s="722">
        <v>100</v>
      </c>
      <c r="E73" s="722">
        <v>100</v>
      </c>
      <c r="F73" s="722">
        <v>100</v>
      </c>
      <c r="G73" s="722">
        <v>100</v>
      </c>
      <c r="H73" s="722">
        <v>99</v>
      </c>
      <c r="I73" s="722">
        <v>98</v>
      </c>
      <c r="J73" s="722">
        <v>97</v>
      </c>
      <c r="K73" s="722">
        <v>96</v>
      </c>
      <c r="L73" s="722">
        <v>95</v>
      </c>
      <c r="M73" s="722">
        <v>94</v>
      </c>
      <c r="N73" s="722">
        <v>93</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0（含）-1.01</v>
      </c>
      <c r="D81" s="674" t="str">
        <f t="shared" ref="D81:L81" si="20">D82&amp;"（含）"&amp;"-"&amp;E82</f>
        <v>1.01（含）-2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1.01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97</v>
      </c>
      <c r="E97" s="671">
        <f>D97-$K23</f>
        <v>94</v>
      </c>
      <c r="F97" s="671">
        <f>E97-$K23</f>
        <v>91</v>
      </c>
      <c r="G97" s="671">
        <f>F97-$K23</f>
        <v>88</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v>120000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692">
        <v>102</v>
      </c>
      <c r="F120" s="718">
        <v>103</v>
      </c>
      <c r="G120" s="692">
        <v>104</v>
      </c>
      <c r="H120" s="718">
        <v>105</v>
      </c>
      <c r="I120" s="692">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3753" t="s">
        <v>3282</v>
      </c>
      <c r="D125" s="3753" t="s">
        <v>3283</v>
      </c>
      <c r="E125" s="3753" t="s">
        <v>3284</v>
      </c>
      <c r="F125" s="3753" t="s">
        <v>3285</v>
      </c>
      <c r="G125" s="3753" t="s">
        <v>3286</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3" sqref="N2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308176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36750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68516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4568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471446</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914</v>
      </c>
      <c r="D7" s="430" t="s">
        <v>3031</v>
      </c>
      <c r="E7" s="430"/>
      <c r="F7" s="430"/>
      <c r="G7" s="430"/>
      <c r="H7" s="430"/>
      <c r="I7" s="430"/>
      <c r="J7" s="430"/>
      <c r="K7" s="431"/>
      <c r="AA7" s="1994"/>
      <c r="AB7" s="1994"/>
      <c r="AC7" s="1994"/>
      <c r="AD7" s="1994"/>
      <c r="AE7" s="1994"/>
    </row>
    <row r="8" spans="1:31" s="1997" customFormat="1" ht="13.5" customHeight="1">
      <c r="A8" s="793" t="s">
        <v>1836</v>
      </c>
      <c r="B8" s="259" t="s">
        <v>466</v>
      </c>
      <c r="C8" s="2551">
        <f>'[1]比较法-住宅平墅'!$C$49</f>
        <v>101833</v>
      </c>
      <c r="D8" s="2551">
        <f>'[1]比较法-车位平墅'!$C$39</f>
        <v>476684</v>
      </c>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44536</v>
      </c>
      <c r="D9" s="435">
        <f>SUMIF('数据-汇总表'!$C19:$C33,'剩余法-待开发'!D7,'数据-汇总表'!$E19:$E33)</f>
        <v>14921</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1">
        <f>ROUND(C8*C9/10000,0)</f>
        <v>453523</v>
      </c>
      <c r="D10" s="2741">
        <f>ROUND(376*D8/10000,0)</f>
        <v>17923</v>
      </c>
      <c r="E10" s="2741"/>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29298</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879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779</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1677</v>
      </c>
      <c r="D16" s="2561">
        <f ca="1">IF(B1="",'数据-汇总表'!E3,INDIRECT("'数据-取费表'!K"&amp;$K$1)+INDIRECT("'数据-取费表'!S"&amp;$K$1))</f>
        <v>83857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439</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33072</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83857</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1499</v>
      </c>
      <c r="D20" s="2571"/>
      <c r="E20" s="2525"/>
      <c r="F20" s="2572"/>
      <c r="G20" s="2775"/>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713</v>
      </c>
      <c r="D21" s="2561">
        <f ca="1">IF(B1="",'数据-汇总表'!E5,IF(INDIRECT("'数据-取费表'!c"&amp;$K$1)="住宅",INDIRECT("'数据-取费表'!k"&amp;$K$1),0))</f>
        <v>44536</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786</v>
      </c>
      <c r="D22" s="2561">
        <f ca="1">IF(B1="",'数据-汇总表'!E6,IF(INDIRECT("'数据-取费表'!c"&amp;$K$1)="住宅",INDIRECT("'数据-取费表'!s"&amp;$K$1),INDIRECT("'数据-取费表'!k"&amp;$K$1)+INDIRECT("'数据-取费表'!s"&amp;$K$1)))</f>
        <v>39321</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2812</v>
      </c>
      <c r="C23" s="2569">
        <f ca="1">ROUND((C18+C19+C20)*F23,0)</f>
        <v>691</v>
      </c>
      <c r="D23" s="462"/>
      <c r="E23" s="462"/>
      <c r="F23" s="2573">
        <f>'数据-取费表'!B37</f>
        <v>0.02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7" t="s">
        <v>2815</v>
      </c>
      <c r="C24" s="2569">
        <f>ROUND(C6*F24,0)</f>
        <v>9429</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7" t="s">
        <v>2813</v>
      </c>
      <c r="C25" s="461">
        <f>ROUND(F25/(1+'数据-取费表'!C42),4)</f>
        <v>2.9000000000000001E-2</v>
      </c>
      <c r="D25" s="456" t="s">
        <v>2807</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8" t="s">
        <v>2814</v>
      </c>
      <c r="C26" s="2574">
        <f ca="1">C28</f>
        <v>1721</v>
      </c>
      <c r="D26" s="461">
        <f ca="1">C27</f>
        <v>8.0799999999999997E-2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8.0799999999999997E-2</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2816</v>
      </c>
      <c r="C28" s="2577">
        <f ca="1">ROUND(IF('数据-取费表'!B22&lt;=1,(C18+C19+C20+C23+C24)*F26*'数据-取费表'!B24/2,(C18+C19+C20+C23+C24)*(POWER((1+F26),'数据-取费表'!B24/2)-1)),0)</f>
        <v>1721</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ROUND(C6*F29/(1+'数据-取费表'!C42),0)</f>
        <v>25144</v>
      </c>
      <c r="D29" s="462"/>
      <c r="E29" s="462"/>
      <c r="F29" s="2749">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71556</v>
      </c>
      <c r="D30" s="471">
        <f ca="1">C32</f>
        <v>0.10979999999999999</v>
      </c>
      <c r="E30" s="463" t="s">
        <v>489</v>
      </c>
      <c r="F30" s="465"/>
      <c r="G30" s="2537" t="s">
        <v>2935</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71556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0.10979999999999999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6" t="s">
        <v>2811</v>
      </c>
      <c r="B33" s="2744" t="s">
        <v>2809</v>
      </c>
      <c r="C33" s="472">
        <f ca="1">C35</f>
        <v>7151</v>
      </c>
      <c r="D33" s="461">
        <f ca="1">C34</f>
        <v>0.1646</v>
      </c>
      <c r="E33" s="463" t="s">
        <v>489</v>
      </c>
      <c r="F33" s="473">
        <f ca="1">IF(B1="",'数据-取费表'!Q16,INDIRECT("'数据-取费表'!q"&amp;$K$1))</f>
        <v>0.16</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0.1646</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5" t="s">
        <v>2817</v>
      </c>
      <c r="C35" s="1556">
        <f ca="1">ROUND((C18+C19+C20+C23+C24)*F33,0)</f>
        <v>7151</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308176</v>
      </c>
      <c r="D36" s="2543"/>
      <c r="E36" s="2543"/>
      <c r="F36" s="2543"/>
      <c r="G36" s="2542" t="s">
        <v>2818</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754" t="str">
        <f>项目基本情况!B1</f>
        <v>北京市出让国有建设用地使用权抵押价格预评估</v>
      </c>
      <c r="C37" s="3754"/>
      <c r="D37" s="3754"/>
      <c r="E37" s="3754"/>
      <c r="F37" s="3754"/>
      <c r="G37" s="3754"/>
      <c r="H37" s="3754"/>
      <c r="I37" s="3754"/>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29298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879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779</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1677</v>
      </c>
      <c r="D16" s="445">
        <f ca="1">IF(B1="",'数据-汇总表'!E3,INDIRECT("'数据-取费表'!K"&amp;$K$1)+INDIRECT("'数据-取费表'!S"&amp;$K$1))</f>
        <v>83857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439</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33072</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661</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2">
        <f>F20</f>
        <v>0.02</v>
      </c>
      <c r="D20" s="463" t="s">
        <v>499</v>
      </c>
      <c r="E20" s="463"/>
      <c r="F20" s="480">
        <f>'数据-取费表'!B38</f>
        <v>0.02</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1299</v>
      </c>
      <c r="D21" s="461">
        <f ca="1">C23</f>
        <v>8.0000000000000004E-4</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2" t="s">
        <v>2419</v>
      </c>
      <c r="C22" s="481">
        <f ca="1">ROUND(IF('数据-取费表'!B22&lt;=1,(C18+C19)*F21*'数据-取费表'!B20/2,(C18+C19)*(POWER((1+F21),'数据-取费表'!B20/2)-1)),0)</f>
        <v>1299</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2"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4" t="s">
        <v>2810</v>
      </c>
      <c r="C24" s="472">
        <f ca="1">C25</f>
        <v>5397</v>
      </c>
      <c r="D24" s="483">
        <f ca="1">C26</f>
        <v>3.2000000000000002E-3</v>
      </c>
      <c r="E24" s="463" t="s">
        <v>501</v>
      </c>
      <c r="F24" s="473">
        <f ca="1">IF(B1="",'数据-取费表'!Q16,INDIRECT("'数据-取费表'!q"&amp;$K$1))</f>
        <v>0.16</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2" t="s">
        <v>2420</v>
      </c>
      <c r="C25" s="484">
        <f ca="1">ROUND((C18+C19)*F24,0)</f>
        <v>5397</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2" t="s">
        <v>503</v>
      </c>
      <c r="C26" s="485">
        <f ca="1">ROUND(F20*F24,4)</f>
        <v>3.2000000000000002E-3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3">
        <f>ROUND(F27/(1+'数据-取费表'!C42),4)</f>
        <v>5.33E-2</v>
      </c>
      <c r="D27" s="456" t="s">
        <v>2808</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43816</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2936</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936" t="s">
        <v>516</v>
      </c>
      <c r="D6" s="3937"/>
      <c r="E6" s="3972" t="s">
        <v>517</v>
      </c>
      <c r="F6" s="3973"/>
      <c r="G6" s="3936" t="s">
        <v>518</v>
      </c>
      <c r="H6" s="3937"/>
      <c r="I6" s="3936" t="s">
        <v>519</v>
      </c>
      <c r="J6" s="3937"/>
      <c r="K6" s="508" t="s">
        <v>520</v>
      </c>
      <c r="L6" s="2015"/>
      <c r="M6" s="2016"/>
      <c r="N6" s="2016"/>
      <c r="O6" s="2016"/>
      <c r="P6" s="3938" t="s">
        <v>521</v>
      </c>
      <c r="Q6" s="3939"/>
      <c r="R6" s="3944" t="s">
        <v>517</v>
      </c>
      <c r="S6" s="3945"/>
      <c r="T6" s="3944" t="s">
        <v>518</v>
      </c>
      <c r="U6" s="3945"/>
      <c r="V6" s="3931" t="s">
        <v>519</v>
      </c>
      <c r="W6" s="3931"/>
      <c r="X6" s="1501"/>
      <c r="Y6" s="3944" t="s">
        <v>521</v>
      </c>
      <c r="Z6" s="3945"/>
      <c r="AA6" s="3933" t="s">
        <v>517</v>
      </c>
      <c r="AB6" s="3934" t="s">
        <v>518</v>
      </c>
      <c r="AC6" s="3933" t="s">
        <v>519</v>
      </c>
    </row>
    <row r="7" spans="1:29" ht="15">
      <c r="A7" s="509"/>
      <c r="B7" s="510"/>
      <c r="C7" s="3952" t="s">
        <v>2896</v>
      </c>
      <c r="D7" s="3953"/>
      <c r="E7" s="3958" t="s">
        <v>2897</v>
      </c>
      <c r="F7" s="3959"/>
      <c r="G7" s="3952" t="s">
        <v>2898</v>
      </c>
      <c r="H7" s="3953"/>
      <c r="I7" s="3952" t="s">
        <v>2899</v>
      </c>
      <c r="J7" s="3953"/>
      <c r="K7" s="508"/>
      <c r="L7" s="2015"/>
      <c r="M7" s="2016"/>
      <c r="N7" s="2016"/>
      <c r="O7" s="2016"/>
      <c r="P7" s="3940"/>
      <c r="Q7" s="3941"/>
      <c r="R7" s="3946"/>
      <c r="S7" s="3947"/>
      <c r="T7" s="3946"/>
      <c r="U7" s="3947"/>
      <c r="V7" s="3931"/>
      <c r="W7" s="3931"/>
      <c r="X7" s="1501"/>
      <c r="Y7" s="3946"/>
      <c r="Z7" s="3947"/>
      <c r="AA7" s="3934"/>
      <c r="AB7" s="3934"/>
      <c r="AC7" s="3934"/>
    </row>
    <row r="8" spans="1:29" ht="15.75" thickBot="1">
      <c r="A8" s="511"/>
      <c r="B8" s="512"/>
      <c r="C8" s="3950" t="s">
        <v>2900</v>
      </c>
      <c r="D8" s="3951"/>
      <c r="E8" s="3956" t="s">
        <v>2900</v>
      </c>
      <c r="F8" s="3957"/>
      <c r="G8" s="3950" t="s">
        <v>2900</v>
      </c>
      <c r="H8" s="3951"/>
      <c r="I8" s="3950" t="s">
        <v>2900</v>
      </c>
      <c r="J8" s="3951"/>
      <c r="K8" s="508" t="s">
        <v>522</v>
      </c>
      <c r="L8" s="2015"/>
      <c r="M8" s="2016"/>
      <c r="N8" s="2016"/>
      <c r="O8" s="2016"/>
      <c r="P8" s="3942"/>
      <c r="Q8" s="3943"/>
      <c r="R8" s="3946"/>
      <c r="S8" s="3947"/>
      <c r="T8" s="3948"/>
      <c r="U8" s="3949"/>
      <c r="V8" s="3931"/>
      <c r="W8" s="3931"/>
      <c r="X8" s="1501"/>
      <c r="Y8" s="3948"/>
      <c r="Z8" s="3949"/>
      <c r="AA8" s="3935"/>
      <c r="AB8" s="3935"/>
      <c r="AC8" s="3935"/>
    </row>
    <row r="9" spans="1:29" s="1203" customFormat="1" ht="15.75" thickBot="1">
      <c r="A9" s="2628"/>
      <c r="B9" s="2635" t="s">
        <v>523</v>
      </c>
      <c r="C9" s="513">
        <f>'数据-取费表'!B2</f>
        <v>44232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965" t="s">
        <v>524</v>
      </c>
      <c r="Q9" s="3967"/>
      <c r="R9" s="1502" t="s">
        <v>8</v>
      </c>
      <c r="S9" s="1503">
        <f t="shared" ref="S9:S17" si="0">F9</f>
        <v>0</v>
      </c>
      <c r="T9" s="1502" t="s">
        <v>8</v>
      </c>
      <c r="U9" s="1503">
        <f t="shared" ref="U9:U17" si="1">H9</f>
        <v>0</v>
      </c>
      <c r="V9" s="1502" t="s">
        <v>8</v>
      </c>
      <c r="W9" s="1503">
        <f t="shared" ref="W9:W17" si="2">J9</f>
        <v>0</v>
      </c>
      <c r="X9" s="1504"/>
      <c r="Y9" s="3965" t="s">
        <v>524</v>
      </c>
      <c r="Z9" s="3966"/>
      <c r="AA9" s="1505" t="e">
        <f>D9/F9</f>
        <v>#DIV/0!</v>
      </c>
      <c r="AB9" s="1505" t="e">
        <f>D9/H9</f>
        <v>#DIV/0!</v>
      </c>
      <c r="AC9" s="1505" t="e">
        <f>D9/J9</f>
        <v>#DIV/0!</v>
      </c>
    </row>
    <row r="10" spans="1:29" s="1203"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965" t="s">
        <v>527</v>
      </c>
      <c r="Q10" s="3966"/>
      <c r="R10" s="1502" t="s">
        <v>8</v>
      </c>
      <c r="S10" s="1503">
        <f t="shared" si="0"/>
        <v>0</v>
      </c>
      <c r="T10" s="1502" t="s">
        <v>8</v>
      </c>
      <c r="U10" s="1503">
        <f t="shared" si="1"/>
        <v>0</v>
      </c>
      <c r="V10" s="1502" t="s">
        <v>8</v>
      </c>
      <c r="W10" s="1503">
        <f t="shared" si="2"/>
        <v>0</v>
      </c>
      <c r="X10" s="1504"/>
      <c r="Y10" s="3965" t="s">
        <v>527</v>
      </c>
      <c r="Z10" s="3966"/>
      <c r="AA10" s="1505" t="e">
        <f t="shared" ref="AA10:AA42" si="3">D10/F10</f>
        <v>#DIV/0!</v>
      </c>
      <c r="AB10" s="1505" t="e">
        <f t="shared" ref="AB10:AB42" si="4">D10/H10</f>
        <v>#DIV/0!</v>
      </c>
      <c r="AC10" s="1505" t="e">
        <f t="shared" ref="AC10:AC42" si="5">D10/J10</f>
        <v>#DIV/0!</v>
      </c>
    </row>
    <row r="11" spans="1:29" s="1203" customFormat="1" ht="15">
      <c r="A11" s="2630"/>
      <c r="B11" s="2637"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930" t="s">
        <v>529</v>
      </c>
      <c r="Q11" s="1134" t="str">
        <f t="shared" ref="Q11:Q17" si="6">B11</f>
        <v>用途</v>
      </c>
      <c r="R11" s="1502" t="s">
        <v>8</v>
      </c>
      <c r="S11" s="1503">
        <f t="shared" si="0"/>
        <v>100</v>
      </c>
      <c r="T11" s="1502" t="s">
        <v>8</v>
      </c>
      <c r="U11" s="1503">
        <f t="shared" si="1"/>
        <v>100</v>
      </c>
      <c r="V11" s="1502" t="s">
        <v>8</v>
      </c>
      <c r="W11" s="1503">
        <f t="shared" si="2"/>
        <v>100</v>
      </c>
      <c r="X11" s="1504"/>
      <c r="Y11" s="3876" t="s">
        <v>530</v>
      </c>
      <c r="Z11" s="1133" t="str">
        <f t="shared" ref="Z11:Z17" si="7">Q11</f>
        <v>用途</v>
      </c>
      <c r="AA11" s="1505">
        <f t="shared" si="3"/>
        <v>1</v>
      </c>
      <c r="AB11" s="1505">
        <f t="shared" si="4"/>
        <v>1</v>
      </c>
      <c r="AC11" s="1505">
        <f t="shared" si="5"/>
        <v>1</v>
      </c>
    </row>
    <row r="12" spans="1:29" s="1292" customFormat="1" ht="27">
      <c r="A12" s="2631"/>
      <c r="B12" s="2636" t="s">
        <v>2736</v>
      </c>
      <c r="C12" s="522"/>
      <c r="D12" s="253">
        <v>100</v>
      </c>
      <c r="E12" s="522"/>
      <c r="F12" s="253">
        <f>ROUND(100/'数据-取费表'!G16,0)</f>
        <v>111</v>
      </c>
      <c r="G12" s="522"/>
      <c r="H12" s="253">
        <f>ROUND(100/'数据-取费表'!G16,0)</f>
        <v>111</v>
      </c>
      <c r="I12" s="522"/>
      <c r="J12" s="253">
        <f>ROUND(100/'数据-取费表'!G16,0)</f>
        <v>111</v>
      </c>
      <c r="K12" s="525"/>
      <c r="L12" s="2020"/>
      <c r="M12" s="2059"/>
      <c r="N12" s="2059"/>
      <c r="O12" s="2021"/>
      <c r="P12" s="3930"/>
      <c r="Q12" s="1134" t="str">
        <f t="shared" si="6"/>
        <v>土地使用年限（年）</v>
      </c>
      <c r="R12" s="1502" t="s">
        <v>8</v>
      </c>
      <c r="S12" s="1503">
        <f t="shared" si="0"/>
        <v>111</v>
      </c>
      <c r="T12" s="1502" t="s">
        <v>8</v>
      </c>
      <c r="U12" s="1503">
        <f t="shared" si="1"/>
        <v>111</v>
      </c>
      <c r="V12" s="1502" t="s">
        <v>8</v>
      </c>
      <c r="W12" s="1503">
        <f t="shared" si="2"/>
        <v>111</v>
      </c>
      <c r="X12" s="1504"/>
      <c r="Y12" s="3876"/>
      <c r="Z12" s="1133" t="str">
        <f t="shared" si="7"/>
        <v>土地使用年限（年）</v>
      </c>
      <c r="AA12" s="1505">
        <f t="shared" si="3"/>
        <v>0.90090090090090091</v>
      </c>
      <c r="AB12" s="1505">
        <f t="shared" si="4"/>
        <v>0.90090090090090091</v>
      </c>
      <c r="AC12" s="1505">
        <f t="shared" si="5"/>
        <v>0.90090090090090091</v>
      </c>
    </row>
    <row r="13" spans="1:29" ht="15">
      <c r="A13" s="2632"/>
      <c r="B13" s="2636"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930"/>
      <c r="Q13" s="1134" t="str">
        <f t="shared" si="6"/>
        <v>容积率</v>
      </c>
      <c r="R13" s="1502" t="s">
        <v>8</v>
      </c>
      <c r="S13" s="1503" t="e">
        <f t="shared" si="0"/>
        <v>#N/A</v>
      </c>
      <c r="T13" s="1502" t="s">
        <v>8</v>
      </c>
      <c r="U13" s="1503" t="e">
        <f t="shared" si="1"/>
        <v>#N/A</v>
      </c>
      <c r="V13" s="1502" t="s">
        <v>8</v>
      </c>
      <c r="W13" s="1503" t="e">
        <f t="shared" si="2"/>
        <v>#N/A</v>
      </c>
      <c r="X13" s="1504"/>
      <c r="Y13" s="3876"/>
      <c r="Z13" s="1133" t="str">
        <f t="shared" si="7"/>
        <v>容积率</v>
      </c>
      <c r="AA13" s="1505" t="e">
        <f t="shared" si="3"/>
        <v>#N/A</v>
      </c>
      <c r="AB13" s="1505" t="e">
        <f t="shared" si="4"/>
        <v>#N/A</v>
      </c>
      <c r="AC13" s="1505" t="e">
        <f t="shared" si="5"/>
        <v>#N/A</v>
      </c>
    </row>
    <row r="14" spans="1:29" s="1203"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930"/>
      <c r="Q14" s="1134">
        <f t="shared" si="6"/>
        <v>111</v>
      </c>
      <c r="R14" s="1502" t="s">
        <v>8</v>
      </c>
      <c r="S14" s="1503">
        <f t="shared" si="0"/>
        <v>100</v>
      </c>
      <c r="T14" s="1502" t="s">
        <v>8</v>
      </c>
      <c r="U14" s="1503">
        <f t="shared" si="1"/>
        <v>100</v>
      </c>
      <c r="V14" s="1502" t="s">
        <v>8</v>
      </c>
      <c r="W14" s="1503">
        <f t="shared" si="2"/>
        <v>100</v>
      </c>
      <c r="X14" s="1504"/>
      <c r="Y14" s="3876"/>
      <c r="Z14" s="1133">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930"/>
      <c r="Q15" s="1134">
        <f t="shared" si="6"/>
        <v>111</v>
      </c>
      <c r="R15" s="1502" t="s">
        <v>8</v>
      </c>
      <c r="S15" s="1503">
        <f t="shared" si="0"/>
        <v>100</v>
      </c>
      <c r="T15" s="1502" t="s">
        <v>8</v>
      </c>
      <c r="U15" s="1503">
        <f t="shared" si="1"/>
        <v>100</v>
      </c>
      <c r="V15" s="1502" t="s">
        <v>8</v>
      </c>
      <c r="W15" s="1503">
        <f t="shared" si="2"/>
        <v>100</v>
      </c>
      <c r="X15" s="1504"/>
      <c r="Y15" s="3876"/>
      <c r="Z15" s="1133">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930"/>
      <c r="Q16" s="1134">
        <f t="shared" si="6"/>
        <v>111</v>
      </c>
      <c r="R16" s="1502" t="s">
        <v>8</v>
      </c>
      <c r="S16" s="1503">
        <f t="shared" si="0"/>
        <v>100</v>
      </c>
      <c r="T16" s="1502" t="s">
        <v>8</v>
      </c>
      <c r="U16" s="1503">
        <f t="shared" si="1"/>
        <v>100</v>
      </c>
      <c r="V16" s="1502" t="s">
        <v>8</v>
      </c>
      <c r="W16" s="1503">
        <f t="shared" si="2"/>
        <v>100</v>
      </c>
      <c r="X16" s="1504"/>
      <c r="Y16" s="3876"/>
      <c r="Z16" s="1133">
        <f t="shared" si="7"/>
        <v>111</v>
      </c>
      <c r="AA16" s="1505">
        <f t="shared" si="3"/>
        <v>1</v>
      </c>
      <c r="AB16" s="1505">
        <f t="shared" si="4"/>
        <v>1</v>
      </c>
      <c r="AC16" s="1505">
        <f t="shared" si="5"/>
        <v>1</v>
      </c>
    </row>
    <row r="17" spans="1:29" ht="57">
      <c r="A17" s="2626" t="s">
        <v>2733</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968" t="s">
        <v>534</v>
      </c>
      <c r="Q17" s="1506" t="str">
        <f t="shared" si="6"/>
        <v>产业集聚程度</v>
      </c>
      <c r="R17" s="1507" t="s">
        <v>8</v>
      </c>
      <c r="S17" s="1508">
        <f t="shared" si="0"/>
        <v>100</v>
      </c>
      <c r="T17" s="1507" t="s">
        <v>8</v>
      </c>
      <c r="U17" s="1508">
        <f t="shared" si="1"/>
        <v>100</v>
      </c>
      <c r="V17" s="1507" t="s">
        <v>8</v>
      </c>
      <c r="W17" s="1508">
        <f t="shared" si="2"/>
        <v>100</v>
      </c>
      <c r="X17" s="1501"/>
      <c r="Y17" s="3968"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969"/>
      <c r="Q18" s="1506"/>
      <c r="R18" s="1507"/>
      <c r="S18" s="1508"/>
      <c r="T18" s="1507"/>
      <c r="U18" s="1508"/>
      <c r="V18" s="1507"/>
      <c r="W18" s="1508"/>
      <c r="X18" s="1501"/>
      <c r="Y18" s="3969"/>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969"/>
      <c r="Q19" s="1506" t="str">
        <f>B19</f>
        <v>交通便捷度</v>
      </c>
      <c r="R19" s="1507" t="s">
        <v>8</v>
      </c>
      <c r="S19" s="1508">
        <f>F19</f>
        <v>100</v>
      </c>
      <c r="T19" s="1507" t="s">
        <v>8</v>
      </c>
      <c r="U19" s="1508">
        <f>H19</f>
        <v>100</v>
      </c>
      <c r="V19" s="1507" t="s">
        <v>8</v>
      </c>
      <c r="W19" s="1508">
        <f>J19</f>
        <v>100</v>
      </c>
      <c r="X19" s="1501"/>
      <c r="Y19" s="3969"/>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969"/>
      <c r="Q20" s="1506"/>
      <c r="R20" s="1507"/>
      <c r="S20" s="1508"/>
      <c r="T20" s="1507"/>
      <c r="U20" s="1508"/>
      <c r="V20" s="1507"/>
      <c r="W20" s="1508"/>
      <c r="X20" s="1501"/>
      <c r="Y20" s="3969"/>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969"/>
      <c r="Q21" s="1506" t="str">
        <f t="shared" ref="Q21:Q35" si="8">B21</f>
        <v>区域土地利用方向</v>
      </c>
      <c r="R21" s="1507" t="s">
        <v>8</v>
      </c>
      <c r="S21" s="1508">
        <f>F21</f>
        <v>100</v>
      </c>
      <c r="T21" s="1507" t="s">
        <v>8</v>
      </c>
      <c r="U21" s="1508">
        <f>H21</f>
        <v>100</v>
      </c>
      <c r="V21" s="1507" t="s">
        <v>8</v>
      </c>
      <c r="W21" s="1508">
        <f>J21</f>
        <v>100</v>
      </c>
      <c r="X21" s="1501"/>
      <c r="Y21" s="3969"/>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969"/>
      <c r="Q22" s="1506"/>
      <c r="R22" s="1507"/>
      <c r="S22" s="1508"/>
      <c r="T22" s="1507"/>
      <c r="U22" s="1508"/>
      <c r="V22" s="1507"/>
      <c r="W22" s="1508"/>
      <c r="X22" s="1501"/>
      <c r="Y22" s="3969"/>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969"/>
      <c r="Q23" s="1506" t="str">
        <f t="shared" si="8"/>
        <v>环境状况</v>
      </c>
      <c r="R23" s="1507" t="s">
        <v>8</v>
      </c>
      <c r="S23" s="1508">
        <f>F23</f>
        <v>100</v>
      </c>
      <c r="T23" s="1507" t="s">
        <v>8</v>
      </c>
      <c r="U23" s="1508">
        <f>H23</f>
        <v>100</v>
      </c>
      <c r="V23" s="1507" t="s">
        <v>8</v>
      </c>
      <c r="W23" s="1508">
        <f>J23</f>
        <v>100</v>
      </c>
      <c r="X23" s="1501"/>
      <c r="Y23" s="3969"/>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969"/>
      <c r="Q24" s="1506"/>
      <c r="R24" s="1507"/>
      <c r="S24" s="1508"/>
      <c r="T24" s="1507"/>
      <c r="U24" s="1508"/>
      <c r="V24" s="1507"/>
      <c r="W24" s="1508"/>
      <c r="X24" s="1501"/>
      <c r="Y24" s="3969"/>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969"/>
      <c r="Q25" s="1134" t="str">
        <f t="shared" si="8"/>
        <v>公共配套设施</v>
      </c>
      <c r="R25" s="1502" t="s">
        <v>8</v>
      </c>
      <c r="S25" s="1503">
        <f>F25</f>
        <v>100</v>
      </c>
      <c r="T25" s="1502" t="s">
        <v>8</v>
      </c>
      <c r="U25" s="1503">
        <f>H25</f>
        <v>100</v>
      </c>
      <c r="V25" s="1502" t="s">
        <v>8</v>
      </c>
      <c r="W25" s="1503">
        <f>J25</f>
        <v>100</v>
      </c>
      <c r="X25" s="1504"/>
      <c r="Y25" s="3969"/>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969"/>
      <c r="Q26" s="1134"/>
      <c r="R26" s="1502"/>
      <c r="S26" s="1503"/>
      <c r="T26" s="1502"/>
      <c r="U26" s="1503"/>
      <c r="V26" s="1502"/>
      <c r="W26" s="1503"/>
      <c r="X26" s="1504"/>
      <c r="Y26" s="3969"/>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969"/>
      <c r="Q27" s="2428" t="str">
        <f t="shared" ref="Q27" si="9">B27</f>
        <v>基础设施水平</v>
      </c>
      <c r="R27" s="1502" t="s">
        <v>8</v>
      </c>
      <c r="S27" s="1503">
        <f>F27</f>
        <v>100</v>
      </c>
      <c r="T27" s="1502" t="s">
        <v>8</v>
      </c>
      <c r="U27" s="1503">
        <f>H27</f>
        <v>100</v>
      </c>
      <c r="V27" s="1502" t="s">
        <v>8</v>
      </c>
      <c r="W27" s="1503">
        <f>J27</f>
        <v>100</v>
      </c>
      <c r="X27" s="1504"/>
      <c r="Y27" s="3969"/>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969"/>
      <c r="Q28" s="2428"/>
      <c r="R28" s="1502"/>
      <c r="S28" s="1503"/>
      <c r="T28" s="1502"/>
      <c r="U28" s="1503"/>
      <c r="V28" s="1502"/>
      <c r="W28" s="1503"/>
      <c r="X28" s="1504"/>
      <c r="Y28" s="3969"/>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969"/>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969"/>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969"/>
      <c r="Q30" s="1506" t="str">
        <f t="shared" si="8"/>
        <v>毗邻道路的类型与等级</v>
      </c>
      <c r="R30" s="1507" t="s">
        <v>8</v>
      </c>
      <c r="S30" s="1508">
        <f t="shared" si="10"/>
        <v>100</v>
      </c>
      <c r="T30" s="1507" t="s">
        <v>8</v>
      </c>
      <c r="U30" s="1508">
        <f t="shared" si="11"/>
        <v>100</v>
      </c>
      <c r="V30" s="1507" t="s">
        <v>8</v>
      </c>
      <c r="W30" s="1508">
        <f t="shared" si="12"/>
        <v>100</v>
      </c>
      <c r="X30" s="1501"/>
      <c r="Y30" s="3969"/>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969"/>
      <c r="Q31" s="1506"/>
      <c r="R31" s="1507"/>
      <c r="S31" s="1508"/>
      <c r="T31" s="1507"/>
      <c r="U31" s="1508"/>
      <c r="V31" s="1507"/>
      <c r="W31" s="1508"/>
      <c r="X31" s="1501"/>
      <c r="Y31" s="3969"/>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969"/>
      <c r="Q32" s="1506" t="str">
        <f t="shared" si="8"/>
        <v>土地级别</v>
      </c>
      <c r="R32" s="1507" t="s">
        <v>8</v>
      </c>
      <c r="S32" s="1508">
        <f t="shared" si="10"/>
        <v>100</v>
      </c>
      <c r="T32" s="1507" t="s">
        <v>8</v>
      </c>
      <c r="U32" s="1508">
        <f t="shared" si="11"/>
        <v>100</v>
      </c>
      <c r="V32" s="1507" t="s">
        <v>8</v>
      </c>
      <c r="W32" s="1508">
        <f t="shared" si="12"/>
        <v>100</v>
      </c>
      <c r="X32" s="1501"/>
      <c r="Y32" s="3969"/>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969"/>
      <c r="Q33" s="1506">
        <f t="shared" si="8"/>
        <v>111</v>
      </c>
      <c r="R33" s="1507" t="s">
        <v>8</v>
      </c>
      <c r="S33" s="1508">
        <f t="shared" si="10"/>
        <v>100</v>
      </c>
      <c r="T33" s="1507" t="s">
        <v>8</v>
      </c>
      <c r="U33" s="1508">
        <f t="shared" si="11"/>
        <v>100</v>
      </c>
      <c r="V33" s="1507" t="s">
        <v>8</v>
      </c>
      <c r="W33" s="1508">
        <f t="shared" si="12"/>
        <v>100</v>
      </c>
      <c r="X33" s="1501"/>
      <c r="Y33" s="3969"/>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970" t="s">
        <v>544</v>
      </c>
      <c r="Q34" s="1506">
        <f t="shared" si="8"/>
        <v>111</v>
      </c>
      <c r="R34" s="1507" t="s">
        <v>8</v>
      </c>
      <c r="S34" s="1508">
        <f t="shared" si="10"/>
        <v>100</v>
      </c>
      <c r="T34" s="1507" t="s">
        <v>8</v>
      </c>
      <c r="U34" s="1508">
        <f t="shared" si="11"/>
        <v>100</v>
      </c>
      <c r="V34" s="1507" t="s">
        <v>8</v>
      </c>
      <c r="W34" s="1508">
        <f t="shared" si="12"/>
        <v>100</v>
      </c>
      <c r="X34" s="1501"/>
      <c r="Y34" s="3971"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971"/>
      <c r="Q35" s="1506">
        <f t="shared" si="8"/>
        <v>111</v>
      </c>
      <c r="R35" s="1511" t="s">
        <v>8</v>
      </c>
      <c r="S35" s="1512">
        <f t="shared" si="10"/>
        <v>100</v>
      </c>
      <c r="T35" s="1511" t="s">
        <v>8</v>
      </c>
      <c r="U35" s="1512">
        <f t="shared" si="11"/>
        <v>100</v>
      </c>
      <c r="V35" s="1511" t="s">
        <v>8</v>
      </c>
      <c r="W35" s="1512">
        <f t="shared" si="12"/>
        <v>100</v>
      </c>
      <c r="X35" s="1513"/>
      <c r="Y35" s="3971"/>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971"/>
      <c r="Q36" s="1506" t="str">
        <f>B36</f>
        <v>宗地面积</v>
      </c>
      <c r="R36" s="1507" t="s">
        <v>8</v>
      </c>
      <c r="S36" s="1508" t="e">
        <f t="shared" si="10"/>
        <v>#N/A</v>
      </c>
      <c r="T36" s="1507" t="s">
        <v>8</v>
      </c>
      <c r="U36" s="1508" t="e">
        <f t="shared" si="11"/>
        <v>#N/A</v>
      </c>
      <c r="V36" s="1507" t="s">
        <v>8</v>
      </c>
      <c r="W36" s="1508" t="e">
        <f t="shared" si="12"/>
        <v>#N/A</v>
      </c>
      <c r="X36" s="1501"/>
      <c r="Y36" s="3971"/>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971"/>
      <c r="Q37" s="1506" t="str">
        <f t="shared" ref="Q37:Q42" si="14">B37</f>
        <v>宗地形状</v>
      </c>
      <c r="R37" s="1507" t="s">
        <v>8</v>
      </c>
      <c r="S37" s="1508">
        <f t="shared" si="10"/>
        <v>100</v>
      </c>
      <c r="T37" s="1507" t="s">
        <v>8</v>
      </c>
      <c r="U37" s="1508">
        <f t="shared" si="11"/>
        <v>100</v>
      </c>
      <c r="V37" s="1507" t="s">
        <v>8</v>
      </c>
      <c r="W37" s="1508">
        <f t="shared" si="12"/>
        <v>100</v>
      </c>
      <c r="X37" s="1501"/>
      <c r="Y37" s="3971"/>
      <c r="Z37" s="1509" t="str">
        <f t="shared" si="13"/>
        <v>宗地形状</v>
      </c>
      <c r="AA37" s="1510">
        <f t="shared" si="3"/>
        <v>1</v>
      </c>
      <c r="AB37" s="1510">
        <f t="shared" si="4"/>
        <v>1</v>
      </c>
      <c r="AC37" s="1510">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971"/>
      <c r="Q38" s="1506" t="str">
        <f t="shared" si="14"/>
        <v>宗地开发程度</v>
      </c>
      <c r="R38" s="1502" t="s">
        <v>8</v>
      </c>
      <c r="S38" s="1503">
        <f t="shared" si="10"/>
        <v>100</v>
      </c>
      <c r="T38" s="1502" t="s">
        <v>8</v>
      </c>
      <c r="U38" s="1503">
        <f t="shared" si="11"/>
        <v>100</v>
      </c>
      <c r="V38" s="1502" t="s">
        <v>8</v>
      </c>
      <c r="W38" s="1503">
        <f t="shared" si="12"/>
        <v>100</v>
      </c>
      <c r="X38" s="1504"/>
      <c r="Y38" s="3971"/>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971" t="s">
        <v>595</v>
      </c>
      <c r="Q39" s="1506" t="str">
        <f t="shared" si="14"/>
        <v>工程地质条件</v>
      </c>
      <c r="R39" s="1507" t="s">
        <v>8</v>
      </c>
      <c r="S39" s="1508">
        <f t="shared" si="10"/>
        <v>100</v>
      </c>
      <c r="T39" s="1507" t="s">
        <v>8</v>
      </c>
      <c r="U39" s="1508">
        <f t="shared" si="11"/>
        <v>100</v>
      </c>
      <c r="V39" s="1507" t="s">
        <v>8</v>
      </c>
      <c r="W39" s="1508">
        <f t="shared" si="12"/>
        <v>100</v>
      </c>
      <c r="X39" s="1501"/>
      <c r="Y39" s="3971"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971"/>
      <c r="Q40" s="1506">
        <f t="shared" si="14"/>
        <v>111</v>
      </c>
      <c r="R40" s="1507" t="s">
        <v>8</v>
      </c>
      <c r="S40" s="1508">
        <f t="shared" si="10"/>
        <v>100</v>
      </c>
      <c r="T40" s="1507" t="s">
        <v>8</v>
      </c>
      <c r="U40" s="1508">
        <f t="shared" si="11"/>
        <v>100</v>
      </c>
      <c r="V40" s="1507" t="s">
        <v>8</v>
      </c>
      <c r="W40" s="1508">
        <f t="shared" si="12"/>
        <v>100</v>
      </c>
      <c r="X40" s="1501"/>
      <c r="Y40" s="3971"/>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971"/>
      <c r="Q41" s="1506">
        <f t="shared" si="14"/>
        <v>111</v>
      </c>
      <c r="R41" s="1507" t="s">
        <v>8</v>
      </c>
      <c r="S41" s="1508">
        <f t="shared" si="10"/>
        <v>100</v>
      </c>
      <c r="T41" s="1507" t="s">
        <v>8</v>
      </c>
      <c r="U41" s="1508">
        <f t="shared" si="11"/>
        <v>100</v>
      </c>
      <c r="V41" s="1507" t="s">
        <v>8</v>
      </c>
      <c r="W41" s="1508">
        <f t="shared" si="12"/>
        <v>100</v>
      </c>
      <c r="X41" s="1501"/>
      <c r="Y41" s="3971"/>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971"/>
      <c r="Q42" s="1506">
        <f t="shared" si="14"/>
        <v>111</v>
      </c>
      <c r="R42" s="1511" t="s">
        <v>8</v>
      </c>
      <c r="S42" s="1512">
        <f t="shared" si="10"/>
        <v>100</v>
      </c>
      <c r="T42" s="1511" t="s">
        <v>8</v>
      </c>
      <c r="U42" s="1512">
        <f t="shared" si="11"/>
        <v>100</v>
      </c>
      <c r="V42" s="1511" t="s">
        <v>8</v>
      </c>
      <c r="W42" s="1512">
        <f t="shared" si="12"/>
        <v>100</v>
      </c>
      <c r="X42" s="1513"/>
      <c r="Y42" s="3971"/>
      <c r="Z42" s="1514">
        <f t="shared" si="13"/>
        <v>111</v>
      </c>
      <c r="AA42" s="1510">
        <f t="shared" si="3"/>
        <v>1</v>
      </c>
      <c r="AB42" s="1510">
        <f t="shared" si="4"/>
        <v>1</v>
      </c>
      <c r="AC42" s="1510">
        <f t="shared" si="5"/>
        <v>1</v>
      </c>
    </row>
    <row r="43" spans="1:29" ht="15">
      <c r="A43" s="601" t="s">
        <v>550</v>
      </c>
      <c r="B43" s="602" t="s">
        <v>2901</v>
      </c>
      <c r="C43" s="603" t="s">
        <v>1</v>
      </c>
      <c r="D43" s="604"/>
      <c r="E43" s="605"/>
      <c r="F43" s="606"/>
      <c r="G43" s="607"/>
      <c r="H43" s="608"/>
      <c r="I43" s="605"/>
      <c r="J43" s="608"/>
      <c r="K43" s="1294"/>
      <c r="L43" s="2026"/>
      <c r="M43" s="2016"/>
      <c r="N43" s="2016"/>
      <c r="O43" s="2027"/>
      <c r="P43" s="3930" t="str">
        <f>A43</f>
        <v>成交单价</v>
      </c>
      <c r="Q43" s="3930"/>
      <c r="R43" s="3931">
        <f>E43</f>
        <v>0</v>
      </c>
      <c r="S43" s="3931"/>
      <c r="T43" s="3931">
        <f>G43</f>
        <v>0</v>
      </c>
      <c r="U43" s="3931"/>
      <c r="V43" s="3931">
        <f>I43</f>
        <v>0</v>
      </c>
      <c r="W43" s="3931"/>
      <c r="X43" s="1496"/>
      <c r="Y43" s="1515"/>
      <c r="Z43" s="1496"/>
      <c r="AA43" s="1496"/>
      <c r="AB43" s="1496"/>
      <c r="AC43" s="1496"/>
    </row>
    <row r="44" spans="1:29" ht="15.75" thickBot="1">
      <c r="A44" s="609" t="s">
        <v>2672</v>
      </c>
      <c r="B44" s="610"/>
      <c r="C44" s="611" t="e">
        <f>R45</f>
        <v>#DIV/0!</v>
      </c>
      <c r="D44" s="3013" t="s">
        <v>2970</v>
      </c>
      <c r="E44" s="611" t="e">
        <f>R44</f>
        <v>#DIV/0!</v>
      </c>
      <c r="F44" s="3014"/>
      <c r="G44" s="612" t="e">
        <f>T44</f>
        <v>#DIV/0!</v>
      </c>
      <c r="H44" s="3014"/>
      <c r="I44" s="611" t="e">
        <f>V44</f>
        <v>#DIV/0!</v>
      </c>
      <c r="J44" s="3014"/>
      <c r="K44" s="3015">
        <f>F44+H44+J44</f>
        <v>0</v>
      </c>
      <c r="L44" s="2026"/>
      <c r="M44" s="2016"/>
      <c r="N44" s="2016"/>
      <c r="O44" s="2027"/>
      <c r="P44" s="3930" t="str">
        <f>A44</f>
        <v>比较价格（元/平方米）</v>
      </c>
      <c r="Q44" s="3930"/>
      <c r="R44" s="3932" t="e">
        <f>ROUND(PRODUCT(R43,AA9:AA42),0)</f>
        <v>#DIV/0!</v>
      </c>
      <c r="S44" s="3932"/>
      <c r="T44" s="3932" t="e">
        <f>ROUND(PRODUCT(T43,AB9:AB42),0)</f>
        <v>#DIV/0!</v>
      </c>
      <c r="U44" s="3932"/>
      <c r="V44" s="3932" t="e">
        <f>ROUND(PRODUCT(V43,AC9:AC42),0)</f>
        <v>#DIV/0!</v>
      </c>
      <c r="W44" s="3932"/>
      <c r="X44" s="1496"/>
      <c r="Y44" s="1496"/>
      <c r="Z44" s="1496"/>
      <c r="AA44" s="1496"/>
      <c r="AB44" s="1496"/>
      <c r="AC44" s="1496"/>
    </row>
    <row r="45" spans="1:29" ht="15.75" thickBot="1">
      <c r="A45" s="613" t="s">
        <v>2902</v>
      </c>
      <c r="B45" s="614"/>
      <c r="C45" s="615" t="e">
        <f>R45</f>
        <v>#DIV/0!</v>
      </c>
      <c r="D45" s="615"/>
      <c r="E45" s="615"/>
      <c r="F45" s="615"/>
      <c r="G45" s="615"/>
      <c r="H45" s="615"/>
      <c r="I45" s="615"/>
      <c r="J45" s="615"/>
      <c r="K45" s="1295"/>
      <c r="L45" s="2026"/>
      <c r="M45" s="2016"/>
      <c r="N45" s="2016"/>
      <c r="O45" s="2027"/>
      <c r="P45" s="3927" t="str">
        <f>A45</f>
        <v>估价对象XX用房的比较价格（楼面单价，元/平方米）</v>
      </c>
      <c r="Q45" s="3928"/>
      <c r="R45" s="3979" t="e">
        <f>ROUND(IF(D44="简单平均",AVERAGE(R44:W44),R44*F44+T44*H44+V44*J44),0)</f>
        <v>#DIV/0!</v>
      </c>
      <c r="S45" s="3979"/>
      <c r="T45" s="3979"/>
      <c r="U45" s="3979"/>
      <c r="V45" s="3979"/>
      <c r="W45" s="3979"/>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974" t="s">
        <v>2272</v>
      </c>
      <c r="H52" s="3975"/>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44536</v>
      </c>
      <c r="F53" s="1864" t="e">
        <f t="shared" ref="F53:F62" si="15">ROUND(B53*E53/10000,0)</f>
        <v>#DIV/0!</v>
      </c>
      <c r="G53" s="3976"/>
      <c r="H53" s="3977"/>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978"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978"/>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978"/>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978"/>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14921</v>
      </c>
      <c r="F60" s="1864" t="e">
        <f t="shared" si="15"/>
        <v>#DIV/0!</v>
      </c>
      <c r="G60" s="1860" t="s">
        <v>914</v>
      </c>
      <c r="H60" s="1868" t="str">
        <f>IF(G60="商业",项目基本情况!B43,IF(G60="办公",项目基本情况!C43,IF(G60="住宅",项目基本情况!D43,项目基本情况!E43)))</f>
        <v>六级</v>
      </c>
      <c r="I60" s="1867">
        <f>SUMIF(修正!$A$45:$A$56,H60,修正!H45:H56)</f>
        <v>0.2</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44978.48</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北京市平均增长率1.19%</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2" t="s">
        <v>2740</v>
      </c>
      <c r="S1" s="2652" t="s">
        <v>2741</v>
      </c>
      <c r="T1" s="2652" t="s">
        <v>2762</v>
      </c>
      <c r="U1" s="2652" t="s">
        <v>2763</v>
      </c>
      <c r="V1" s="2652" t="s">
        <v>2764</v>
      </c>
      <c r="W1" s="2070"/>
      <c r="X1" s="2070"/>
      <c r="Y1" s="2070"/>
      <c r="Z1" s="2070"/>
      <c r="AA1" s="2070"/>
      <c r="AB1" s="2070"/>
      <c r="AC1" s="2071"/>
    </row>
    <row r="2" spans="1:39" ht="15.75">
      <c r="A2" s="1354" t="s">
        <v>911</v>
      </c>
      <c r="B2" s="1025"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0"/>
      <c r="X2" s="2070"/>
      <c r="Y2" s="2070"/>
      <c r="Z2" s="2070"/>
      <c r="AA2" s="2070"/>
      <c r="AB2" s="2070"/>
      <c r="AC2" s="2071"/>
    </row>
    <row r="3" spans="1:39" ht="15.75">
      <c r="A3" s="1359" t="s">
        <v>1678</v>
      </c>
      <c r="B3" s="1025" t="e">
        <f>ROUND(B2*10000/D1,0)</f>
        <v>#DIV/0!</v>
      </c>
      <c r="C3" s="1355" t="s">
        <v>918</v>
      </c>
      <c r="D3" s="1356" t="s">
        <v>919</v>
      </c>
      <c r="E3" s="1360"/>
      <c r="F3" s="1361"/>
      <c r="G3" s="1026">
        <f>IF(F3="宗地容积率",'数据-汇总表'!I4,IF(F3="估价对象容积率",'数据-汇总表'!I6,'数据-汇总表'!I7))</f>
        <v>1</v>
      </c>
      <c r="H3" s="1362" t="s">
        <v>920</v>
      </c>
      <c r="I3" s="1027">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3">
        <v>3</v>
      </c>
      <c r="S4" s="2653">
        <f>ROUND(IF(G3&gt;1,IF(R4&lt;7,SUMPRODUCT((B93:B98=R4)*(C92:N92=G2)*(C93:N98)),SUMIF(C92:N92,G2,C100:N100)),IF(R4&lt;7,SUMPRODUCT((B102:B107=R4)*(C92:N92=G2)*(C102:N107)),SUMIF(C92:N92,G2,C109:N109))),4)</f>
        <v>0</v>
      </c>
      <c r="T4" s="2653" t="e">
        <f t="shared" si="0"/>
        <v>#DIV/0!</v>
      </c>
      <c r="U4" s="2642"/>
      <c r="V4" s="2653" t="e">
        <f t="shared" si="1"/>
        <v>#DIV/0!</v>
      </c>
      <c r="W4" s="2070"/>
      <c r="X4" s="2070"/>
      <c r="Y4" s="2070"/>
      <c r="Z4" s="2070"/>
      <c r="AA4" s="2070"/>
      <c r="AB4" s="2070"/>
      <c r="AC4" s="2071"/>
    </row>
    <row r="5" spans="1:39" s="1369" customFormat="1" ht="15.75" thickBot="1">
      <c r="A5" s="1566" t="s">
        <v>1814</v>
      </c>
      <c r="B5" s="1363" t="s">
        <v>922</v>
      </c>
      <c r="C5" s="1028" t="e">
        <f>ROUND(IF(E2="商业",C6*C7+C16,(IF(E2="住宅",C6*C12+C16,C6+C16))),0)</f>
        <v>#DIV/0!</v>
      </c>
      <c r="D5" s="2792" t="e">
        <f>ROUND(C6+C16,0)</f>
        <v>#DIV/0!</v>
      </c>
      <c r="E5" s="2792"/>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3">
        <v>4</v>
      </c>
      <c r="S5" s="2653">
        <f>ROUND(IF(G3&gt;1,IF(R5&lt;7,SUMPRODUCT((B93:B98=R5)*(C92:N92=G2)*(C93:N98)),SUMIF(C92:N92,G2,C100:N100)),IF(R5&lt;7,SUMPRODUCT((B102:B107=R5)*(C92:N92=G2)*(C102:N107)),SUMIF(C92:N92,G2,C109:N109))),4)</f>
        <v>0</v>
      </c>
      <c r="T5" s="2653" t="e">
        <f t="shared" si="0"/>
        <v>#DIV/0!</v>
      </c>
      <c r="U5" s="2642"/>
      <c r="V5" s="2653"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3">
        <v>5</v>
      </c>
      <c r="S6" s="2653">
        <f>ROUND(IF(G3&gt;1,IF(R6&lt;7,SUMPRODUCT((B93:B98=R6)*(C92:N92=G2)*(C93:N98)),SUMIF(C92:N92,G2,C100:N100)),IF(R6&lt;7,SUMPRODUCT((B102:B107=R6)*(C92:N92=G2)*(C102:N107)),SUMIF(C92:N92,G2,C109:N109))),4)</f>
        <v>0</v>
      </c>
      <c r="T6" s="2653" t="e">
        <f t="shared" si="0"/>
        <v>#DIV/0!</v>
      </c>
      <c r="U6" s="2642"/>
      <c r="V6" s="2653" t="e">
        <f t="shared" si="1"/>
        <v>#DIV/0!</v>
      </c>
      <c r="W6" s="2070"/>
      <c r="X6" s="2070"/>
      <c r="Y6" s="2070"/>
      <c r="Z6" s="2070"/>
      <c r="AA6" s="2070"/>
      <c r="AB6" s="2070"/>
      <c r="AC6" s="2072"/>
      <c r="AD6" s="1367"/>
      <c r="AE6" s="1367"/>
      <c r="AF6" s="1367"/>
      <c r="AG6" s="1367"/>
      <c r="AH6" s="1367"/>
      <c r="AI6" s="1367"/>
      <c r="AJ6" s="1368"/>
    </row>
    <row r="7" spans="1:39" ht="24">
      <c r="A7" s="3994" t="str">
        <f>IF(E2="商业",IF(C8="不临58条商业街","",2),"")</f>
        <v/>
      </c>
      <c r="B7" s="1375" t="s">
        <v>923</v>
      </c>
      <c r="C7" s="1030" t="e">
        <f>IF(C8="不临58条商业街",1,ROUND(1+(1.6*E8+1.2*E9+0.8*E10+0.4*E11)*C9,4))</f>
        <v>#DIV/0!</v>
      </c>
      <c r="D7" s="1376" t="s">
        <v>924</v>
      </c>
      <c r="E7" s="1031"/>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2743</v>
      </c>
      <c r="X7" s="2643">
        <f>G2</f>
        <v>0</v>
      </c>
      <c r="Y7" s="2643" t="s">
        <v>2744</v>
      </c>
      <c r="Z7" s="2644">
        <f>G3</f>
        <v>1</v>
      </c>
      <c r="AA7" s="2073"/>
      <c r="AB7" s="2073"/>
      <c r="AC7" s="2074"/>
      <c r="AD7" s="2645"/>
      <c r="AE7" s="2645"/>
      <c r="AF7" s="2645"/>
      <c r="AG7" s="2645"/>
      <c r="AH7" s="2645"/>
      <c r="AI7" s="2645"/>
      <c r="AJ7" s="2646"/>
    </row>
    <row r="8" spans="1:39" ht="15">
      <c r="A8" s="3995"/>
      <c r="B8" s="1362" t="s">
        <v>925</v>
      </c>
      <c r="C8" s="1468"/>
      <c r="D8" s="1032" t="s">
        <v>926</v>
      </c>
      <c r="E8" s="1033"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3">
        <v>7</v>
      </c>
      <c r="S8" s="2642"/>
      <c r="T8" s="2653" t="e">
        <f t="shared" si="0"/>
        <v>#DIV/0!</v>
      </c>
      <c r="U8" s="2642"/>
      <c r="V8" s="2653" t="e">
        <f t="shared" si="1"/>
        <v>#DIV/0!</v>
      </c>
      <c r="W8" s="3981" t="s">
        <v>2761</v>
      </c>
      <c r="X8" s="3982"/>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995"/>
      <c r="B9" s="1362" t="s">
        <v>928</v>
      </c>
      <c r="C9" s="1034">
        <f>SUMIF(修正!C59:C119,C8,修正!E59:E119)</f>
        <v>0</v>
      </c>
      <c r="D9" s="1035" t="s">
        <v>929</v>
      </c>
      <c r="E9" s="1035"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3">
        <v>8</v>
      </c>
      <c r="S9" s="2642"/>
      <c r="T9" s="2653" t="e">
        <f t="shared" si="0"/>
        <v>#DIV/0!</v>
      </c>
      <c r="U9" s="2642"/>
      <c r="V9" s="2653" t="e">
        <f t="shared" si="1"/>
        <v>#DIV/0!</v>
      </c>
      <c r="W9" s="3980" t="s">
        <v>2757</v>
      </c>
      <c r="X9" s="2647" t="s">
        <v>2758</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995"/>
      <c r="B10" s="1362" t="s">
        <v>931</v>
      </c>
      <c r="C10" s="1035">
        <f>SUMIF(修正!C59:C119,C8,修正!F59:F119)</f>
        <v>0</v>
      </c>
      <c r="D10" s="1035" t="s">
        <v>932</v>
      </c>
      <c r="E10" s="1035"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3">
        <v>9</v>
      </c>
      <c r="S10" s="2642"/>
      <c r="T10" s="2653" t="e">
        <f t="shared" si="0"/>
        <v>#DIV/0!</v>
      </c>
      <c r="U10" s="2642"/>
      <c r="V10" s="2653" t="e">
        <f t="shared" si="1"/>
        <v>#DIV/0!</v>
      </c>
      <c r="W10" s="3980"/>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995"/>
      <c r="B11" s="1383" t="s">
        <v>934</v>
      </c>
      <c r="C11" s="1036">
        <f>C10/4</f>
        <v>0</v>
      </c>
      <c r="D11" s="1036" t="s">
        <v>935</v>
      </c>
      <c r="E11" s="1036"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3">
        <v>10</v>
      </c>
      <c r="S11" s="2642"/>
      <c r="T11" s="2653" t="e">
        <f t="shared" si="0"/>
        <v>#DIV/0!</v>
      </c>
      <c r="U11" s="2642"/>
      <c r="V11" s="2653" t="e">
        <f t="shared" si="1"/>
        <v>#DIV/0!</v>
      </c>
      <c r="W11" s="3980" t="s">
        <v>2759</v>
      </c>
      <c r="X11" s="1035" t="s">
        <v>2744</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5.5" thickBot="1">
      <c r="A12" s="3994" t="s">
        <v>1862</v>
      </c>
      <c r="B12" s="1387" t="s">
        <v>937</v>
      </c>
      <c r="C12" s="1030">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3">
        <v>11</v>
      </c>
      <c r="S12" s="2642"/>
      <c r="T12" s="2653" t="e">
        <f t="shared" si="0"/>
        <v>#DIV/0!</v>
      </c>
      <c r="U12" s="2642"/>
      <c r="V12" s="2653" t="e">
        <f t="shared" si="1"/>
        <v>#DIV/0!</v>
      </c>
      <c r="W12" s="3980"/>
      <c r="X12" s="2650" t="s">
        <v>2760</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996"/>
      <c r="B13" s="1392" t="s">
        <v>1687</v>
      </c>
      <c r="C13" s="1393" t="s">
        <v>1688</v>
      </c>
      <c r="D13" s="1072" t="s">
        <v>1689</v>
      </c>
      <c r="E13" s="1072" t="s">
        <v>1690</v>
      </c>
      <c r="F13" s="1394" t="s">
        <v>939</v>
      </c>
      <c r="G13" s="1395" t="s">
        <v>1633</v>
      </c>
      <c r="H13" s="1396" t="s">
        <v>1633</v>
      </c>
      <c r="I13" s="1397" t="s">
        <v>1633</v>
      </c>
      <c r="J13" s="1398" t="s">
        <v>1633</v>
      </c>
      <c r="K13" s="2842"/>
      <c r="L13" s="2842"/>
      <c r="M13" s="2842"/>
      <c r="N13" s="2842"/>
      <c r="O13" s="2842"/>
      <c r="P13" s="2070"/>
      <c r="Q13" s="2070"/>
      <c r="R13" s="2653">
        <v>12</v>
      </c>
      <c r="S13" s="2642"/>
      <c r="T13" s="2653" t="e">
        <f t="shared" si="0"/>
        <v>#DIV/0!</v>
      </c>
      <c r="U13" s="2642"/>
      <c r="V13" s="2653" t="e">
        <f t="shared" si="1"/>
        <v>#DIV/0!</v>
      </c>
      <c r="W13" s="3980"/>
      <c r="X13" s="2650"/>
      <c r="Y13" s="2649">
        <f>(-0.163*(Y12^2)-0.59*Y12+7617)*(10^(-4))/Y11</f>
        <v>0.76170000000000004</v>
      </c>
      <c r="Z13" s="2649">
        <f t="shared" ref="Z13:AJ13" si="5">(-0.163*(Z12^2)-0.59*Z12+7617)*(10^(-4))/Z11</f>
        <v>0.76170000000000004</v>
      </c>
      <c r="AA13" s="2649">
        <f t="shared" si="5"/>
        <v>0.76170000000000004</v>
      </c>
      <c r="AB13" s="2649">
        <f t="shared" si="5"/>
        <v>0.76170000000000004</v>
      </c>
      <c r="AC13" s="2649">
        <f t="shared" si="5"/>
        <v>0.76170000000000004</v>
      </c>
      <c r="AD13" s="2649">
        <f t="shared" si="5"/>
        <v>0.76170000000000004</v>
      </c>
      <c r="AE13" s="2649">
        <f t="shared" si="5"/>
        <v>0.76170000000000004</v>
      </c>
      <c r="AF13" s="2649">
        <f t="shared" si="5"/>
        <v>0.76170000000000004</v>
      </c>
      <c r="AG13" s="2649">
        <f t="shared" si="5"/>
        <v>0.76170000000000004</v>
      </c>
      <c r="AH13" s="2649">
        <f t="shared" si="5"/>
        <v>0.76170000000000004</v>
      </c>
      <c r="AI13" s="2649">
        <f t="shared" si="5"/>
        <v>0.76170000000000004</v>
      </c>
      <c r="AJ13" s="2649">
        <f t="shared" si="5"/>
        <v>0.76170000000000004</v>
      </c>
    </row>
    <row r="14" spans="1:39" ht="12.75" customHeight="1">
      <c r="A14" s="3996"/>
      <c r="B14" s="1399"/>
      <c r="C14" s="1400"/>
      <c r="D14" s="1401"/>
      <c r="E14" s="1401"/>
      <c r="F14" s="1402"/>
      <c r="G14" s="1403" t="s">
        <v>940</v>
      </c>
      <c r="H14" s="1404"/>
      <c r="I14" s="1405"/>
      <c r="J14" s="1406"/>
      <c r="K14" s="3235"/>
      <c r="L14" s="3235"/>
      <c r="M14" s="3235"/>
      <c r="N14" s="3235"/>
      <c r="O14" s="3235"/>
      <c r="P14" s="2070"/>
      <c r="Q14" s="2070"/>
      <c r="R14" s="2653">
        <v>13</v>
      </c>
      <c r="S14" s="2642"/>
      <c r="T14" s="2653" t="e">
        <f t="shared" si="0"/>
        <v>#DIV/0!</v>
      </c>
      <c r="U14" s="2642"/>
      <c r="V14" s="2653" t="e">
        <f t="shared" si="1"/>
        <v>#DIV/0!</v>
      </c>
      <c r="W14" s="2070"/>
      <c r="X14" s="2070"/>
      <c r="Y14" s="2070"/>
      <c r="Z14" s="2070"/>
      <c r="AA14" s="2070"/>
      <c r="AB14" s="2070"/>
      <c r="AC14" s="2071"/>
    </row>
    <row r="15" spans="1:39" ht="13.5" customHeight="1" thickBot="1">
      <c r="A15" s="3997"/>
      <c r="B15" s="2847" t="s">
        <v>1691</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3">
        <v>14</v>
      </c>
      <c r="S15" s="2642"/>
      <c r="T15" s="2653" t="e">
        <f t="shared" si="0"/>
        <v>#DIV/0!</v>
      </c>
      <c r="U15" s="2642"/>
      <c r="V15" s="2653" t="e">
        <f t="shared" si="1"/>
        <v>#DIV/0!</v>
      </c>
      <c r="W15" s="2070"/>
      <c r="X15" s="2070"/>
      <c r="Y15" s="2070"/>
      <c r="Z15" s="2070"/>
      <c r="AA15" s="2070"/>
      <c r="AB15" s="2070"/>
      <c r="AC15" s="2071"/>
    </row>
    <row r="16" spans="1:39" ht="24.6" customHeight="1">
      <c r="A16" s="3994" t="s">
        <v>1829</v>
      </c>
      <c r="B16" s="1375" t="s">
        <v>941</v>
      </c>
      <c r="C16" s="1039" t="e">
        <f>ROUND(IF(F17="与级别开发程度一致",0,(G17-E17)/C17),0)</f>
        <v>#DIV/0!</v>
      </c>
      <c r="D16" s="3988" t="s">
        <v>945</v>
      </c>
      <c r="E16" s="3989"/>
      <c r="F16" s="3988" t="s">
        <v>942</v>
      </c>
      <c r="G16" s="3989"/>
      <c r="H16" s="1407"/>
      <c r="I16" s="1407"/>
      <c r="J16" s="1407"/>
      <c r="K16" s="1407"/>
      <c r="L16" s="1407"/>
      <c r="M16" s="1407"/>
      <c r="N16" s="1407"/>
      <c r="O16" s="2852"/>
      <c r="P16" s="2070"/>
      <c r="Q16" s="2073"/>
      <c r="R16" s="2653">
        <v>15</v>
      </c>
      <c r="S16" s="2642"/>
      <c r="T16" s="2653" t="e">
        <f t="shared" si="0"/>
        <v>#DIV/0!</v>
      </c>
      <c r="U16" s="2642"/>
      <c r="V16" s="2653" t="e">
        <f t="shared" si="1"/>
        <v>#DIV/0!</v>
      </c>
      <c r="W16" s="2073"/>
      <c r="X16" s="2073"/>
      <c r="Y16" s="2073"/>
      <c r="Z16" s="2073"/>
      <c r="AA16" s="2073"/>
      <c r="AB16" s="2073"/>
      <c r="AC16" s="2074"/>
    </row>
    <row r="17" spans="1:40" ht="13.5" thickBot="1">
      <c r="A17" s="3998"/>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ROUND(IF(H19="按公示增长率计算",SUMPRODUCT((地价!A3:A33=YEAR(G19)&amp;"-"&amp;ROUNDUP(MONTH(G19)/3,0))*(地价!X2:AB2=E2)*(地价!X3:AB33)),IF(H19="地价指数",M20/M19,(1+I19)^O19)),4)</f>
        <v>0</v>
      </c>
      <c r="D19" s="1414" t="s">
        <v>948</v>
      </c>
      <c r="E19" s="1041">
        <v>41640</v>
      </c>
      <c r="F19" s="1414" t="s">
        <v>949</v>
      </c>
      <c r="G19" s="1042">
        <f>'数据-取费表'!B2</f>
        <v>44232</v>
      </c>
      <c r="H19" s="1415" t="s">
        <v>2954</v>
      </c>
      <c r="I19" s="2503" t="str">
        <f>IF(H19="季度增幅（自定义）",SUMIF(N21:N24,E2,O21:O24),"")</f>
        <v/>
      </c>
      <c r="J19" s="1411"/>
      <c r="K19" s="3233"/>
      <c r="L19" s="2752" t="s">
        <v>2819</v>
      </c>
      <c r="M19" s="2753">
        <f>ROUND(SUMIF(地价!B2:F2,E2,地价!B33:F33),0)</f>
        <v>0</v>
      </c>
      <c r="N19" s="2505" t="s">
        <v>1667</v>
      </c>
      <c r="O19" s="2504">
        <f>ROUNDDOWN(DATEDIF(E19,G19,"M")/3,0)</f>
        <v>28</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 ca="1">存贷款利率!I4/100</f>
        <v>3.85E-2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2820</v>
      </c>
      <c r="M20" s="2836">
        <f>ROUND(SUMPRODUCT((地价!A4:A33=YEAR(G19)&amp;"-"&amp;ROUNDUP(MONTH(G19)/3,0))*(地价!B2:F2=E2)*(地价!B4:F33)),0)</f>
        <v>0</v>
      </c>
      <c r="N20" s="2508" t="s">
        <v>2625</v>
      </c>
      <c r="O20" s="2506" t="s">
        <v>2624</v>
      </c>
      <c r="P20" s="2507" t="s">
        <v>2629</v>
      </c>
      <c r="Q20" s="2641"/>
      <c r="R20" s="2076"/>
      <c r="S20" s="2076"/>
      <c r="T20" s="2076"/>
      <c r="U20" s="2076"/>
      <c r="V20" s="2076"/>
      <c r="W20" s="2076"/>
      <c r="X20" s="2076"/>
      <c r="Y20" s="1412"/>
      <c r="Z20" s="1412"/>
      <c r="AA20" s="1412"/>
      <c r="AB20" s="1412"/>
      <c r="AC20" s="1412"/>
      <c r="AD20" s="1412"/>
    </row>
    <row r="21" spans="1:40" s="1369" customFormat="1" ht="14.25">
      <c r="A21" s="1570" t="s">
        <v>1828</v>
      </c>
      <c r="B21" s="1420" t="s">
        <v>2989</v>
      </c>
      <c r="C21" s="1141" t="b">
        <f>IF(B21="容积率修正",IF(G3&lt;=10,D22,J22),C23)</f>
        <v>0</v>
      </c>
      <c r="D21" s="1421"/>
      <c r="E21" s="1421"/>
      <c r="F21" s="1421"/>
      <c r="G21" s="1421"/>
      <c r="H21" s="1421"/>
      <c r="I21" s="1421"/>
      <c r="J21" s="1422"/>
      <c r="K21" s="3233"/>
      <c r="L21" s="1421"/>
      <c r="M21" s="1421"/>
      <c r="N21" s="1418" t="s">
        <v>966</v>
      </c>
      <c r="O21" s="1481"/>
      <c r="P21" s="2495">
        <f>SUMPRODUCT((地价!A3:A33=YEAR(G19)&amp;"-"&amp;ROUNDUP(MONTH(G19)/3,0))*(地价!AD2:AH2=N21)*(地价!AD3:AH33))</f>
        <v>1.0999999999999999E-2</v>
      </c>
      <c r="Q21" s="2641"/>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b">
        <f>IF(E22=G22,F22,IF(G3&lt;=10,ROUND(F22+(H22-F22)*(G3-E22)/(G22-E22),4),"——"))</f>
        <v>0</v>
      </c>
      <c r="E22" s="1026">
        <f>ROUNDDOWN(G3,1)</f>
        <v>1</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1"/>
      <c r="M22" s="1421"/>
      <c r="N22" s="1418" t="s">
        <v>969</v>
      </c>
      <c r="O22" s="1481"/>
      <c r="P22" s="2495">
        <f>SUMPRODUCT((地价!A3:A33=YEAR(G19)&amp;"-"&amp;ROUNDUP(MONTH(G19)/3,0))*(地价!AD2:AH2=N22)*(地价!AD3:AH33))</f>
        <v>1.0999999999999999E-2</v>
      </c>
      <c r="Q22" s="2641"/>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SUMPRODUCT((地价!A3:A33=YEAR(G19)&amp;"-"&amp;ROUNDUP(MONTH(G19)/3,0))*(地价!AD2:AH2=N23)*(地价!AD3:AH33))</f>
        <v>1.8499999999999999E-2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0</v>
      </c>
      <c r="D24" s="1474"/>
      <c r="E24" s="1475"/>
      <c r="F24" s="1475"/>
      <c r="G24" s="1475"/>
      <c r="H24" s="1475"/>
      <c r="I24" s="1475"/>
      <c r="J24" s="1475"/>
      <c r="K24" s="3240"/>
      <c r="L24" s="1421"/>
      <c r="M24" s="1421"/>
      <c r="N24" s="1418" t="s">
        <v>972</v>
      </c>
      <c r="O24" s="2835"/>
      <c r="P24" s="2495">
        <f>SUMPRODUCT((地价!A3:A33=YEAR(G19)&amp;"-"&amp;ROUNDUP(MONTH(G19)/3,0))*(地价!AD2:AH2=N24)*(地价!AD3:AH33))</f>
        <v>1.1900000000000001E-2</v>
      </c>
      <c r="Q24" s="2641"/>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7" t="s">
        <v>2627</v>
      </c>
      <c r="O25" s="2838"/>
      <c r="P25" s="2302">
        <f>SUMPRODUCT((地价!A3:A33=YEAR(G19)&amp;"-"&amp;ROUNDUP(MONTH(G19)/3,0))*(地价!AD2:AH2=N25)*(地价!AD3:AH33))</f>
        <v>1.6799999999999999E-2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E30+SUM(I33:I39)</f>
        <v>#DIV/0!</v>
      </c>
      <c r="D27" s="1433"/>
      <c r="E27" s="1434"/>
      <c r="F27" s="1435"/>
      <c r="G27" s="1434"/>
      <c r="H27" s="1434"/>
      <c r="I27" s="1434"/>
      <c r="J27" s="1436"/>
      <c r="K27" s="3234"/>
      <c r="L27" s="1408" t="s">
        <v>978</v>
      </c>
      <c r="M27" s="1034">
        <v>0.25</v>
      </c>
      <c r="N27" s="1034">
        <v>0.2</v>
      </c>
      <c r="O27" s="1034">
        <v>0.15</v>
      </c>
      <c r="P27" s="1478">
        <v>0.1</v>
      </c>
      <c r="Q27" s="2076"/>
      <c r="R27" s="2641"/>
      <c r="S27" s="2641"/>
      <c r="T27" s="2641"/>
      <c r="U27" s="2641"/>
      <c r="V27" s="2641"/>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4.8000000000000001E-2</v>
      </c>
      <c r="N28" s="1479">
        <f ca="1">ROUND($E$20*(1+N27),3)</f>
        <v>4.5999999999999999E-2</v>
      </c>
      <c r="O28" s="1479">
        <f ca="1">ROUND($E$20*(1+O27),3)</f>
        <v>4.3999999999999997E-2</v>
      </c>
      <c r="P28" s="1480">
        <f ca="1">ROUND($E$20*(1+P27),3)</f>
        <v>4.2000000000000003E-2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984</v>
      </c>
      <c r="C29" s="1046"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985</v>
      </c>
      <c r="C30" s="1038"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990"/>
      <c r="B33" s="1463" t="s">
        <v>990</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990" t="s">
        <v>2993</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991"/>
      <c r="B34" s="1393" t="s">
        <v>991</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991"/>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991"/>
      <c r="B35" s="1393" t="s">
        <v>992</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991"/>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992"/>
      <c r="B36" s="1393" t="s">
        <v>993</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992"/>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2948</v>
      </c>
      <c r="C41" s="828" t="e">
        <f>ROUND(POWER(1+E41,H41-G41)*(POWER(1+E41,G41)-1)/(POWER(1+E41,H41)-1),4)</f>
        <v>#DIV/0!</v>
      </c>
      <c r="D41" s="372" t="s">
        <v>2946</v>
      </c>
      <c r="E41" s="2831">
        <f>G20</f>
        <v>0</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4" t="s">
        <v>2904</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3" t="s">
        <v>2903</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4" t="s">
        <v>2905</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3" t="s">
        <v>2903</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3" t="s">
        <v>2903</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3" t="s">
        <v>2903</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999" t="s">
        <v>1624</v>
      </c>
      <c r="B90" s="3999"/>
      <c r="C90" s="3999"/>
      <c r="D90" s="3999"/>
      <c r="E90" s="3999"/>
      <c r="F90" s="3999"/>
      <c r="G90" s="3999"/>
      <c r="H90" s="3999"/>
      <c r="I90" s="3999"/>
      <c r="J90" s="3999"/>
      <c r="K90" s="2305"/>
      <c r="L90" s="2305"/>
      <c r="M90" s="2305"/>
      <c r="N90" s="2305"/>
    </row>
    <row r="91" spans="1:40">
      <c r="A91" s="4000" t="s">
        <v>1434</v>
      </c>
      <c r="B91" s="4000" t="s">
        <v>1625</v>
      </c>
      <c r="C91" s="1123" t="s">
        <v>1626</v>
      </c>
      <c r="D91" s="1124"/>
      <c r="E91" s="1124"/>
      <c r="F91" s="1124"/>
      <c r="G91" s="1124"/>
      <c r="H91" s="1124"/>
      <c r="I91" s="1124"/>
      <c r="J91" s="1125"/>
      <c r="K91" s="1117"/>
      <c r="L91" s="1117"/>
      <c r="M91" s="1117"/>
      <c r="N91" s="1117"/>
    </row>
    <row r="92" spans="1:40">
      <c r="A92" s="4000"/>
      <c r="B92" s="400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983"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98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98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98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98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98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984"/>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985"/>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98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98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98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98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98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98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98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984"/>
      <c r="B108" s="3986"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985"/>
      <c r="B109" s="3987"/>
      <c r="C109" s="1129">
        <f>(-0.163*(C108^2)-0.59*C108+7617)*(10^(-4))/C101</f>
        <v>0.76018479999999999</v>
      </c>
      <c r="D109" s="1129">
        <f>(-0.163*(D108^2)-0.59*D108+7617)*(10^(-4))/D101</f>
        <v>0.76018479999999999</v>
      </c>
      <c r="E109" s="1129">
        <f>(-0.161*(E108^2)-7.509*E108+6533)*(10^(-4))/E101</f>
        <v>0.64626240000000001</v>
      </c>
      <c r="F109" s="1129">
        <f>(-0.161*(F108^2)-7.509*F108+6533)*(10^(-4))/F101</f>
        <v>0.64626240000000001</v>
      </c>
      <c r="G109" s="1129">
        <f>(-0.161*(G108^2)-7.509*G108+6533)*(10^(-4))/G101</f>
        <v>0.64626240000000001</v>
      </c>
      <c r="H109" s="1129">
        <f>(-0.161*(H108^2)-7.509*H108+6533)*(10^(-4))/H101</f>
        <v>0.64626240000000001</v>
      </c>
      <c r="I109" s="1129">
        <f>(-0.161*(I108^2)-7.509*I108+6533)*(10^(-4))/I101</f>
        <v>0.64626240000000001</v>
      </c>
      <c r="J109" s="1129">
        <f>(-0.214*(J108^2)-21.991*J108+4665)*(10^(-4))/J101</f>
        <v>0.44753760000000004</v>
      </c>
      <c r="K109" s="1129">
        <f>(-0.214*(K108^2)-21.991*K108+4665)*(10^(-4))/K101</f>
        <v>0.44753760000000004</v>
      </c>
      <c r="L109" s="1129">
        <f>(-0.214*(L108^2)-21.991*L108+4665)*(10^(-4))/L101</f>
        <v>0.44753760000000004</v>
      </c>
      <c r="M109" s="1129">
        <f>(-0.214*(M108^2)-21.991*M108+4665)*(10^(-4))/M101</f>
        <v>0.44753760000000004</v>
      </c>
      <c r="N109" s="1129">
        <f>(-0.214*(N108^2)-21.991*N108+4665)*(10^(-4))/N101</f>
        <v>0.44753760000000004</v>
      </c>
    </row>
    <row r="110" spans="1:14">
      <c r="A110" s="3993" t="s">
        <v>1630</v>
      </c>
      <c r="B110" s="3993"/>
      <c r="C110" s="3993"/>
      <c r="D110" s="3993"/>
      <c r="E110" s="3993"/>
      <c r="F110" s="3993"/>
      <c r="G110" s="3993"/>
      <c r="H110" s="3993"/>
      <c r="I110" s="3993"/>
      <c r="J110" s="3993"/>
      <c r="K110" s="2303"/>
      <c r="L110" s="2303"/>
      <c r="M110" s="2303"/>
      <c r="N110" s="2303"/>
    </row>
    <row r="112" spans="1:14" ht="12.75" thickBot="1"/>
    <row r="113" spans="1:13" ht="25.5" thickBot="1">
      <c r="A113" s="1003" t="s">
        <v>887</v>
      </c>
      <c r="B113" s="2306">
        <f>G3</f>
        <v>1</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2951</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4000" t="s">
        <v>998</v>
      </c>
      <c r="B18" s="1137" t="s">
        <v>1437</v>
      </c>
      <c r="C18" s="1114" t="s">
        <v>1438</v>
      </c>
      <c r="D18" s="1115"/>
      <c r="E18" s="1137">
        <v>1</v>
      </c>
      <c r="F18" s="1116" t="s">
        <v>1439</v>
      </c>
      <c r="G18" s="1117"/>
      <c r="H18" s="1088"/>
      <c r="I18" s="1088"/>
    </row>
    <row r="19" spans="1:9" s="1529" customFormat="1" ht="19.5" customHeight="1">
      <c r="A19" s="4000"/>
      <c r="B19" s="4000" t="s">
        <v>1440</v>
      </c>
      <c r="C19" s="1114" t="s">
        <v>1441</v>
      </c>
      <c r="D19" s="1115"/>
      <c r="E19" s="1137">
        <v>0.9</v>
      </c>
      <c r="F19" s="1116" t="s">
        <v>1442</v>
      </c>
      <c r="G19" s="1117"/>
      <c r="H19" s="1088"/>
      <c r="I19" s="1088"/>
    </row>
    <row r="20" spans="1:9" s="1529" customFormat="1" ht="19.5" customHeight="1">
      <c r="A20" s="4000"/>
      <c r="B20" s="4000"/>
      <c r="C20" s="1114" t="s">
        <v>1443</v>
      </c>
      <c r="D20" s="1115"/>
      <c r="E20" s="1137">
        <v>1.1000000000000001</v>
      </c>
      <c r="F20" s="1116" t="s">
        <v>1444</v>
      </c>
      <c r="G20" s="1117"/>
      <c r="H20" s="1088"/>
      <c r="I20" s="1088"/>
    </row>
    <row r="21" spans="1:9" s="1529" customFormat="1" ht="19.5" customHeight="1">
      <c r="A21" s="4000"/>
      <c r="B21" s="4000"/>
      <c r="C21" s="1114" t="s">
        <v>1445</v>
      </c>
      <c r="D21" s="1115"/>
      <c r="E21" s="1137">
        <v>0.8</v>
      </c>
      <c r="F21" s="1116" t="s">
        <v>1446</v>
      </c>
      <c r="G21" s="1117"/>
      <c r="H21" s="1088"/>
      <c r="I21" s="1088"/>
    </row>
    <row r="22" spans="1:9" s="1529" customFormat="1" ht="19.5" customHeight="1">
      <c r="A22" s="4000"/>
      <c r="B22" s="4000"/>
      <c r="C22" s="1114" t="s">
        <v>1447</v>
      </c>
      <c r="D22" s="1115"/>
      <c r="E22" s="1137">
        <v>0.5</v>
      </c>
      <c r="F22" s="1116"/>
      <c r="G22" s="1117"/>
      <c r="H22" s="1088"/>
      <c r="I22" s="1088"/>
    </row>
    <row r="23" spans="1:9" s="1529" customFormat="1" ht="19.5" customHeight="1">
      <c r="A23" s="4000" t="s">
        <v>1020</v>
      </c>
      <c r="B23" s="1137" t="s">
        <v>1437</v>
      </c>
      <c r="C23" s="1114" t="s">
        <v>1448</v>
      </c>
      <c r="D23" s="1115"/>
      <c r="E23" s="1137">
        <v>1</v>
      </c>
      <c r="F23" s="1116" t="s">
        <v>1449</v>
      </c>
      <c r="G23" s="1117"/>
      <c r="H23" s="1088"/>
      <c r="I23" s="1088"/>
    </row>
    <row r="24" spans="1:9" s="1529" customFormat="1" ht="19.5" customHeight="1">
      <c r="A24" s="4000"/>
      <c r="B24" s="4000" t="s">
        <v>1440</v>
      </c>
      <c r="C24" s="1114" t="s">
        <v>1450</v>
      </c>
      <c r="D24" s="1115"/>
      <c r="E24" s="1137">
        <v>0.5</v>
      </c>
      <c r="F24" s="1116"/>
      <c r="G24" s="1117"/>
      <c r="H24" s="1088"/>
      <c r="I24" s="1088"/>
    </row>
    <row r="25" spans="1:9" s="1529" customFormat="1" ht="19.5" customHeight="1">
      <c r="A25" s="4000"/>
      <c r="B25" s="4000"/>
      <c r="C25" s="1114" t="s">
        <v>1451</v>
      </c>
      <c r="D25" s="1115"/>
      <c r="E25" s="1137">
        <v>1.1000000000000001</v>
      </c>
      <c r="F25" s="1116"/>
      <c r="G25" s="1117"/>
      <c r="H25" s="1088"/>
      <c r="I25" s="1088"/>
    </row>
    <row r="26" spans="1:9" s="1529" customFormat="1" ht="19.5" customHeight="1">
      <c r="A26" s="4000"/>
      <c r="B26" s="4000"/>
      <c r="C26" s="1114" t="s">
        <v>1452</v>
      </c>
      <c r="D26" s="1115"/>
      <c r="E26" s="1137">
        <v>1.1000000000000001</v>
      </c>
      <c r="F26" s="1116"/>
      <c r="G26" s="1117"/>
      <c r="H26" s="1088"/>
      <c r="I26" s="1088"/>
    </row>
    <row r="27" spans="1:9" s="1529" customFormat="1" ht="19.5" customHeight="1">
      <c r="A27" s="4000"/>
      <c r="B27" s="4000"/>
      <c r="C27" s="1114" t="s">
        <v>1453</v>
      </c>
      <c r="D27" s="1115"/>
      <c r="E27" s="1137">
        <v>0.9</v>
      </c>
      <c r="F27" s="1116" t="s">
        <v>1454</v>
      </c>
      <c r="G27" s="1117"/>
      <c r="H27" s="1088"/>
      <c r="I27" s="1088"/>
    </row>
    <row r="28" spans="1:9" s="1529" customFormat="1" ht="19.5" customHeight="1">
      <c r="A28" s="4000"/>
      <c r="B28" s="4000"/>
      <c r="C28" s="1114" t="s">
        <v>1455</v>
      </c>
      <c r="D28" s="1115"/>
      <c r="E28" s="1137">
        <v>0.9</v>
      </c>
      <c r="F28" s="1116" t="s">
        <v>1456</v>
      </c>
      <c r="G28" s="1117"/>
      <c r="H28" s="1088"/>
      <c r="I28" s="1088"/>
    </row>
    <row r="29" spans="1:9" s="1529" customFormat="1" ht="19.5" customHeight="1">
      <c r="A29" s="4000"/>
      <c r="B29" s="4000"/>
      <c r="C29" s="1114" t="s">
        <v>1457</v>
      </c>
      <c r="D29" s="1115"/>
      <c r="E29" s="1137">
        <v>0.9</v>
      </c>
      <c r="F29" s="1116" t="s">
        <v>1458</v>
      </c>
      <c r="G29" s="1117"/>
      <c r="H29" s="1088"/>
      <c r="I29" s="1088"/>
    </row>
    <row r="30" spans="1:9" s="1529" customFormat="1" ht="19.5" customHeight="1">
      <c r="A30" s="4000"/>
      <c r="B30" s="4000"/>
      <c r="C30" s="1114" t="s">
        <v>1459</v>
      </c>
      <c r="D30" s="1115"/>
      <c r="E30" s="1137">
        <v>0.9</v>
      </c>
      <c r="F30" s="1116" t="s">
        <v>1460</v>
      </c>
      <c r="G30" s="1117"/>
      <c r="H30" s="1088"/>
      <c r="I30" s="1088"/>
    </row>
    <row r="31" spans="1:9" s="1529" customFormat="1" ht="19.5" customHeight="1">
      <c r="A31" s="4000"/>
      <c r="B31" s="4000"/>
      <c r="C31" s="1114" t="s">
        <v>1461</v>
      </c>
      <c r="D31" s="1115"/>
      <c r="E31" s="1137">
        <v>0.8</v>
      </c>
      <c r="F31" s="1116" t="s">
        <v>1462</v>
      </c>
      <c r="G31" s="1117"/>
      <c r="H31" s="1088"/>
      <c r="I31" s="1088"/>
    </row>
    <row r="32" spans="1:9" s="1529" customFormat="1" ht="19.5" customHeight="1">
      <c r="A32" s="4000"/>
      <c r="B32" s="4000"/>
      <c r="C32" s="1114" t="s">
        <v>1463</v>
      </c>
      <c r="D32" s="1115"/>
      <c r="E32" s="1137">
        <v>0.8</v>
      </c>
      <c r="F32" s="1116" t="s">
        <v>1464</v>
      </c>
      <c r="G32" s="1117"/>
      <c r="H32" s="1088"/>
      <c r="I32" s="1088"/>
    </row>
    <row r="33" spans="1:9" s="1529" customFormat="1" ht="19.5" customHeight="1">
      <c r="A33" s="4000" t="s">
        <v>1465</v>
      </c>
      <c r="B33" s="1137" t="s">
        <v>1437</v>
      </c>
      <c r="C33" s="1114" t="s">
        <v>1466</v>
      </c>
      <c r="D33" s="1115"/>
      <c r="E33" s="1137">
        <v>1</v>
      </c>
      <c r="F33" s="1116" t="s">
        <v>1467</v>
      </c>
      <c r="G33" s="1117"/>
      <c r="H33" s="1088"/>
      <c r="I33" s="1088"/>
    </row>
    <row r="34" spans="1:9" s="1529" customFormat="1" ht="19.5" customHeight="1">
      <c r="A34" s="4000"/>
      <c r="B34" s="1137" t="s">
        <v>1440</v>
      </c>
      <c r="C34" s="1114" t="s">
        <v>1468</v>
      </c>
      <c r="D34" s="1115"/>
      <c r="E34" s="1137">
        <v>1.5</v>
      </c>
      <c r="F34" s="1116" t="s">
        <v>1469</v>
      </c>
      <c r="G34" s="1117"/>
      <c r="H34" s="1088"/>
      <c r="I34" s="1088"/>
    </row>
    <row r="35" spans="1:9" s="1529" customFormat="1" ht="19.5" customHeight="1">
      <c r="A35" s="4000" t="s">
        <v>1423</v>
      </c>
      <c r="B35" s="1137" t="s">
        <v>1437</v>
      </c>
      <c r="C35" s="1114" t="s">
        <v>1470</v>
      </c>
      <c r="D35" s="1115"/>
      <c r="E35" s="1137">
        <v>1</v>
      </c>
      <c r="F35" s="1116" t="s">
        <v>1471</v>
      </c>
      <c r="G35" s="1117"/>
      <c r="H35" s="1088"/>
      <c r="I35" s="1088"/>
    </row>
    <row r="36" spans="1:9" s="1529" customFormat="1" ht="19.5" customHeight="1">
      <c r="A36" s="4000"/>
      <c r="B36" s="4000" t="s">
        <v>1440</v>
      </c>
      <c r="C36" s="1114" t="s">
        <v>1472</v>
      </c>
      <c r="D36" s="1115"/>
      <c r="E36" s="1137">
        <v>1</v>
      </c>
      <c r="F36" s="1116" t="s">
        <v>1473</v>
      </c>
      <c r="G36" s="1117"/>
      <c r="H36" s="1088"/>
      <c r="I36" s="1088"/>
    </row>
    <row r="37" spans="1:9" s="1529" customFormat="1" ht="19.5" customHeight="1">
      <c r="A37" s="4000"/>
      <c r="B37" s="4000"/>
      <c r="C37" s="1114" t="s">
        <v>1474</v>
      </c>
      <c r="D37" s="1115"/>
      <c r="E37" s="1137">
        <v>1.5</v>
      </c>
      <c r="F37" s="1116" t="s">
        <v>1475</v>
      </c>
      <c r="G37" s="1117"/>
      <c r="H37" s="1088"/>
      <c r="I37" s="1088"/>
    </row>
    <row r="38" spans="1:9" s="1529" customFormat="1" ht="19.5" customHeight="1">
      <c r="A38" s="4000"/>
      <c r="B38" s="4000"/>
      <c r="C38" s="1114" t="s">
        <v>1476</v>
      </c>
      <c r="D38" s="1115"/>
      <c r="E38" s="1137">
        <v>1</v>
      </c>
      <c r="F38" s="1116" t="s">
        <v>1477</v>
      </c>
      <c r="G38" s="1117"/>
      <c r="H38" s="1088"/>
      <c r="I38" s="1088"/>
    </row>
    <row r="39" spans="1:9" s="1529" customFormat="1" ht="19.5" customHeight="1">
      <c r="A39" s="4000"/>
      <c r="B39" s="4000"/>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000" t="s">
        <v>1492</v>
      </c>
      <c r="C61" s="1051" t="s">
        <v>1493</v>
      </c>
      <c r="D61" s="1051" t="s">
        <v>1494</v>
      </c>
      <c r="E61" s="1122">
        <v>0.5</v>
      </c>
      <c r="F61" s="1137">
        <v>80</v>
      </c>
      <c r="H61" s="1088">
        <f>SUMIF(C59:C119,基准地价!C8,E59:E119)</f>
        <v>0</v>
      </c>
    </row>
    <row r="62" spans="1:8" s="1088" customFormat="1" ht="24">
      <c r="A62" s="1137">
        <v>2</v>
      </c>
      <c r="B62" s="4000"/>
      <c r="C62" s="1051" t="s">
        <v>1495</v>
      </c>
      <c r="D62" s="1051" t="s">
        <v>1496</v>
      </c>
      <c r="E62" s="1122">
        <v>0.5</v>
      </c>
      <c r="F62" s="1137">
        <v>80</v>
      </c>
    </row>
    <row r="63" spans="1:8" s="1088" customFormat="1" ht="36">
      <c r="A63" s="1137">
        <v>3</v>
      </c>
      <c r="B63" s="4000"/>
      <c r="C63" s="1051" t="s">
        <v>1497</v>
      </c>
      <c r="D63" s="1051" t="s">
        <v>1498</v>
      </c>
      <c r="E63" s="1122">
        <v>0.5</v>
      </c>
      <c r="F63" s="1137">
        <v>80</v>
      </c>
    </row>
    <row r="64" spans="1:8" s="1088" customFormat="1" ht="36">
      <c r="A64" s="1137">
        <v>4</v>
      </c>
      <c r="B64" s="4000"/>
      <c r="C64" s="1051" t="s">
        <v>1499</v>
      </c>
      <c r="D64" s="1051" t="s">
        <v>1500</v>
      </c>
      <c r="E64" s="1122">
        <v>0.4</v>
      </c>
      <c r="F64" s="1137">
        <v>60</v>
      </c>
    </row>
    <row r="65" spans="1:6" s="1088" customFormat="1" ht="36">
      <c r="A65" s="1137">
        <v>5</v>
      </c>
      <c r="B65" s="4000"/>
      <c r="C65" s="1051" t="s">
        <v>1501</v>
      </c>
      <c r="D65" s="1051" t="s">
        <v>1502</v>
      </c>
      <c r="E65" s="1122">
        <v>0.2</v>
      </c>
      <c r="F65" s="1137">
        <v>30</v>
      </c>
    </row>
    <row r="66" spans="1:6" s="1088" customFormat="1" ht="36">
      <c r="A66" s="1137">
        <v>6</v>
      </c>
      <c r="B66" s="4000"/>
      <c r="C66" s="1051" t="s">
        <v>1503</v>
      </c>
      <c r="D66" s="1051" t="s">
        <v>1504</v>
      </c>
      <c r="E66" s="1122">
        <v>0.3</v>
      </c>
      <c r="F66" s="1137">
        <v>50</v>
      </c>
    </row>
    <row r="67" spans="1:6" s="1088" customFormat="1" ht="36">
      <c r="A67" s="1137">
        <v>7</v>
      </c>
      <c r="B67" s="4000"/>
      <c r="C67" s="1051" t="s">
        <v>1505</v>
      </c>
      <c r="D67" s="1051" t="s">
        <v>1506</v>
      </c>
      <c r="E67" s="1122">
        <v>0.2</v>
      </c>
      <c r="F67" s="1137">
        <v>30</v>
      </c>
    </row>
    <row r="68" spans="1:6" s="1088" customFormat="1" ht="36">
      <c r="A68" s="1137">
        <v>8</v>
      </c>
      <c r="B68" s="4000"/>
      <c r="C68" s="1051" t="s">
        <v>1507</v>
      </c>
      <c r="D68" s="1051" t="s">
        <v>1508</v>
      </c>
      <c r="E68" s="1122">
        <v>0.2</v>
      </c>
      <c r="F68" s="1137">
        <v>30</v>
      </c>
    </row>
    <row r="69" spans="1:6" s="1088" customFormat="1" ht="36">
      <c r="A69" s="1137">
        <v>9</v>
      </c>
      <c r="B69" s="4000"/>
      <c r="C69" s="1051" t="s">
        <v>1509</v>
      </c>
      <c r="D69" s="1051" t="s">
        <v>1510</v>
      </c>
      <c r="E69" s="1122">
        <v>0.2</v>
      </c>
      <c r="F69" s="1137">
        <v>30</v>
      </c>
    </row>
    <row r="70" spans="1:6" s="1088" customFormat="1" ht="48">
      <c r="A70" s="1137">
        <v>10</v>
      </c>
      <c r="B70" s="4000"/>
      <c r="C70" s="1051" t="s">
        <v>1511</v>
      </c>
      <c r="D70" s="1051" t="s">
        <v>1512</v>
      </c>
      <c r="E70" s="1122">
        <v>0.2</v>
      </c>
      <c r="F70" s="1137">
        <v>30</v>
      </c>
    </row>
    <row r="71" spans="1:6" s="1088" customFormat="1" ht="48">
      <c r="A71" s="1137">
        <v>11</v>
      </c>
      <c r="B71" s="4000"/>
      <c r="C71" s="1051" t="s">
        <v>1513</v>
      </c>
      <c r="D71" s="1051" t="s">
        <v>1514</v>
      </c>
      <c r="E71" s="1122">
        <v>0.2</v>
      </c>
      <c r="F71" s="1137">
        <v>30</v>
      </c>
    </row>
    <row r="72" spans="1:6" s="1088" customFormat="1" ht="36">
      <c r="A72" s="1137">
        <v>12</v>
      </c>
      <c r="B72" s="4000"/>
      <c r="C72" s="1051" t="s">
        <v>1515</v>
      </c>
      <c r="D72" s="1051" t="s">
        <v>1516</v>
      </c>
      <c r="E72" s="1122">
        <v>0.5</v>
      </c>
      <c r="F72" s="1137">
        <v>80</v>
      </c>
    </row>
    <row r="73" spans="1:6" s="1088" customFormat="1" ht="24">
      <c r="A73" s="1137">
        <v>13</v>
      </c>
      <c r="B73" s="4000"/>
      <c r="C73" s="1051" t="s">
        <v>1517</v>
      </c>
      <c r="D73" s="1051" t="s">
        <v>1518</v>
      </c>
      <c r="E73" s="1122">
        <v>0.4</v>
      </c>
      <c r="F73" s="1137">
        <v>60</v>
      </c>
    </row>
    <row r="74" spans="1:6" s="1088" customFormat="1" ht="24">
      <c r="A74" s="1137">
        <v>14</v>
      </c>
      <c r="B74" s="4000"/>
      <c r="C74" s="1051" t="s">
        <v>1519</v>
      </c>
      <c r="D74" s="1051" t="s">
        <v>1520</v>
      </c>
      <c r="E74" s="1122">
        <v>0.2</v>
      </c>
      <c r="F74" s="1137">
        <v>30</v>
      </c>
    </row>
    <row r="75" spans="1:6" s="1088" customFormat="1" ht="24">
      <c r="A75" s="1137">
        <v>15</v>
      </c>
      <c r="B75" s="4000"/>
      <c r="C75" s="1051" t="s">
        <v>1521</v>
      </c>
      <c r="D75" s="1051" t="s">
        <v>1522</v>
      </c>
      <c r="E75" s="1122">
        <v>0.2</v>
      </c>
      <c r="F75" s="1137">
        <v>30</v>
      </c>
    </row>
    <row r="76" spans="1:6" s="1088" customFormat="1" ht="24">
      <c r="A76" s="1137">
        <v>16</v>
      </c>
      <c r="B76" s="4000" t="s">
        <v>1523</v>
      </c>
      <c r="C76" s="1051" t="s">
        <v>1524</v>
      </c>
      <c r="D76" s="1051" t="s">
        <v>1525</v>
      </c>
      <c r="E76" s="1122">
        <v>0.5</v>
      </c>
      <c r="F76" s="1137">
        <v>80</v>
      </c>
    </row>
    <row r="77" spans="1:6" s="1088" customFormat="1" ht="24">
      <c r="A77" s="1137">
        <v>17</v>
      </c>
      <c r="B77" s="4000"/>
      <c r="C77" s="1051" t="s">
        <v>1526</v>
      </c>
      <c r="D77" s="1051" t="s">
        <v>1527</v>
      </c>
      <c r="E77" s="1122">
        <v>0.5</v>
      </c>
      <c r="F77" s="1137">
        <v>80</v>
      </c>
    </row>
    <row r="78" spans="1:6" s="1088" customFormat="1" ht="24">
      <c r="A78" s="1137">
        <v>18</v>
      </c>
      <c r="B78" s="4000"/>
      <c r="C78" s="1051" t="s">
        <v>1528</v>
      </c>
      <c r="D78" s="1051" t="s">
        <v>1529</v>
      </c>
      <c r="E78" s="1122">
        <v>0.2</v>
      </c>
      <c r="F78" s="1137">
        <v>30</v>
      </c>
    </row>
    <row r="79" spans="1:6" s="1088" customFormat="1" ht="24">
      <c r="A79" s="1137">
        <v>19</v>
      </c>
      <c r="B79" s="4000"/>
      <c r="C79" s="1051" t="s">
        <v>1530</v>
      </c>
      <c r="D79" s="1051" t="s">
        <v>1531</v>
      </c>
      <c r="E79" s="1122">
        <v>0.5</v>
      </c>
      <c r="F79" s="1137">
        <v>80</v>
      </c>
    </row>
    <row r="80" spans="1:6" s="1088" customFormat="1" ht="36">
      <c r="A80" s="1137">
        <v>20</v>
      </c>
      <c r="B80" s="4000"/>
      <c r="C80" s="1051" t="s">
        <v>1532</v>
      </c>
      <c r="D80" s="1051" t="s">
        <v>1533</v>
      </c>
      <c r="E80" s="1122">
        <v>0.2</v>
      </c>
      <c r="F80" s="1137">
        <v>30</v>
      </c>
    </row>
    <row r="81" spans="1:6" s="1088" customFormat="1" ht="36">
      <c r="A81" s="1137">
        <v>21</v>
      </c>
      <c r="B81" s="4000"/>
      <c r="C81" s="1051" t="s">
        <v>1534</v>
      </c>
      <c r="D81" s="1051" t="s">
        <v>1535</v>
      </c>
      <c r="E81" s="1122">
        <v>0.2</v>
      </c>
      <c r="F81" s="1137">
        <v>30</v>
      </c>
    </row>
    <row r="82" spans="1:6" s="1088" customFormat="1" ht="48">
      <c r="A82" s="1137">
        <v>22</v>
      </c>
      <c r="B82" s="4000"/>
      <c r="C82" s="1051" t="s">
        <v>1536</v>
      </c>
      <c r="D82" s="1051" t="s">
        <v>1537</v>
      </c>
      <c r="E82" s="1122">
        <v>0.2</v>
      </c>
      <c r="F82" s="1137">
        <v>30</v>
      </c>
    </row>
    <row r="83" spans="1:6" s="1088" customFormat="1" ht="48">
      <c r="A83" s="1137">
        <v>23</v>
      </c>
      <c r="B83" s="4000"/>
      <c r="C83" s="1051" t="s">
        <v>1538</v>
      </c>
      <c r="D83" s="1051" t="s">
        <v>1539</v>
      </c>
      <c r="E83" s="1122">
        <v>0.2</v>
      </c>
      <c r="F83" s="1137">
        <v>30</v>
      </c>
    </row>
    <row r="84" spans="1:6" s="1088" customFormat="1" ht="36">
      <c r="A84" s="1137">
        <v>24</v>
      </c>
      <c r="B84" s="4000"/>
      <c r="C84" s="1051" t="s">
        <v>1540</v>
      </c>
      <c r="D84" s="1051" t="s">
        <v>1541</v>
      </c>
      <c r="E84" s="1122">
        <v>0.2</v>
      </c>
      <c r="F84" s="1137">
        <v>30</v>
      </c>
    </row>
    <row r="85" spans="1:6" s="1088" customFormat="1" ht="36">
      <c r="A85" s="1137">
        <v>25</v>
      </c>
      <c r="B85" s="4000"/>
      <c r="C85" s="1051" t="s">
        <v>1542</v>
      </c>
      <c r="D85" s="1051" t="s">
        <v>1543</v>
      </c>
      <c r="E85" s="1122">
        <v>0.5</v>
      </c>
      <c r="F85" s="1137">
        <v>80</v>
      </c>
    </row>
    <row r="86" spans="1:6" s="1088" customFormat="1" ht="36">
      <c r="A86" s="1137">
        <v>26</v>
      </c>
      <c r="B86" s="4000"/>
      <c r="C86" s="1051" t="s">
        <v>1544</v>
      </c>
      <c r="D86" s="1051" t="s">
        <v>1545</v>
      </c>
      <c r="E86" s="1122">
        <v>0.2</v>
      </c>
      <c r="F86" s="1137">
        <v>30</v>
      </c>
    </row>
    <row r="87" spans="1:6" s="1088" customFormat="1" ht="36">
      <c r="A87" s="1137">
        <v>27</v>
      </c>
      <c r="B87" s="4000"/>
      <c r="C87" s="1051" t="s">
        <v>1546</v>
      </c>
      <c r="D87" s="1051" t="s">
        <v>1547</v>
      </c>
      <c r="E87" s="1122">
        <v>0.2</v>
      </c>
      <c r="F87" s="1137">
        <v>30</v>
      </c>
    </row>
    <row r="88" spans="1:6" s="1088" customFormat="1" ht="36">
      <c r="A88" s="1137">
        <v>28</v>
      </c>
      <c r="B88" s="4000"/>
      <c r="C88" s="1051" t="s">
        <v>1548</v>
      </c>
      <c r="D88" s="1051" t="s">
        <v>1549</v>
      </c>
      <c r="E88" s="1122">
        <v>0.2</v>
      </c>
      <c r="F88" s="1137">
        <v>30</v>
      </c>
    </row>
    <row r="89" spans="1:6" s="1088" customFormat="1" ht="24">
      <c r="A89" s="1137">
        <v>29</v>
      </c>
      <c r="B89" s="4000"/>
      <c r="C89" s="1051" t="s">
        <v>1550</v>
      </c>
      <c r="D89" s="1051" t="s">
        <v>1551</v>
      </c>
      <c r="E89" s="1122">
        <v>0.2</v>
      </c>
      <c r="F89" s="1137">
        <v>30</v>
      </c>
    </row>
    <row r="90" spans="1:6" s="1088" customFormat="1" ht="24">
      <c r="A90" s="1137">
        <v>30</v>
      </c>
      <c r="B90" s="4000"/>
      <c r="C90" s="1051" t="s">
        <v>1552</v>
      </c>
      <c r="D90" s="1051" t="s">
        <v>1553</v>
      </c>
      <c r="E90" s="1122">
        <v>0.2</v>
      </c>
      <c r="F90" s="1137">
        <v>30</v>
      </c>
    </row>
    <row r="91" spans="1:6" s="1088" customFormat="1" ht="36">
      <c r="A91" s="1137">
        <v>31</v>
      </c>
      <c r="B91" s="4000"/>
      <c r="C91" s="1051" t="s">
        <v>1554</v>
      </c>
      <c r="D91" s="1051" t="s">
        <v>1555</v>
      </c>
      <c r="E91" s="1122">
        <v>0.2</v>
      </c>
      <c r="F91" s="1137">
        <v>30</v>
      </c>
    </row>
    <row r="92" spans="1:6" s="1088" customFormat="1" ht="24">
      <c r="A92" s="1137">
        <v>32</v>
      </c>
      <c r="B92" s="4000" t="s">
        <v>1556</v>
      </c>
      <c r="C92" s="1137" t="s">
        <v>1557</v>
      </c>
      <c r="D92" s="1051" t="s">
        <v>1558</v>
      </c>
      <c r="E92" s="1122">
        <v>0.2</v>
      </c>
      <c r="F92" s="1137">
        <v>30</v>
      </c>
    </row>
    <row r="93" spans="1:6" s="1088" customFormat="1" ht="36">
      <c r="A93" s="1137">
        <v>33</v>
      </c>
      <c r="B93" s="4000"/>
      <c r="C93" s="1137" t="s">
        <v>1559</v>
      </c>
      <c r="D93" s="1051" t="s">
        <v>1560</v>
      </c>
      <c r="E93" s="1122">
        <v>0.2</v>
      </c>
      <c r="F93" s="1137">
        <v>30</v>
      </c>
    </row>
    <row r="94" spans="1:6" s="1088" customFormat="1" ht="48">
      <c r="A94" s="1137">
        <v>34</v>
      </c>
      <c r="B94" s="4000"/>
      <c r="C94" s="1137" t="s">
        <v>1561</v>
      </c>
      <c r="D94" s="1051" t="s">
        <v>1562</v>
      </c>
      <c r="E94" s="1122">
        <v>0.2</v>
      </c>
      <c r="F94" s="1137">
        <v>30</v>
      </c>
    </row>
    <row r="95" spans="1:6" s="1088" customFormat="1" ht="36">
      <c r="A95" s="1137">
        <v>35</v>
      </c>
      <c r="B95" s="4000"/>
      <c r="C95" s="1137" t="s">
        <v>1563</v>
      </c>
      <c r="D95" s="1051" t="s">
        <v>1564</v>
      </c>
      <c r="E95" s="1122">
        <v>0.2</v>
      </c>
      <c r="F95" s="1137">
        <v>30</v>
      </c>
    </row>
    <row r="96" spans="1:6" s="1088" customFormat="1" ht="48">
      <c r="A96" s="1137">
        <v>36</v>
      </c>
      <c r="B96" s="4000"/>
      <c r="C96" s="1051" t="s">
        <v>1565</v>
      </c>
      <c r="D96" s="1051" t="s">
        <v>1566</v>
      </c>
      <c r="E96" s="1122">
        <v>0.2</v>
      </c>
      <c r="F96" s="1137">
        <v>30</v>
      </c>
    </row>
    <row r="97" spans="1:6" s="1088" customFormat="1" ht="36">
      <c r="A97" s="1137">
        <v>37</v>
      </c>
      <c r="B97" s="4000"/>
      <c r="C97" s="1137" t="s">
        <v>1567</v>
      </c>
      <c r="D97" s="1051" t="s">
        <v>1568</v>
      </c>
      <c r="E97" s="1122">
        <v>0.2</v>
      </c>
      <c r="F97" s="1137">
        <v>30</v>
      </c>
    </row>
    <row r="98" spans="1:6" s="1088" customFormat="1" ht="36">
      <c r="A98" s="1137">
        <v>38</v>
      </c>
      <c r="B98" s="4000"/>
      <c r="C98" s="1137" t="s">
        <v>1569</v>
      </c>
      <c r="D98" s="1051" t="s">
        <v>1570</v>
      </c>
      <c r="E98" s="1122">
        <v>0.2</v>
      </c>
      <c r="F98" s="1137">
        <v>30</v>
      </c>
    </row>
    <row r="99" spans="1:6" s="1088" customFormat="1" ht="36">
      <c r="A99" s="1137">
        <v>39</v>
      </c>
      <c r="B99" s="4000" t="s">
        <v>1571</v>
      </c>
      <c r="C99" s="1137" t="s">
        <v>1572</v>
      </c>
      <c r="D99" s="1051" t="s">
        <v>1573</v>
      </c>
      <c r="E99" s="1122">
        <v>0.3</v>
      </c>
      <c r="F99" s="1137">
        <v>50</v>
      </c>
    </row>
    <row r="100" spans="1:6" s="1088" customFormat="1" ht="24">
      <c r="A100" s="1137">
        <v>40</v>
      </c>
      <c r="B100" s="4000"/>
      <c r="C100" s="1137" t="s">
        <v>1574</v>
      </c>
      <c r="D100" s="1051" t="s">
        <v>1575</v>
      </c>
      <c r="E100" s="1122">
        <v>0.2</v>
      </c>
      <c r="F100" s="1137">
        <v>30</v>
      </c>
    </row>
    <row r="101" spans="1:6" s="1088" customFormat="1" ht="36">
      <c r="A101" s="1137">
        <v>41</v>
      </c>
      <c r="B101" s="400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000" t="s">
        <v>1586</v>
      </c>
      <c r="C105" s="1137" t="s">
        <v>1587</v>
      </c>
      <c r="D105" s="1051" t="s">
        <v>1588</v>
      </c>
      <c r="E105" s="1122">
        <v>0.2</v>
      </c>
      <c r="F105" s="1137">
        <v>30</v>
      </c>
    </row>
    <row r="106" spans="1:6" s="1088" customFormat="1" ht="36">
      <c r="A106" s="1137">
        <v>46</v>
      </c>
      <c r="B106" s="4000"/>
      <c r="C106" s="1137" t="s">
        <v>1589</v>
      </c>
      <c r="D106" s="1051" t="s">
        <v>1590</v>
      </c>
      <c r="E106" s="1122">
        <v>0.2</v>
      </c>
      <c r="F106" s="1137">
        <v>30</v>
      </c>
    </row>
    <row r="107" spans="1:6" s="1088" customFormat="1" ht="36">
      <c r="A107" s="1137">
        <v>47</v>
      </c>
      <c r="B107" s="4000" t="s">
        <v>1591</v>
      </c>
      <c r="C107" s="1137" t="s">
        <v>1592</v>
      </c>
      <c r="D107" s="1051" t="s">
        <v>1593</v>
      </c>
      <c r="E107" s="1122">
        <v>0.3</v>
      </c>
      <c r="F107" s="1137">
        <v>50</v>
      </c>
    </row>
    <row r="108" spans="1:6" s="1088" customFormat="1" ht="36">
      <c r="A108" s="1137">
        <v>48</v>
      </c>
      <c r="B108" s="400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000" t="s">
        <v>1602</v>
      </c>
      <c r="C111" s="1137" t="s">
        <v>1603</v>
      </c>
      <c r="D111" s="1051" t="s">
        <v>1604</v>
      </c>
      <c r="E111" s="1122">
        <v>0.2</v>
      </c>
      <c r="F111" s="1137">
        <v>30</v>
      </c>
    </row>
    <row r="112" spans="1:6" s="1088" customFormat="1" ht="24">
      <c r="A112" s="1137">
        <v>52</v>
      </c>
      <c r="B112" s="4000"/>
      <c r="C112" s="1137" t="s">
        <v>1605</v>
      </c>
      <c r="D112" s="1051" t="s">
        <v>1606</v>
      </c>
      <c r="E112" s="1122">
        <v>0.2</v>
      </c>
      <c r="F112" s="1137">
        <v>30</v>
      </c>
    </row>
    <row r="113" spans="1:14" s="1088" customFormat="1" ht="24">
      <c r="A113" s="1137">
        <v>53</v>
      </c>
      <c r="B113" s="400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000" t="s">
        <v>1615</v>
      </c>
      <c r="C116" s="1137" t="s">
        <v>1616</v>
      </c>
      <c r="D116" s="1051" t="s">
        <v>1617</v>
      </c>
      <c r="E116" s="1122">
        <v>0.2</v>
      </c>
      <c r="F116" s="1137">
        <v>30</v>
      </c>
    </row>
    <row r="117" spans="1:14" ht="36">
      <c r="A117" s="1137">
        <v>57</v>
      </c>
      <c r="B117" s="400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999" t="s">
        <v>1624</v>
      </c>
      <c r="B121" s="3999"/>
      <c r="C121" s="3999"/>
      <c r="D121" s="3999"/>
      <c r="E121" s="3999"/>
      <c r="F121" s="3999"/>
      <c r="G121" s="3999"/>
      <c r="H121" s="3999"/>
      <c r="I121" s="3999"/>
      <c r="J121" s="399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001" t="s">
        <v>1030</v>
      </c>
      <c r="B1" s="4001"/>
      <c r="C1" s="4001"/>
      <c r="D1" s="4001"/>
      <c r="E1" s="4001"/>
      <c r="F1" s="400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002" t="s">
        <v>1043</v>
      </c>
      <c r="B2" s="4002"/>
      <c r="C2" s="4002"/>
      <c r="D2" s="4002"/>
      <c r="E2" s="4002"/>
      <c r="F2" s="400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00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00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005" t="s">
        <v>2068</v>
      </c>
      <c r="B1" s="400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4013" t="s">
        <v>2556</v>
      </c>
      <c r="C1" s="4013"/>
      <c r="D1" s="4013"/>
      <c r="E1" s="4013"/>
      <c r="F1" s="4013"/>
      <c r="G1" s="4012" t="s">
        <v>2557</v>
      </c>
      <c r="H1" s="4012"/>
      <c r="I1" s="4012"/>
      <c r="J1" s="4012"/>
      <c r="K1" s="4012"/>
      <c r="L1" s="4012"/>
      <c r="N1" s="4012" t="s">
        <v>2558</v>
      </c>
      <c r="O1" s="4012"/>
      <c r="P1" s="4012"/>
      <c r="Q1" s="4012"/>
      <c r="S1" s="4012" t="s">
        <v>2559</v>
      </c>
      <c r="T1" s="4012"/>
      <c r="U1" s="4012"/>
      <c r="V1" s="4012"/>
      <c r="X1" s="4011" t="s">
        <v>2619</v>
      </c>
      <c r="Y1" s="4012"/>
      <c r="Z1" s="4012"/>
      <c r="AA1" s="4012"/>
      <c r="AB1" s="4012"/>
      <c r="AD1" s="4011" t="s">
        <v>2623</v>
      </c>
      <c r="AE1" s="4012"/>
      <c r="AF1" s="4012"/>
      <c r="AG1" s="4012"/>
      <c r="AH1" s="4012"/>
    </row>
    <row r="2" spans="1:34" s="2864" customFormat="1" ht="14.25" thickBot="1">
      <c r="B2" s="2865" t="s">
        <v>2560</v>
      </c>
      <c r="C2" s="2865" t="s">
        <v>2621</v>
      </c>
      <c r="D2" s="2866" t="s">
        <v>1635</v>
      </c>
      <c r="E2" s="2866" t="s">
        <v>1938</v>
      </c>
      <c r="F2" s="2865" t="s">
        <v>2622</v>
      </c>
      <c r="G2" s="2867"/>
      <c r="I2" s="2865" t="s">
        <v>2921</v>
      </c>
      <c r="J2" s="2866" t="s">
        <v>2923</v>
      </c>
      <c r="K2" s="2866" t="s">
        <v>2924</v>
      </c>
      <c r="L2" s="2865" t="s">
        <v>2925</v>
      </c>
      <c r="N2" s="2865" t="s">
        <v>2560</v>
      </c>
      <c r="O2" s="2866" t="s">
        <v>2922</v>
      </c>
      <c r="P2" s="2866" t="s">
        <v>1938</v>
      </c>
      <c r="Q2" s="2865" t="s">
        <v>2622</v>
      </c>
      <c r="S2" s="2865" t="s">
        <v>2560</v>
      </c>
      <c r="T2" s="2866" t="s">
        <v>2922</v>
      </c>
      <c r="U2" s="2866" t="s">
        <v>1938</v>
      </c>
      <c r="V2" s="2865" t="s">
        <v>2622</v>
      </c>
      <c r="X2" s="2865" t="s">
        <v>2560</v>
      </c>
      <c r="Y2" s="2865" t="s">
        <v>2621</v>
      </c>
      <c r="Z2" s="2866" t="s">
        <v>1635</v>
      </c>
      <c r="AA2" s="2866" t="s">
        <v>1938</v>
      </c>
      <c r="AB2" s="2865" t="s">
        <v>2622</v>
      </c>
      <c r="AD2" s="2865" t="s">
        <v>2560</v>
      </c>
      <c r="AE2" s="2865" t="s">
        <v>2621</v>
      </c>
      <c r="AF2" s="2866" t="s">
        <v>1635</v>
      </c>
      <c r="AG2" s="2866" t="s">
        <v>1938</v>
      </c>
      <c r="AH2" s="2865" t="s">
        <v>2622</v>
      </c>
    </row>
    <row r="3" spans="1:34" s="2874" customFormat="1" ht="14.25">
      <c r="A3" s="2868" t="s">
        <v>2932</v>
      </c>
      <c r="B3" s="2869"/>
      <c r="C3" s="2869"/>
      <c r="D3" s="2870"/>
      <c r="E3" s="2870"/>
      <c r="F3" s="2869"/>
      <c r="G3" s="2871"/>
      <c r="H3" s="2872"/>
      <c r="I3" s="2873">
        <f>ROUND(AVERAGE($I4:$I33),2)</f>
        <v>1.68</v>
      </c>
      <c r="J3" s="2873">
        <f>ROUND(AVERAGE($J4:$J33),2)</f>
        <v>1.1000000000000001</v>
      </c>
      <c r="K3" s="2873">
        <f>ROUND(AVERAGE($K4:$K33),2)</f>
        <v>1.85</v>
      </c>
      <c r="L3" s="2873">
        <f>ROUND(AVERAGE($L4:$L33),2)</f>
        <v>1.19</v>
      </c>
      <c r="N3" s="2871"/>
      <c r="S3" s="2871"/>
      <c r="W3" s="2875"/>
      <c r="X3" s="2876">
        <f>ROUND(SUMPRODUCT(PRODUCT(1+N3:N$32)),4)</f>
        <v>1.571</v>
      </c>
      <c r="Y3" s="2876">
        <f>ROUND(SUMPRODUCT(PRODUCT(1+O3:O$32)),4)</f>
        <v>1.3420000000000001</v>
      </c>
      <c r="Z3" s="2876">
        <f t="shared" ref="Z3:Z30" si="0">Y3</f>
        <v>1.3420000000000001</v>
      </c>
      <c r="AA3" s="2876">
        <f>ROUND(SUMPRODUCT(PRODUCT(1+P3:P$32)),4)</f>
        <v>1.6415999999999999</v>
      </c>
      <c r="AB3" s="2876">
        <f>ROUND(SUMPRODUCT(PRODUCT(1+Q3:Q$32)),4)</f>
        <v>1.389</v>
      </c>
      <c r="AD3" s="2877">
        <f>ROUND(AVERAGE(I3:I$33)/100,4)</f>
        <v>1.6799999999999999E-2</v>
      </c>
      <c r="AE3" s="2877">
        <f>ROUND(AVERAGE(J3:J$33)/100,4)</f>
        <v>1.0999999999999999E-2</v>
      </c>
      <c r="AF3" s="2877">
        <f t="shared" ref="AF3:AF31" si="1">AE3</f>
        <v>1.0999999999999999E-2</v>
      </c>
      <c r="AG3" s="2877">
        <f>ROUND(AVERAGE(K3:K$33)/100,4)</f>
        <v>1.8499999999999999E-2</v>
      </c>
      <c r="AH3" s="2877">
        <f>ROUND(AVERAGE(L3:L$33)/100,4)</f>
        <v>1.1900000000000001E-2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3000</v>
      </c>
      <c r="B5" s="2888">
        <f t="shared" ref="B5" si="2">B6*(1+N5)</f>
        <v>483.1434279321756</v>
      </c>
      <c r="C5" s="2888">
        <f t="shared" ref="C5" si="3">C6*(1+O5)</f>
        <v>345.93622669144776</v>
      </c>
      <c r="D5" s="2888">
        <f t="shared" ref="D5" si="4">C5</f>
        <v>345.93622669144776</v>
      </c>
      <c r="E5" s="2888">
        <f t="shared" ref="E5" si="5">E6*(1+P5)</f>
        <v>694.24498562544113</v>
      </c>
      <c r="F5" s="2888">
        <f t="shared" ref="F5" si="6">F6*(1+Q5)</f>
        <v>319.35475932716082</v>
      </c>
      <c r="G5" s="2881">
        <v>2021</v>
      </c>
      <c r="H5" s="2889">
        <v>1</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2933</v>
      </c>
      <c r="X5" s="2895">
        <f>ROUND(IF(项目基本情况!B5="出让",SUMPRODUCT(PRODUCT(1+N5:N$33)),SUMPRODUCT(PRODUCT(1+N5:N$32))),4)</f>
        <v>1.571</v>
      </c>
      <c r="Y5" s="2895">
        <f>ROUND(IF(项目基本情况!B5="出让",SUMPRODUCT(PRODUCT(1+O5:O$33)),SUMPRODUCT(PRODUCT(1+O5:O$32))),4)</f>
        <v>1.3420000000000001</v>
      </c>
      <c r="Z5" s="2895">
        <f t="shared" ref="Z5" si="11">Y5</f>
        <v>1.3420000000000001</v>
      </c>
      <c r="AA5" s="2895">
        <f>ROUND(IF(项目基本情况!B5="出让",SUMPRODUCT(PRODUCT(1+P5:P$33)),SUMPRODUCT(PRODUCT(1+P5:P$32))),4)</f>
        <v>1.6415999999999999</v>
      </c>
      <c r="AB5" s="2895">
        <f>ROUND(IF(项目基本情况!B5="出让",SUMPRODUCT(PRODUCT(1+Q5:Q$33)),SUMPRODUCT(PRODUCT(1+Q5:Q$32))),4)</f>
        <v>1.389</v>
      </c>
      <c r="AD5" s="2896">
        <f>ROUND(AVERAGE(I5:I$33)/100,4)</f>
        <v>1.6799999999999999E-2</v>
      </c>
      <c r="AE5" s="2896">
        <f>ROUND(AVERAGE(J5:J$33)/100,4)</f>
        <v>1.0999999999999999E-2</v>
      </c>
      <c r="AF5" s="2896">
        <f t="shared" ref="AF5" si="12">AE5</f>
        <v>1.0999999999999999E-2</v>
      </c>
      <c r="AG5" s="2896">
        <f>ROUND(AVERAGE(K5:K$33)/100,4)</f>
        <v>1.8499999999999999E-2</v>
      </c>
      <c r="AH5" s="2896">
        <f>ROUND(AVERAGE(L5:L$33)/100,4)</f>
        <v>1.1900000000000001E-2</v>
      </c>
    </row>
    <row r="6" spans="1:34" s="2904" customFormat="1">
      <c r="A6" s="2897" t="s">
        <v>3001</v>
      </c>
      <c r="B6" s="2898">
        <f t="shared" ref="B6" si="13">B7*(1+N6)</f>
        <v>483.1434279321756</v>
      </c>
      <c r="C6" s="2898">
        <f t="shared" ref="C6" si="14">C7*(1+O6)</f>
        <v>345.93622669144776</v>
      </c>
      <c r="D6" s="2898">
        <f t="shared" ref="D6" si="15">C6</f>
        <v>345.93622669144776</v>
      </c>
      <c r="E6" s="2898">
        <f t="shared" ref="E6" si="16">E7*(1+P6)</f>
        <v>694.24498562544113</v>
      </c>
      <c r="F6" s="2898">
        <f t="shared" ref="F6" si="17">F7*(1+Q6)</f>
        <v>319.35475932716082</v>
      </c>
      <c r="G6" s="2881">
        <v>2020</v>
      </c>
      <c r="H6" s="2899">
        <v>4</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ROUND(IF(项目基本情况!B6="出让",SUMPRODUCT(PRODUCT(1+N6:N$33)),SUMPRODUCT(PRODUCT(1+N6:N$32))),4)</f>
        <v>1.571</v>
      </c>
      <c r="Y6" s="2885">
        <f>ROUND(IF(项目基本情况!B6="出让",SUMPRODUCT(PRODUCT(1+O6:O$33)),SUMPRODUCT(PRODUCT(1+O6:O$32))),4)</f>
        <v>1.3420000000000001</v>
      </c>
      <c r="Z6" s="2885">
        <f t="shared" ref="Z6" si="22">Y6</f>
        <v>1.3420000000000001</v>
      </c>
      <c r="AA6" s="2885">
        <f>ROUND(IF(项目基本情况!B6="出让",SUMPRODUCT(PRODUCT(1+P6:P$33)),SUMPRODUCT(PRODUCT(1+P6:P$32))),4)</f>
        <v>1.6415999999999999</v>
      </c>
      <c r="AB6" s="2885">
        <f>ROUND(IF(项目基本情况!B6="出让",SUMPRODUCT(PRODUCT(1+Q6:Q$33)),SUMPRODUCT(PRODUCT(1+Q6:Q$32))),4)</f>
        <v>1.389</v>
      </c>
      <c r="AC6" s="2885"/>
      <c r="AD6" s="2886">
        <f>ROUND(AVERAGE(I6:I$33)/100,4)</f>
        <v>1.7399999999999999E-2</v>
      </c>
      <c r="AE6" s="2886">
        <f>ROUND(AVERAGE(J6:J$33)/100,4)</f>
        <v>1.14E-2</v>
      </c>
      <c r="AF6" s="2886">
        <f t="shared" ref="AF6" si="23">AE6</f>
        <v>1.14E-2</v>
      </c>
      <c r="AG6" s="2886">
        <f>ROUND(AVERAGE(K6:K$33)/100,4)</f>
        <v>1.9199999999999998E-2</v>
      </c>
      <c r="AH6" s="2886">
        <f>ROUND(AVERAGE(L6:L$33)/100,4)</f>
        <v>1.23E-2</v>
      </c>
    </row>
    <row r="7" spans="1:34" s="2904" customFormat="1">
      <c r="A7" s="2897" t="s">
        <v>2999</v>
      </c>
      <c r="B7" s="2898">
        <f t="shared" ref="B7" si="24">B8*(1+N7)</f>
        <v>483.1434279321756</v>
      </c>
      <c r="C7" s="2898">
        <f t="shared" ref="C7" si="25">C8*(1+O7)</f>
        <v>345.93622669144776</v>
      </c>
      <c r="D7" s="2898">
        <f t="shared" ref="D7" si="26">C7</f>
        <v>345.93622669144776</v>
      </c>
      <c r="E7" s="2898">
        <f t="shared" ref="E7" si="27">E8*(1+P7)</f>
        <v>694.24498562544113</v>
      </c>
      <c r="F7" s="2898">
        <f t="shared" ref="F7" si="28">F8*(1+Q7)</f>
        <v>319.35475932716082</v>
      </c>
      <c r="G7" s="2881">
        <v>2020</v>
      </c>
      <c r="H7" s="2899">
        <v>3</v>
      </c>
      <c r="I7" s="2861">
        <v>0.36</v>
      </c>
      <c r="J7" s="2861">
        <v>-0.39</v>
      </c>
      <c r="K7" s="2861">
        <v>0.49</v>
      </c>
      <c r="L7" s="2862">
        <v>7.0000000000000007E-2</v>
      </c>
      <c r="M7" s="2885"/>
      <c r="N7" s="2900">
        <f t="shared" ref="N7" si="29">I7/100</f>
        <v>3.5999999999999999E-3</v>
      </c>
      <c r="O7" s="2886">
        <f t="shared" ref="O7" si="30">J7/100</f>
        <v>-3.9000000000000003E-3</v>
      </c>
      <c r="P7" s="2886">
        <f t="shared" ref="P7" si="31">K7/100</f>
        <v>4.8999999999999998E-3</v>
      </c>
      <c r="Q7" s="2886">
        <f t="shared" ref="Q7" si="32">L7/100</f>
        <v>7.000000000000001E-4</v>
      </c>
      <c r="R7" s="2901"/>
      <c r="S7" s="2902"/>
      <c r="T7" s="2903"/>
      <c r="U7" s="2903"/>
      <c r="V7" s="2903"/>
      <c r="W7" s="2885"/>
      <c r="X7" s="2885">
        <f>ROUND(IF(项目基本情况!B7="出让",SUMPRODUCT(PRODUCT(1+N7:N$33)),SUMPRODUCT(PRODUCT(1+N7:N$32))),4)</f>
        <v>1.571</v>
      </c>
      <c r="Y7" s="2885">
        <f>ROUND(IF(项目基本情况!B7="出让",SUMPRODUCT(PRODUCT(1+O7:O$33)),SUMPRODUCT(PRODUCT(1+O7:O$32))),4)</f>
        <v>1.3420000000000001</v>
      </c>
      <c r="Z7" s="2885">
        <f t="shared" ref="Z7" si="33">Y7</f>
        <v>1.3420000000000001</v>
      </c>
      <c r="AA7" s="2885">
        <f>ROUND(IF(项目基本情况!B7="出让",SUMPRODUCT(PRODUCT(1+P7:P$33)),SUMPRODUCT(PRODUCT(1+P7:P$32))),4)</f>
        <v>1.6415999999999999</v>
      </c>
      <c r="AB7" s="2885">
        <f>ROUND(IF(项目基本情况!B7="出让",SUMPRODUCT(PRODUCT(1+Q7:Q$33)),SUMPRODUCT(PRODUCT(1+Q7:Q$32))),4)</f>
        <v>1.389</v>
      </c>
      <c r="AC7" s="2885"/>
      <c r="AD7" s="2886">
        <f>ROUND(AVERAGE(I7:I$33)/100,4)</f>
        <v>1.8100000000000002E-2</v>
      </c>
      <c r="AE7" s="2886">
        <f>ROUND(AVERAGE(J7:J$33)/100,4)</f>
        <v>1.1900000000000001E-2</v>
      </c>
      <c r="AF7" s="2886">
        <f t="shared" ref="AF7" si="34">AE7</f>
        <v>1.1900000000000001E-2</v>
      </c>
      <c r="AG7" s="2886">
        <f>ROUND(AVERAGE(K7:K$33)/100,4)</f>
        <v>1.9900000000000001E-2</v>
      </c>
      <c r="AH7" s="2886">
        <f>ROUND(AVERAGE(L7:L$33)/100,4)</f>
        <v>1.2800000000000001E-2</v>
      </c>
    </row>
    <row r="8" spans="1:34" s="2904" customFormat="1">
      <c r="A8" s="2897" t="s">
        <v>2962</v>
      </c>
      <c r="B8" s="2898">
        <f t="shared" ref="B8" si="35">B9*(1+N8)</f>
        <v>481.4103506697644</v>
      </c>
      <c r="C8" s="2898">
        <f t="shared" ref="C8" si="36">C9*(1+O8)</f>
        <v>347.29066026648707</v>
      </c>
      <c r="D8" s="2898">
        <f t="shared" ref="D8" si="37">C8</f>
        <v>347.29066026648707</v>
      </c>
      <c r="E8" s="2898">
        <f t="shared" ref="E8" si="38">E9*(1+P8)</f>
        <v>690.85977273901995</v>
      </c>
      <c r="F8" s="2898">
        <f t="shared" ref="F8" si="39">F9*(1+Q8)</f>
        <v>319.13136737000184</v>
      </c>
      <c r="G8" s="2881">
        <v>2020</v>
      </c>
      <c r="H8" s="2899">
        <v>2</v>
      </c>
      <c r="I8" s="2861">
        <v>0.31</v>
      </c>
      <c r="J8" s="2861">
        <v>-0.78</v>
      </c>
      <c r="K8" s="2861">
        <v>0.5</v>
      </c>
      <c r="L8" s="2862">
        <v>0.47</v>
      </c>
      <c r="M8" s="2885"/>
      <c r="N8" s="2900">
        <f t="shared" ref="N8" si="40">I8/100</f>
        <v>3.0999999999999999E-3</v>
      </c>
      <c r="O8" s="2886">
        <f t="shared" ref="O8" si="41">J8/100</f>
        <v>-7.8000000000000005E-3</v>
      </c>
      <c r="P8" s="2886">
        <f t="shared" ref="P8" si="42">K8/100</f>
        <v>5.0000000000000001E-3</v>
      </c>
      <c r="Q8" s="2886">
        <f t="shared" ref="Q8" si="43">L8/100</f>
        <v>4.6999999999999993E-3</v>
      </c>
      <c r="R8" s="2901"/>
      <c r="S8" s="2902"/>
      <c r="T8" s="2903"/>
      <c r="U8" s="2903"/>
      <c r="V8" s="2903"/>
      <c r="W8" s="2885"/>
      <c r="X8" s="2885">
        <f>ROUND(IF(项目基本情况!B8="出让",SUMPRODUCT(PRODUCT(1+N8:N$33)),SUMPRODUCT(PRODUCT(1+N8:N$32))),4)</f>
        <v>1.5652999999999999</v>
      </c>
      <c r="Y8" s="2885">
        <f>ROUND(IF(项目基本情况!B8="出让",SUMPRODUCT(PRODUCT(1+O8:O$33)),SUMPRODUCT(PRODUCT(1+O8:O$32))),4)</f>
        <v>1.3472</v>
      </c>
      <c r="Z8" s="2885">
        <f t="shared" ref="Z8" si="44">Y8</f>
        <v>1.3472</v>
      </c>
      <c r="AA8" s="2885">
        <f>ROUND(IF(项目基本情况!B8="出让",SUMPRODUCT(PRODUCT(1+P8:P$33)),SUMPRODUCT(PRODUCT(1+P8:P$32))),4)</f>
        <v>1.6335999999999999</v>
      </c>
      <c r="AB8" s="2885">
        <f>ROUND(IF(项目基本情况!B8="出让",SUMPRODUCT(PRODUCT(1+Q8:Q$33)),SUMPRODUCT(PRODUCT(1+Q8:Q$32))),4)</f>
        <v>1.3880999999999999</v>
      </c>
      <c r="AC8" s="2885"/>
      <c r="AD8" s="2886">
        <f>ROUND(AVERAGE(I8:I$33)/100,4)</f>
        <v>1.8599999999999998E-2</v>
      </c>
      <c r="AE8" s="2886">
        <f>ROUND(AVERAGE(J8:J$33)/100,4)</f>
        <v>1.2500000000000001E-2</v>
      </c>
      <c r="AF8" s="2886">
        <f t="shared" ref="AF8" si="45">AE8</f>
        <v>1.2500000000000001E-2</v>
      </c>
      <c r="AG8" s="2886">
        <f>ROUND(AVERAGE(K8:K$33)/100,4)</f>
        <v>2.0400000000000001E-2</v>
      </c>
      <c r="AH8" s="2886">
        <f>ROUND(AVERAGE(L8:L$33)/100,4)</f>
        <v>1.32E-2</v>
      </c>
    </row>
    <row r="9" spans="1:34" s="2904" customFormat="1">
      <c r="A9" s="2897" t="s">
        <v>2960</v>
      </c>
      <c r="B9" s="2898">
        <f t="shared" ref="B9" si="46">B10*(1+N9)</f>
        <v>479.92259063878413</v>
      </c>
      <c r="C9" s="2898">
        <f t="shared" ref="C9" si="47">C10*(1+O9)</f>
        <v>350.02082268341775</v>
      </c>
      <c r="D9" s="2898">
        <f t="shared" ref="D9" si="48">C9</f>
        <v>350.02082268341775</v>
      </c>
      <c r="E9" s="2898">
        <f t="shared" ref="E9" si="49">E10*(1+P9)</f>
        <v>687.42265944181099</v>
      </c>
      <c r="F9" s="2898">
        <f t="shared" ref="F9" si="50">F10*(1+Q9)</f>
        <v>317.63846657708956</v>
      </c>
      <c r="G9" s="2881">
        <v>2020</v>
      </c>
      <c r="H9" s="2899">
        <v>1</v>
      </c>
      <c r="I9" s="2861">
        <v>0.12</v>
      </c>
      <c r="J9" s="2861">
        <v>-0.4</v>
      </c>
      <c r="K9" s="2861">
        <v>0.21</v>
      </c>
      <c r="L9" s="2862">
        <v>0.27</v>
      </c>
      <c r="M9" s="2885"/>
      <c r="N9" s="2900">
        <f t="shared" ref="N9" si="51">I9/100</f>
        <v>1.1999999999999999E-3</v>
      </c>
      <c r="O9" s="2886">
        <f t="shared" ref="O9" si="52">J9/100</f>
        <v>-4.0000000000000001E-3</v>
      </c>
      <c r="P9" s="2886">
        <f t="shared" ref="P9" si="53">K9/100</f>
        <v>2.0999999999999999E-3</v>
      </c>
      <c r="Q9" s="2886">
        <f t="shared" ref="Q9" si="54">L9/100</f>
        <v>2.7000000000000001E-3</v>
      </c>
      <c r="R9" s="2901"/>
      <c r="S9" s="2902">
        <f>B9/B10-1</f>
        <v>1.2000000000000899E-3</v>
      </c>
      <c r="T9" s="2903">
        <f>C9/C10-1</f>
        <v>-4.0000000000000036E-3</v>
      </c>
      <c r="U9" s="2903">
        <f>E9/E10-1</f>
        <v>2.0999999999999908E-3</v>
      </c>
      <c r="V9" s="2903">
        <f>F9/F10-1</f>
        <v>2.6999999999999247E-3</v>
      </c>
      <c r="W9" s="2885"/>
      <c r="X9" s="2885">
        <f>ROUND(IF(项目基本情况!B8="出让",SUMPRODUCT(PRODUCT(1+N9:N$33)),SUMPRODUCT(PRODUCT(1+N9:N$32))),4)</f>
        <v>1.5605</v>
      </c>
      <c r="Y9" s="2885">
        <f>ROUND(IF(项目基本情况!B8="出让",SUMPRODUCT(PRODUCT(1+O9:O$33)),SUMPRODUCT(PRODUCT(1+O9:O$32))),4)</f>
        <v>1.3577999999999999</v>
      </c>
      <c r="Z9" s="2885">
        <f t="shared" ref="Z9" si="55">Y9</f>
        <v>1.3577999999999999</v>
      </c>
      <c r="AA9" s="2885">
        <f>ROUND(IF(项目基本情况!B8="出让",SUMPRODUCT(PRODUCT(1+P9:P$33)),SUMPRODUCT(PRODUCT(1+P9:P$32))),4)</f>
        <v>1.6254999999999999</v>
      </c>
      <c r="AB9" s="2885">
        <f>ROUND(IF(项目基本情况!B8="出让",SUMPRODUCT(PRODUCT(1+Q9:Q$33)),SUMPRODUCT(PRODUCT(1+Q9:Q$32))),4)</f>
        <v>1.3815999999999999</v>
      </c>
      <c r="AC9" s="2885"/>
      <c r="AD9" s="2886">
        <f>ROUND(AVERAGE(I9:I$33)/100,4)</f>
        <v>1.9199999999999998E-2</v>
      </c>
      <c r="AE9" s="2886">
        <f>ROUND(AVERAGE(J9:J$33)/100,4)</f>
        <v>1.3299999999999999E-2</v>
      </c>
      <c r="AF9" s="2886">
        <f t="shared" ref="AF9" si="56">AE9</f>
        <v>1.3299999999999999E-2</v>
      </c>
      <c r="AG9" s="2886">
        <f>ROUND(AVERAGE(K9:K$33)/100,4)</f>
        <v>2.1100000000000001E-2</v>
      </c>
      <c r="AH9" s="2886">
        <f>ROUND(AVERAGE(L9:L$33)/100,4)</f>
        <v>1.3599999999999999E-2</v>
      </c>
    </row>
    <row r="10" spans="1:34" s="2904" customFormat="1">
      <c r="A10" s="2897" t="s">
        <v>2957</v>
      </c>
      <c r="B10" s="2898">
        <f t="shared" ref="B10" si="57">B11*(1+N10)</f>
        <v>479.34737379023579</v>
      </c>
      <c r="C10" s="2898">
        <f t="shared" ref="C10" si="58">C11*(1+O10)</f>
        <v>351.4265287986122</v>
      </c>
      <c r="D10" s="2898">
        <f t="shared" ref="D10" si="59">C10</f>
        <v>351.4265287986122</v>
      </c>
      <c r="E10" s="2898">
        <f t="shared" ref="E10" si="60">E11*(1+P10)</f>
        <v>685.98209703803116</v>
      </c>
      <c r="F10" s="2898">
        <f t="shared" ref="F10" si="61">F11*(1+Q10)</f>
        <v>316.78315206651001</v>
      </c>
      <c r="G10" s="2881">
        <v>2019</v>
      </c>
      <c r="H10" s="2899">
        <v>4</v>
      </c>
      <c r="I10" s="2899">
        <v>0.45</v>
      </c>
      <c r="J10" s="2899">
        <v>-0.12</v>
      </c>
      <c r="K10" s="2899">
        <v>0.54</v>
      </c>
      <c r="L10" s="2905">
        <v>0.48</v>
      </c>
      <c r="M10" s="2885"/>
      <c r="N10" s="2900">
        <f t="shared" ref="N10" si="62">I10/100</f>
        <v>4.5000000000000005E-3</v>
      </c>
      <c r="O10" s="2886">
        <f t="shared" ref="O10" si="63">J10/100</f>
        <v>-1.1999999999999999E-3</v>
      </c>
      <c r="P10" s="2886">
        <f t="shared" ref="P10" si="64">K10/100</f>
        <v>5.4000000000000003E-3</v>
      </c>
      <c r="Q10" s="2886">
        <f t="shared" ref="Q10" si="65">L10/100</f>
        <v>4.7999999999999996E-3</v>
      </c>
      <c r="R10" s="2901"/>
      <c r="S10" s="2902"/>
      <c r="T10" s="2903"/>
      <c r="U10" s="2903"/>
      <c r="V10" s="2903"/>
      <c r="W10" s="2885"/>
      <c r="X10" s="2885">
        <f>ROUND(IF(项目基本情况!B8="出让",SUMPRODUCT(PRODUCT(1+N10:N$33)),SUMPRODUCT(PRODUCT(1+N10:N$32))),4)</f>
        <v>1.5586</v>
      </c>
      <c r="Y10" s="2885">
        <f>ROUND(IF(项目基本情况!B8="出让",SUMPRODUCT(PRODUCT(1+O10:O$33)),SUMPRODUCT(PRODUCT(1+O10:O$32))),4)</f>
        <v>1.3633</v>
      </c>
      <c r="Z10" s="2885">
        <f t="shared" ref="Z10" si="66">Y10</f>
        <v>1.3633</v>
      </c>
      <c r="AA10" s="2885">
        <f>ROUND(IF(项目基本情况!B8="出让",SUMPRODUCT(PRODUCT(1+P10:P$33)),SUMPRODUCT(PRODUCT(1+P10:P$32))),4)</f>
        <v>1.6221000000000001</v>
      </c>
      <c r="AB10" s="2885">
        <f>ROUND(IF(项目基本情况!B8="出让",SUMPRODUCT(PRODUCT(1+Q10:Q$33)),SUMPRODUCT(PRODUCT(1+Q10:Q$32))),4)</f>
        <v>1.3777999999999999</v>
      </c>
      <c r="AC10" s="2885"/>
      <c r="AD10" s="2886">
        <f>ROUND(AVERAGE(I10:I$33)/100,4)</f>
        <v>0.02</v>
      </c>
      <c r="AE10" s="2886">
        <f>ROUND(AVERAGE(J10:J$33)/100,4)</f>
        <v>1.4E-2</v>
      </c>
      <c r="AF10" s="2886">
        <f t="shared" ref="AF10" si="67">AE10</f>
        <v>1.4E-2</v>
      </c>
      <c r="AG10" s="2886">
        <f>ROUND(AVERAGE(K10:K$33)/100,4)</f>
        <v>2.1899999999999999E-2</v>
      </c>
      <c r="AH10" s="2886">
        <f>ROUND(AVERAGE(L10:L$33)/100,4)</f>
        <v>1.4E-2</v>
      </c>
    </row>
    <row r="11" spans="1:34" s="2904" customFormat="1" ht="13.5" thickBot="1">
      <c r="A11" s="2897" t="s">
        <v>2956</v>
      </c>
      <c r="B11" s="2898">
        <f t="shared" ref="B11" si="68">B12*(1+N11)</f>
        <v>477.19997390765138</v>
      </c>
      <c r="C11" s="2898">
        <f t="shared" ref="C11" si="69">C12*(1+O11)</f>
        <v>351.84874729536665</v>
      </c>
      <c r="D11" s="2898">
        <f t="shared" ref="D11" si="70">C11</f>
        <v>351.84874729536665</v>
      </c>
      <c r="E11" s="2898">
        <f t="shared" ref="E11" si="71">E12*(1+P11)</f>
        <v>682.29768951465201</v>
      </c>
      <c r="F11" s="2898">
        <f t="shared" ref="F11" si="72">F12*(1+Q11)</f>
        <v>315.26985675409043</v>
      </c>
      <c r="G11" s="2881">
        <v>2019</v>
      </c>
      <c r="H11" s="2899">
        <v>3</v>
      </c>
      <c r="I11" s="2899">
        <v>0.61</v>
      </c>
      <c r="J11" s="2899">
        <v>0.67</v>
      </c>
      <c r="K11" s="2899">
        <v>0.6</v>
      </c>
      <c r="L11" s="2905">
        <v>1.03</v>
      </c>
      <c r="M11" s="2885"/>
      <c r="N11" s="2900">
        <f t="shared" ref="N11" si="73">I11/100</f>
        <v>6.0999999999999995E-3</v>
      </c>
      <c r="O11" s="2886">
        <f t="shared" ref="O11" si="74">J11/100</f>
        <v>6.7000000000000002E-3</v>
      </c>
      <c r="P11" s="2886">
        <f t="shared" ref="P11" si="75">K11/100</f>
        <v>6.0000000000000001E-3</v>
      </c>
      <c r="Q11" s="2886">
        <f t="shared" ref="Q11" si="76">L11/100</f>
        <v>1.03E-2</v>
      </c>
      <c r="R11" s="2901"/>
      <c r="S11" s="2902"/>
      <c r="T11" s="2903"/>
      <c r="U11" s="2903"/>
      <c r="V11" s="2903"/>
      <c r="W11" s="2885"/>
      <c r="X11" s="2885">
        <f>ROUND(IF(项目基本情况!B8="出让",SUMPRODUCT(PRODUCT(1+N11:N$33)),SUMPRODUCT(PRODUCT(1+N11:N$32))),4)</f>
        <v>1.5516000000000001</v>
      </c>
      <c r="Y11" s="2885">
        <f>ROUND(IF(项目基本情况!B8="出让",SUMPRODUCT(PRODUCT(1+O11:O$33)),SUMPRODUCT(PRODUCT(1+O11:O$32))),4)</f>
        <v>1.3649</v>
      </c>
      <c r="Z11" s="2885">
        <f t="shared" ref="Z11" si="77">Y11</f>
        <v>1.3649</v>
      </c>
      <c r="AA11" s="2885">
        <f>ROUND(IF(项目基本情况!B8="出让",SUMPRODUCT(PRODUCT(1+P11:P$33)),SUMPRODUCT(PRODUCT(1+P11:P$32))),4)</f>
        <v>1.6133999999999999</v>
      </c>
      <c r="AB11" s="2885">
        <f>ROUND(IF(项目基本情况!B8="出让",SUMPRODUCT(PRODUCT(1+Q11:Q$33)),SUMPRODUCT(PRODUCT(1+Q11:Q$32))),4)</f>
        <v>1.3713</v>
      </c>
      <c r="AC11" s="2885"/>
      <c r="AD11" s="2886">
        <f>ROUND(AVERAGE(I11:I$33)/100,4)</f>
        <v>2.07E-2</v>
      </c>
      <c r="AE11" s="2886">
        <f>ROUND(AVERAGE(J11:J$33)/100,4)</f>
        <v>1.47E-2</v>
      </c>
      <c r="AF11" s="2886">
        <f t="shared" ref="AF11" si="78">AE11</f>
        <v>1.47E-2</v>
      </c>
      <c r="AG11" s="2886">
        <f>ROUND(AVERAGE(K11:K$33)/100,4)</f>
        <v>2.2599999999999999E-2</v>
      </c>
      <c r="AH11" s="2886">
        <f>ROUND(AVERAGE(L11:L$33)/100,4)</f>
        <v>1.44E-2</v>
      </c>
    </row>
    <row r="12" spans="1:34" s="2904" customFormat="1">
      <c r="A12" s="2897" t="s">
        <v>2953</v>
      </c>
      <c r="B12" s="2898">
        <f t="shared" ref="B12:B17" si="79">B13*(1+N12)</f>
        <v>474.30670301923408</v>
      </c>
      <c r="C12" s="2898">
        <f t="shared" ref="C12" si="80">C13*(1+O12)</f>
        <v>349.50705005996491</v>
      </c>
      <c r="D12" s="2898">
        <f t="shared" ref="D12" si="81">C12</f>
        <v>349.50705005996491</v>
      </c>
      <c r="E12" s="2898">
        <f t="shared" ref="E12" si="82">E13*(1+P12)</f>
        <v>678.22831959706957</v>
      </c>
      <c r="F12" s="2898">
        <f t="shared" ref="F12" si="83">F13*(1+Q12)</f>
        <v>312.0556832169558</v>
      </c>
      <c r="G12" s="2881">
        <v>2019</v>
      </c>
      <c r="H12" s="2906">
        <v>2</v>
      </c>
      <c r="I12" s="2906">
        <v>1.53</v>
      </c>
      <c r="J12" s="2906">
        <v>1.01</v>
      </c>
      <c r="K12" s="2906">
        <v>1.62</v>
      </c>
      <c r="L12" s="2907">
        <v>1.25</v>
      </c>
      <c r="M12" s="2885"/>
      <c r="N12" s="2900">
        <f t="shared" ref="N12" si="84">I12/100</f>
        <v>1.5300000000000001E-2</v>
      </c>
      <c r="O12" s="2886">
        <f t="shared" ref="O12" si="85">J12/100</f>
        <v>1.01E-2</v>
      </c>
      <c r="P12" s="2886">
        <f t="shared" ref="P12" si="86">K12/100</f>
        <v>1.6200000000000003E-2</v>
      </c>
      <c r="Q12" s="2886">
        <f t="shared" ref="Q12" si="87">L12/100</f>
        <v>1.2500000000000001E-2</v>
      </c>
      <c r="R12" s="2901"/>
      <c r="S12" s="2902"/>
      <c r="T12" s="2903"/>
      <c r="U12" s="2903"/>
      <c r="V12" s="2903"/>
      <c r="W12" s="2885"/>
      <c r="X12" s="2885">
        <f>ROUND(IF(项目基本情况!B8="出让",SUMPRODUCT(PRODUCT(1+N12:N$33)),SUMPRODUCT(PRODUCT(1+N12:N$32))),4)</f>
        <v>1.5422</v>
      </c>
      <c r="Y12" s="2885">
        <f>ROUND(IF(项目基本情况!B8="出让",SUMPRODUCT(PRODUCT(1+O12:O$33)),SUMPRODUCT(PRODUCT(1+O12:O$32))),4)</f>
        <v>1.3557999999999999</v>
      </c>
      <c r="Z12" s="2885">
        <f t="shared" ref="Z12" si="88">Y12</f>
        <v>1.3557999999999999</v>
      </c>
      <c r="AA12" s="2885">
        <f>ROUND(IF(项目基本情况!B8="出让",SUMPRODUCT(PRODUCT(1+P12:P$33)),SUMPRODUCT(PRODUCT(1+P12:P$32))),4)</f>
        <v>1.6036999999999999</v>
      </c>
      <c r="AB12" s="2885">
        <f>ROUND(IF(项目基本情况!B8="出让",SUMPRODUCT(PRODUCT(1+Q12:Q$33)),SUMPRODUCT(PRODUCT(1+Q12:Q$32))),4)</f>
        <v>1.3573</v>
      </c>
      <c r="AC12" s="2885"/>
      <c r="AD12" s="2886">
        <f>ROUND(AVERAGE(I12:I$33)/100,4)</f>
        <v>2.1299999999999999E-2</v>
      </c>
      <c r="AE12" s="2886">
        <f>ROUND(AVERAGE(J12:J$33)/100,4)</f>
        <v>1.4999999999999999E-2</v>
      </c>
      <c r="AF12" s="2886">
        <f t="shared" ref="AF12" si="89">AE12</f>
        <v>1.4999999999999999E-2</v>
      </c>
      <c r="AG12" s="2886">
        <f>ROUND(AVERAGE(K12:K$33)/100,4)</f>
        <v>2.3300000000000001E-2</v>
      </c>
      <c r="AH12" s="2886">
        <f>ROUND(AVERAGE(L12:L$33)/100,4)</f>
        <v>1.46E-2</v>
      </c>
    </row>
    <row r="13" spans="1:34" s="2904" customFormat="1" ht="13.5" thickBot="1">
      <c r="A13" s="2897" t="s">
        <v>2952</v>
      </c>
      <c r="B13" s="2898">
        <f t="shared" si="79"/>
        <v>467.15916775261894</v>
      </c>
      <c r="C13" s="2898">
        <f t="shared" ref="C13" si="90">C14*(1+O13)</f>
        <v>346.01232557169084</v>
      </c>
      <c r="D13" s="2898">
        <f t="shared" ref="D13" si="91">C13</f>
        <v>346.01232557169084</v>
      </c>
      <c r="E13" s="2898">
        <f t="shared" ref="E13" si="92">E14*(1+P13)</f>
        <v>667.41617752122568</v>
      </c>
      <c r="F13" s="2898">
        <f t="shared" ref="F13" si="93">F14*(1+Q13)</f>
        <v>308.20314391798104</v>
      </c>
      <c r="G13" s="2881">
        <v>2019</v>
      </c>
      <c r="H13" s="2899">
        <v>1</v>
      </c>
      <c r="I13" s="2899">
        <v>0.6</v>
      </c>
      <c r="J13" s="2899">
        <v>0.37</v>
      </c>
      <c r="K13" s="2899">
        <v>0.63</v>
      </c>
      <c r="L13" s="2905">
        <v>1.1299999999999999</v>
      </c>
      <c r="M13" s="2885"/>
      <c r="N13" s="2900">
        <f t="shared" ref="N13" si="94">I13/100</f>
        <v>6.0000000000000001E-3</v>
      </c>
      <c r="O13" s="2886">
        <f t="shared" ref="O13" si="95">J13/100</f>
        <v>3.7000000000000002E-3</v>
      </c>
      <c r="P13" s="2886">
        <f t="shared" ref="P13" si="96">K13/100</f>
        <v>6.3E-3</v>
      </c>
      <c r="Q13" s="2886">
        <f t="shared" ref="Q13" si="97">L13/100</f>
        <v>1.1299999999999999E-2</v>
      </c>
      <c r="R13" s="2901"/>
      <c r="S13" s="2902">
        <f>B13/B14-1</f>
        <v>6.0000000000000053E-3</v>
      </c>
      <c r="T13" s="2903">
        <f>C13/C14-1</f>
        <v>3.7000000000000366E-3</v>
      </c>
      <c r="U13" s="2903">
        <f>E13/E14-1</f>
        <v>6.2999999999999723E-3</v>
      </c>
      <c r="V13" s="2903">
        <f>F13/F14-1</f>
        <v>1.1300000000000088E-2</v>
      </c>
      <c r="W13" s="2885"/>
      <c r="X13" s="2885">
        <f>ROUND(IF(项目基本情况!B8="出让",SUMPRODUCT(PRODUCT(1+N13:N$33)),SUMPRODUCT(PRODUCT(1+N13:N$32))),4)</f>
        <v>1.5189999999999999</v>
      </c>
      <c r="Y13" s="2885">
        <f>ROUND(IF(项目基本情况!B8="出让",SUMPRODUCT(PRODUCT(1+O13:O$33)),SUMPRODUCT(PRODUCT(1+O13:O$32))),4)</f>
        <v>1.3423</v>
      </c>
      <c r="Z13" s="2885">
        <f t="shared" ref="Z13" si="98">Y13</f>
        <v>1.3423</v>
      </c>
      <c r="AA13" s="2885">
        <f>ROUND(IF(项目基本情况!B8="出让",SUMPRODUCT(PRODUCT(1+P13:P$33)),SUMPRODUCT(PRODUCT(1+P13:P$32))),4)</f>
        <v>1.5782</v>
      </c>
      <c r="AB13" s="2885">
        <f>ROUND(IF(项目基本情况!B8="出让",SUMPRODUCT(PRODUCT(1+Q13:Q$33)),SUMPRODUCT(PRODUCT(1+Q13:Q$32))),4)</f>
        <v>1.3405</v>
      </c>
      <c r="AC13" s="2885"/>
      <c r="AD13" s="2886">
        <f>ROUND(AVERAGE(I13:I$33)/100,4)</f>
        <v>2.1600000000000001E-2</v>
      </c>
      <c r="AE13" s="2886">
        <f>ROUND(AVERAGE(J13:J$33)/100,4)</f>
        <v>1.5299999999999999E-2</v>
      </c>
      <c r="AF13" s="2886">
        <f t="shared" ref="AF13" si="99">AE13</f>
        <v>1.5299999999999999E-2</v>
      </c>
      <c r="AG13" s="2886">
        <f>ROUND(AVERAGE(K13:K$33)/100,4)</f>
        <v>2.3699999999999999E-2</v>
      </c>
      <c r="AH13" s="2886">
        <f>ROUND(AVERAGE(L13:L$33)/100,4)</f>
        <v>1.47E-2</v>
      </c>
    </row>
    <row r="14" spans="1:34" s="2904" customFormat="1">
      <c r="A14" s="2897" t="s">
        <v>2949</v>
      </c>
      <c r="B14" s="2908">
        <f t="shared" si="79"/>
        <v>464.37293017158942</v>
      </c>
      <c r="C14" s="2908">
        <f t="shared" ref="C14" si="100">C15*(1+O14)</f>
        <v>344.73679941385956</v>
      </c>
      <c r="D14" s="2908">
        <f t="shared" ref="D14" si="101">C14</f>
        <v>344.73679941385956</v>
      </c>
      <c r="E14" s="2908">
        <f t="shared" ref="E14" si="102">E15*(1+P14)</f>
        <v>663.2377795103107</v>
      </c>
      <c r="F14" s="2909">
        <f t="shared" ref="F14" si="103">F15*(1+Q14)</f>
        <v>304.75936311478398</v>
      </c>
      <c r="G14" s="4007">
        <v>2018</v>
      </c>
      <c r="H14" s="2906">
        <v>4</v>
      </c>
      <c r="I14" s="2906">
        <v>0.96</v>
      </c>
      <c r="J14" s="2906">
        <v>1.03</v>
      </c>
      <c r="K14" s="2906">
        <v>0.92</v>
      </c>
      <c r="L14" s="2907">
        <v>1.29</v>
      </c>
      <c r="M14" s="2885"/>
      <c r="N14" s="2900">
        <f t="shared" ref="N14" si="104">I14/100</f>
        <v>9.5999999999999992E-3</v>
      </c>
      <c r="O14" s="2886">
        <f t="shared" ref="O14" si="105">J14/100</f>
        <v>1.03E-2</v>
      </c>
      <c r="P14" s="2886">
        <f t="shared" ref="P14" si="106">K14/100</f>
        <v>9.1999999999999998E-3</v>
      </c>
      <c r="Q14" s="2886">
        <f t="shared" ref="Q14" si="107">L14/100</f>
        <v>1.29E-2</v>
      </c>
      <c r="R14" s="2901"/>
      <c r="S14" s="2910"/>
      <c r="T14" s="2911"/>
      <c r="U14" s="2911"/>
      <c r="V14" s="2911"/>
      <c r="W14" s="2885"/>
      <c r="X14" s="2885">
        <f>ROUND(SUMPRODUCT(PRODUCT(1+N14:N$32)),4)</f>
        <v>1.5099</v>
      </c>
      <c r="Y14" s="2885">
        <f>ROUND(SUMPRODUCT(PRODUCT(1+O14:O$32)),4)</f>
        <v>1.3372999999999999</v>
      </c>
      <c r="Z14" s="2885">
        <f t="shared" ref="Z14" si="108">Y14</f>
        <v>1.3372999999999999</v>
      </c>
      <c r="AA14" s="2885">
        <f>ROUND(SUMPRODUCT(PRODUCT(1+P14:P$32)),4)</f>
        <v>1.5683</v>
      </c>
      <c r="AB14" s="2885">
        <f>ROUND(SUMPRODUCT(PRODUCT(1+Q14:Q$32)),4)</f>
        <v>1.3255999999999999</v>
      </c>
      <c r="AC14" s="2885"/>
      <c r="AD14" s="2886">
        <f>ROUND(AVERAGE(I14:I$33)/100,4)</f>
        <v>2.24E-2</v>
      </c>
      <c r="AE14" s="2886">
        <f>ROUND(AVERAGE(J14:J$33)/100,4)</f>
        <v>1.5800000000000002E-2</v>
      </c>
      <c r="AF14" s="2886">
        <f t="shared" ref="AF14" si="109">AE14</f>
        <v>1.5800000000000002E-2</v>
      </c>
      <c r="AG14" s="2886">
        <f>ROUND(AVERAGE(K14:K$33)/100,4)</f>
        <v>2.4500000000000001E-2</v>
      </c>
      <c r="AH14" s="2886">
        <f>ROUND(AVERAGE(L14:L$33)/100,4)</f>
        <v>1.49E-2</v>
      </c>
    </row>
    <row r="15" spans="1:34" s="2904" customFormat="1" ht="14.45" customHeight="1">
      <c r="A15" s="2897" t="s">
        <v>2942</v>
      </c>
      <c r="B15" s="2898">
        <f t="shared" si="79"/>
        <v>459.95733971036987</v>
      </c>
      <c r="C15" s="2898">
        <f t="shared" ref="C15" si="110">C16*(1+O15)</f>
        <v>341.22221064422405</v>
      </c>
      <c r="D15" s="2898">
        <f t="shared" ref="D15" si="111">C15</f>
        <v>341.22221064422405</v>
      </c>
      <c r="E15" s="2898">
        <f t="shared" ref="E15" si="112">E16*(1+P15)</f>
        <v>657.19161663724799</v>
      </c>
      <c r="F15" s="2898">
        <f t="shared" ref="F15" si="113">F16*(1+Q15)</f>
        <v>300.87803644464805</v>
      </c>
      <c r="G15" s="4007"/>
      <c r="H15" s="2899">
        <v>3</v>
      </c>
      <c r="I15" s="2899">
        <v>1.51</v>
      </c>
      <c r="J15" s="2899">
        <v>1.41</v>
      </c>
      <c r="K15" s="2899">
        <v>1.52</v>
      </c>
      <c r="L15" s="2905">
        <v>1.74</v>
      </c>
      <c r="M15" s="2885"/>
      <c r="N15" s="2900">
        <f t="shared" ref="N15" si="114">I15/100</f>
        <v>1.5100000000000001E-2</v>
      </c>
      <c r="O15" s="2886">
        <f t="shared" ref="O15" si="115">J15/100</f>
        <v>1.41E-2</v>
      </c>
      <c r="P15" s="2886">
        <f t="shared" ref="P15" si="116">K15/100</f>
        <v>1.52E-2</v>
      </c>
      <c r="Q15" s="2886">
        <f t="shared" ref="Q15" si="117">L15/100</f>
        <v>1.7399999999999999E-2</v>
      </c>
      <c r="R15" s="2901"/>
      <c r="S15" s="2900"/>
      <c r="T15" s="2886"/>
      <c r="U15" s="2886"/>
      <c r="V15" s="2886"/>
      <c r="W15" s="2885"/>
      <c r="X15" s="2885">
        <f>ROUND(SUMPRODUCT(PRODUCT(1+N15:N$32)),4)</f>
        <v>1.4956</v>
      </c>
      <c r="Y15" s="2885">
        <f>ROUND(SUMPRODUCT(PRODUCT(1+O15:O$32)),4)</f>
        <v>1.3237000000000001</v>
      </c>
      <c r="Z15" s="2885">
        <f t="shared" ref="Z15" si="118">Y15</f>
        <v>1.3237000000000001</v>
      </c>
      <c r="AA15" s="2885">
        <f>ROUND(SUMPRODUCT(PRODUCT(1+P15:P$32)),4)</f>
        <v>1.554</v>
      </c>
      <c r="AB15" s="2885">
        <f>ROUND(SUMPRODUCT(PRODUCT(1+Q15:Q$32)),4)</f>
        <v>1.3087</v>
      </c>
      <c r="AC15" s="2885"/>
      <c r="AD15" s="2886">
        <f>ROUND(AVERAGE(I15:I$33)/100,4)</f>
        <v>2.3099999999999999E-2</v>
      </c>
      <c r="AE15" s="2886">
        <f>ROUND(AVERAGE(J15:J$33)/100,4)</f>
        <v>1.61E-2</v>
      </c>
      <c r="AF15" s="2886">
        <f t="shared" ref="AF15" si="119">AE15</f>
        <v>1.61E-2</v>
      </c>
      <c r="AG15" s="2886">
        <f>ROUND(AVERAGE(K15:K$33)/100,4)</f>
        <v>2.53E-2</v>
      </c>
      <c r="AH15" s="2886">
        <f>ROUND(AVERAGE(L15:L$33)/100,4)</f>
        <v>1.4999999999999999E-2</v>
      </c>
    </row>
    <row r="16" spans="1:34" s="2904" customFormat="1" ht="14.45" customHeight="1">
      <c r="A16" s="2897" t="s">
        <v>2943</v>
      </c>
      <c r="B16" s="2898">
        <f t="shared" si="79"/>
        <v>453.11529869999993</v>
      </c>
      <c r="C16" s="2898">
        <f t="shared" ref="C16" si="120">C17*(1+O16)</f>
        <v>336.47787264000004</v>
      </c>
      <c r="D16" s="2898">
        <f t="shared" ref="D16" si="121">C16</f>
        <v>336.47787264000004</v>
      </c>
      <c r="E16" s="2898">
        <f t="shared" ref="E16" si="122">E17*(1+P16)</f>
        <v>647.35186823999993</v>
      </c>
      <c r="F16" s="2898">
        <f t="shared" ref="F16" si="123">F17*(1+Q16)</f>
        <v>295.73229452000004</v>
      </c>
      <c r="G16" s="4007"/>
      <c r="H16" s="2912">
        <v>2</v>
      </c>
      <c r="I16" s="2912">
        <v>1.49</v>
      </c>
      <c r="J16" s="2912">
        <v>0.96</v>
      </c>
      <c r="K16" s="2912">
        <v>1.58</v>
      </c>
      <c r="L16" s="2913">
        <v>2.44</v>
      </c>
      <c r="M16" s="2885"/>
      <c r="N16" s="2900">
        <f t="shared" ref="N16" si="124">I16/100</f>
        <v>1.49E-2</v>
      </c>
      <c r="O16" s="2886">
        <f t="shared" ref="O16" si="125">J16/100</f>
        <v>9.5999999999999992E-3</v>
      </c>
      <c r="P16" s="2886">
        <f t="shared" ref="P16" si="126">K16/100</f>
        <v>1.5800000000000002E-2</v>
      </c>
      <c r="Q16" s="2886">
        <f t="shared" ref="Q16" si="127">L16/100</f>
        <v>2.4399999999999998E-2</v>
      </c>
      <c r="R16" s="2901"/>
      <c r="S16" s="2900"/>
      <c r="T16" s="2886"/>
      <c r="U16" s="2886"/>
      <c r="V16" s="2886"/>
      <c r="W16" s="2885"/>
      <c r="X16" s="2885">
        <f>ROUND(SUMPRODUCT(PRODUCT(1+N16:N$32)),4)</f>
        <v>1.4733000000000001</v>
      </c>
      <c r="Y16" s="2885">
        <f>ROUND(SUMPRODUCT(PRODUCT(1+O16:O$32)),4)</f>
        <v>1.3052999999999999</v>
      </c>
      <c r="Z16" s="2885">
        <f t="shared" ref="Z16" si="128">Y16</f>
        <v>1.3052999999999999</v>
      </c>
      <c r="AA16" s="2885">
        <f>ROUND(SUMPRODUCT(PRODUCT(1+P16:P$32)),4)</f>
        <v>1.5306999999999999</v>
      </c>
      <c r="AB16" s="2885">
        <f>ROUND(SUMPRODUCT(PRODUCT(1+Q16:Q$32)),4)</f>
        <v>1.2863</v>
      </c>
      <c r="AC16" s="2885"/>
      <c r="AD16" s="2886">
        <f>ROUND(AVERAGE(I16:I$33)/100,4)</f>
        <v>2.35E-2</v>
      </c>
      <c r="AE16" s="2886">
        <f>ROUND(AVERAGE(J16:J$33)/100,4)</f>
        <v>1.6199999999999999E-2</v>
      </c>
      <c r="AF16" s="2886">
        <f t="shared" ref="AF16" si="129">AE16</f>
        <v>1.6199999999999999E-2</v>
      </c>
      <c r="AG16" s="2886">
        <f>ROUND(AVERAGE(K16:K$33)/100,4)</f>
        <v>2.5899999999999999E-2</v>
      </c>
      <c r="AH16" s="2886">
        <f>ROUND(AVERAGE(L16:L$33)/100,4)</f>
        <v>1.49E-2</v>
      </c>
    </row>
    <row r="17" spans="1:34" s="2904" customFormat="1" ht="15" customHeight="1" thickBot="1">
      <c r="A17" s="2897" t="s">
        <v>2939</v>
      </c>
      <c r="B17" s="2898">
        <f t="shared" si="79"/>
        <v>446.46299999999997</v>
      </c>
      <c r="C17" s="2898">
        <f t="shared" ref="C17" si="130">C18*(1+O17)</f>
        <v>333.27840000000003</v>
      </c>
      <c r="D17" s="2898">
        <f t="shared" ref="D17:D22" si="131">C17</f>
        <v>333.27840000000003</v>
      </c>
      <c r="E17" s="2898">
        <f t="shared" ref="E17" si="132">E18*(1+P17)</f>
        <v>637.28279999999995</v>
      </c>
      <c r="F17" s="2898">
        <f t="shared" ref="F17" si="133">F18*(1+Q17)</f>
        <v>288.68830000000003</v>
      </c>
      <c r="G17" s="4008"/>
      <c r="H17" s="2899">
        <v>1</v>
      </c>
      <c r="I17" s="2899">
        <v>1.7</v>
      </c>
      <c r="J17" s="2899">
        <v>1.92</v>
      </c>
      <c r="K17" s="2899">
        <v>1.64</v>
      </c>
      <c r="L17" s="2905">
        <v>2.0099999999999998</v>
      </c>
      <c r="M17" s="2885"/>
      <c r="N17" s="2900">
        <f t="shared" ref="N17:N22" si="134">I17/100</f>
        <v>1.7000000000000001E-2</v>
      </c>
      <c r="O17" s="2886">
        <f t="shared" ref="O17" si="135">J17/100</f>
        <v>1.9199999999999998E-2</v>
      </c>
      <c r="P17" s="2886">
        <f t="shared" ref="P17" si="136">K17/100</f>
        <v>1.6399999999999998E-2</v>
      </c>
      <c r="Q17" s="2886">
        <f t="shared" ref="Q17" si="137">L17/100</f>
        <v>2.0099999999999996E-2</v>
      </c>
      <c r="R17" s="2901"/>
      <c r="S17" s="2902">
        <f>B17/B18-1</f>
        <v>1.6999999999999904E-2</v>
      </c>
      <c r="T17" s="2903">
        <f>C17/C18-1</f>
        <v>1.9200000000000106E-2</v>
      </c>
      <c r="U17" s="2903">
        <f>E17/E18-1</f>
        <v>1.639999999999997E-2</v>
      </c>
      <c r="V17" s="2903">
        <f>F17/F18-1</f>
        <v>2.0100000000000007E-2</v>
      </c>
      <c r="W17" s="2885"/>
      <c r="X17" s="2885">
        <f>ROUND(SUMPRODUCT(PRODUCT(1+N17:N$32)),4)</f>
        <v>1.4517</v>
      </c>
      <c r="Y17" s="2885">
        <f>ROUND(SUMPRODUCT(PRODUCT(1+O17:O$32)),4)</f>
        <v>1.2928999999999999</v>
      </c>
      <c r="Z17" s="2885">
        <f t="shared" ref="Z17" si="138">Y17</f>
        <v>1.2928999999999999</v>
      </c>
      <c r="AA17" s="2885">
        <f>ROUND(SUMPRODUCT(PRODUCT(1+P17:P$32)),4)</f>
        <v>1.5068999999999999</v>
      </c>
      <c r="AB17" s="2885">
        <f>ROUND(SUMPRODUCT(PRODUCT(1+Q17:Q$32)),4)</f>
        <v>1.2557</v>
      </c>
      <c r="AC17" s="2885"/>
      <c r="AD17" s="2886">
        <f>ROUND(AVERAGE(I17:I$33)/100,4)</f>
        <v>2.4E-2</v>
      </c>
      <c r="AE17" s="2886">
        <f>ROUND(AVERAGE(J17:J$33)/100,4)</f>
        <v>1.66E-2</v>
      </c>
      <c r="AF17" s="2886">
        <f t="shared" ref="AF17" si="139">AE17</f>
        <v>1.66E-2</v>
      </c>
      <c r="AG17" s="2886">
        <f>ROUND(AVERAGE(K17:K$33)/100,4)</f>
        <v>2.6499999999999999E-2</v>
      </c>
      <c r="AH17" s="2886">
        <f>ROUND(AVERAGE(L17:L$33)/100,4)</f>
        <v>1.43E-2</v>
      </c>
    </row>
    <row r="18" spans="1:34">
      <c r="A18" s="2897" t="s">
        <v>2931</v>
      </c>
      <c r="B18" s="2914">
        <v>439</v>
      </c>
      <c r="C18" s="2914">
        <v>327</v>
      </c>
      <c r="D18" s="2914">
        <f t="shared" si="131"/>
        <v>327</v>
      </c>
      <c r="E18" s="2914">
        <v>627</v>
      </c>
      <c r="F18" s="2915">
        <v>283</v>
      </c>
      <c r="G18" s="4006">
        <v>2017</v>
      </c>
      <c r="H18" s="2906">
        <v>4</v>
      </c>
      <c r="I18" s="2906">
        <v>1.71</v>
      </c>
      <c r="J18" s="2906">
        <v>1.78</v>
      </c>
      <c r="K18" s="2906">
        <v>1.71</v>
      </c>
      <c r="L18" s="2907">
        <v>1.43</v>
      </c>
      <c r="N18" s="2916">
        <f t="shared" si="134"/>
        <v>1.7100000000000001E-2</v>
      </c>
      <c r="O18" s="2917">
        <f t="shared" ref="O18" si="140">J18/100</f>
        <v>1.78E-2</v>
      </c>
      <c r="P18" s="2917">
        <f t="shared" ref="P18" si="141">K18/100</f>
        <v>1.7100000000000001E-2</v>
      </c>
      <c r="Q18" s="2917">
        <f t="shared" ref="Q18" si="142">L18/100</f>
        <v>1.43E-2</v>
      </c>
      <c r="R18" s="2901"/>
      <c r="S18" s="2910"/>
      <c r="T18" s="2911"/>
      <c r="U18" s="2911"/>
      <c r="V18" s="2911"/>
      <c r="X18" s="2885">
        <f>ROUND(SUMPRODUCT(PRODUCT(1+N18:N$32)),4)</f>
        <v>1.4274</v>
      </c>
      <c r="Y18" s="2885">
        <f>ROUND(SUMPRODUCT(PRODUCT(1+O18:O$32)),4)</f>
        <v>1.2685</v>
      </c>
      <c r="Z18" s="2885">
        <f t="shared" si="0"/>
        <v>1.2685</v>
      </c>
      <c r="AA18" s="2885">
        <f>ROUND(SUMPRODUCT(PRODUCT(1+P18:P$32)),4)</f>
        <v>1.4825999999999999</v>
      </c>
      <c r="AB18" s="2885">
        <f>ROUND(SUMPRODUCT(PRODUCT(1+Q18:Q$32)),4)</f>
        <v>1.2309000000000001</v>
      </c>
      <c r="AD18" s="2886">
        <f>ROUND(AVERAGE(I18:I$33)/100,4)</f>
        <v>2.4500000000000001E-2</v>
      </c>
      <c r="AE18" s="2886">
        <f>ROUND(AVERAGE(J18:J$33)/100,4)</f>
        <v>1.6500000000000001E-2</v>
      </c>
      <c r="AF18" s="2886">
        <f t="shared" si="1"/>
        <v>1.6500000000000001E-2</v>
      </c>
      <c r="AG18" s="2886">
        <f>ROUND(AVERAGE(K18:K$33)/100,4)</f>
        <v>2.7099999999999999E-2</v>
      </c>
      <c r="AH18" s="2886">
        <f>ROUND(AVERAGE(L18:L$33)/100,4)</f>
        <v>1.3899999999999999E-2</v>
      </c>
    </row>
    <row r="19" spans="1:34" s="2904" customFormat="1" ht="14.45" customHeight="1">
      <c r="A19" s="2897" t="s">
        <v>2934</v>
      </c>
      <c r="B19" s="2898">
        <f t="shared" ref="B19:C21" si="143">B20*(1+N19)</f>
        <v>431.80730811680002</v>
      </c>
      <c r="C19" s="2898">
        <f t="shared" si="143"/>
        <v>320.57880516480003</v>
      </c>
      <c r="D19" s="2898">
        <f t="shared" si="131"/>
        <v>320.57880516480003</v>
      </c>
      <c r="E19" s="2898">
        <f t="shared" ref="E19:F21" si="144">E20*(1+P19)</f>
        <v>615.96110553196797</v>
      </c>
      <c r="F19" s="2898">
        <f t="shared" si="144"/>
        <v>279.46777300108801</v>
      </c>
      <c r="G19" s="4007"/>
      <c r="H19" s="2899">
        <v>3</v>
      </c>
      <c r="I19" s="2899">
        <v>2.98</v>
      </c>
      <c r="J19" s="2899">
        <v>2.11</v>
      </c>
      <c r="K19" s="2899">
        <v>3.24</v>
      </c>
      <c r="L19" s="2905">
        <v>1.72</v>
      </c>
      <c r="M19" s="2885"/>
      <c r="N19" s="2900">
        <f t="shared" si="134"/>
        <v>2.98E-2</v>
      </c>
      <c r="O19" s="2918">
        <f t="shared" ref="O19:O20" si="145">J19/100</f>
        <v>2.1099999999999997E-2</v>
      </c>
      <c r="P19" s="2918">
        <f t="shared" ref="P19:P20" si="146">K19/100</f>
        <v>3.2400000000000005E-2</v>
      </c>
      <c r="Q19" s="2918">
        <f t="shared" ref="Q19:Q20" si="147">L19/100</f>
        <v>1.72E-2</v>
      </c>
      <c r="R19" s="2901"/>
      <c r="S19" s="2900"/>
      <c r="T19" s="2886"/>
      <c r="U19" s="2886"/>
      <c r="V19" s="2886"/>
      <c r="W19" s="2885"/>
      <c r="X19" s="2885">
        <f>ROUND(SUMPRODUCT(PRODUCT(1+N19:N$32)),4)</f>
        <v>1.4034</v>
      </c>
      <c r="Y19" s="2885">
        <f>ROUND(SUMPRODUCT(PRODUCT(1+O19:O$32)),4)</f>
        <v>1.2463</v>
      </c>
      <c r="Z19" s="2885">
        <f t="shared" si="0"/>
        <v>1.2463</v>
      </c>
      <c r="AA19" s="2885">
        <f>ROUND(SUMPRODUCT(PRODUCT(1+P19:P$32)),4)</f>
        <v>1.4577</v>
      </c>
      <c r="AB19" s="2885">
        <f>ROUND(SUMPRODUCT(PRODUCT(1+Q19:Q$32)),4)</f>
        <v>1.2136</v>
      </c>
      <c r="AC19" s="2885"/>
      <c r="AD19" s="2886">
        <f>ROUND(AVERAGE(I19:I$33)/100,4)</f>
        <v>2.4899999999999999E-2</v>
      </c>
      <c r="AE19" s="2886">
        <f>ROUND(AVERAGE(J19:J$33)/100,4)</f>
        <v>1.6400000000000001E-2</v>
      </c>
      <c r="AF19" s="2886">
        <f t="shared" si="1"/>
        <v>1.6400000000000001E-2</v>
      </c>
      <c r="AG19" s="2886">
        <f>ROUND(AVERAGE(K19:K$33)/100,4)</f>
        <v>2.7799999999999998E-2</v>
      </c>
      <c r="AH19" s="2886">
        <f>ROUND(AVERAGE(L19:L$33)/100,4)</f>
        <v>1.3899999999999999E-2</v>
      </c>
    </row>
    <row r="20" spans="1:34" s="2863" customFormat="1" ht="14.45" customHeight="1">
      <c r="A20" s="2897" t="s">
        <v>2561</v>
      </c>
      <c r="B20" s="2898">
        <f t="shared" si="143"/>
        <v>419.31181600000002</v>
      </c>
      <c r="C20" s="2898">
        <f t="shared" si="143"/>
        <v>313.95436800000004</v>
      </c>
      <c r="D20" s="2898">
        <f t="shared" si="131"/>
        <v>313.95436800000004</v>
      </c>
      <c r="E20" s="2898">
        <f t="shared" si="144"/>
        <v>596.63028431999999</v>
      </c>
      <c r="F20" s="2898">
        <f t="shared" si="144"/>
        <v>274.74220703999998</v>
      </c>
      <c r="G20" s="4007"/>
      <c r="H20" s="2912">
        <v>2</v>
      </c>
      <c r="I20" s="2912">
        <v>3.4</v>
      </c>
      <c r="J20" s="2912">
        <v>2</v>
      </c>
      <c r="K20" s="2912">
        <v>3.82</v>
      </c>
      <c r="L20" s="2913">
        <v>1.68</v>
      </c>
      <c r="N20" s="2900">
        <f t="shared" si="134"/>
        <v>3.4000000000000002E-2</v>
      </c>
      <c r="O20" s="2918">
        <f t="shared" si="145"/>
        <v>0.02</v>
      </c>
      <c r="P20" s="2918">
        <f t="shared" si="146"/>
        <v>3.8199999999999998E-2</v>
      </c>
      <c r="Q20" s="2918">
        <f t="shared" si="147"/>
        <v>1.6799999999999999E-2</v>
      </c>
      <c r="S20" s="2900"/>
      <c r="T20" s="2886"/>
      <c r="U20" s="2886"/>
      <c r="V20" s="2886"/>
      <c r="X20" s="2885">
        <f>ROUND(SUMPRODUCT(PRODUCT(1+N20:N$32)),4)</f>
        <v>1.3628</v>
      </c>
      <c r="Y20" s="2885">
        <f>ROUND(SUMPRODUCT(PRODUCT(1+O20:O$32)),4)</f>
        <v>1.2205999999999999</v>
      </c>
      <c r="Z20" s="2885">
        <f t="shared" si="0"/>
        <v>1.2205999999999999</v>
      </c>
      <c r="AA20" s="2885">
        <f>ROUND(SUMPRODUCT(PRODUCT(1+P20:P$32)),4)</f>
        <v>1.4118999999999999</v>
      </c>
      <c r="AB20" s="2885">
        <f>ROUND(SUMPRODUCT(PRODUCT(1+Q20:Q$32)),4)</f>
        <v>1.1930000000000001</v>
      </c>
      <c r="AD20" s="2886">
        <f>ROUND(AVERAGE(I20:I$33)/100,4)</f>
        <v>2.46E-2</v>
      </c>
      <c r="AE20" s="2886">
        <f>ROUND(AVERAGE(J20:J$33)/100,4)</f>
        <v>1.6E-2</v>
      </c>
      <c r="AF20" s="2886">
        <f t="shared" si="1"/>
        <v>1.6E-2</v>
      </c>
      <c r="AG20" s="2886">
        <f>ROUND(AVERAGE(K20:K$33)/100,4)</f>
        <v>2.75E-2</v>
      </c>
      <c r="AH20" s="2886">
        <f>ROUND(AVERAGE(L20:L$33)/100,4)</f>
        <v>1.37E-2</v>
      </c>
    </row>
    <row r="21" spans="1:34" s="2904" customFormat="1" ht="15" customHeight="1" thickBot="1">
      <c r="A21" s="2897" t="s">
        <v>2562</v>
      </c>
      <c r="B21" s="2898">
        <f t="shared" si="143"/>
        <v>405.524</v>
      </c>
      <c r="C21" s="2898">
        <f t="shared" si="143"/>
        <v>307.79840000000002</v>
      </c>
      <c r="D21" s="2898">
        <f t="shared" si="131"/>
        <v>307.79840000000002</v>
      </c>
      <c r="E21" s="2898">
        <f t="shared" si="144"/>
        <v>574.67759999999998</v>
      </c>
      <c r="F21" s="2898">
        <f t="shared" si="144"/>
        <v>270.20280000000002</v>
      </c>
      <c r="G21" s="4008"/>
      <c r="H21" s="2899">
        <v>1</v>
      </c>
      <c r="I21" s="2899">
        <v>3.45</v>
      </c>
      <c r="J21" s="2899">
        <v>1.92</v>
      </c>
      <c r="K21" s="2899">
        <v>3.92</v>
      </c>
      <c r="L21" s="2905">
        <v>1.58</v>
      </c>
      <c r="M21" s="2885"/>
      <c r="N21" s="2902">
        <f t="shared" si="134"/>
        <v>3.4500000000000003E-2</v>
      </c>
      <c r="O21" s="2903">
        <f t="shared" ref="O21" si="148">J21/100</f>
        <v>1.9199999999999998E-2</v>
      </c>
      <c r="P21" s="2903">
        <f t="shared" ref="P21" si="149">K21/100</f>
        <v>3.9199999999999999E-2</v>
      </c>
      <c r="Q21" s="2903">
        <f t="shared" ref="Q21" si="150">L21/100</f>
        <v>1.5800000000000002E-2</v>
      </c>
      <c r="R21" s="2901"/>
      <c r="S21" s="2902">
        <f>B21/B22-1</f>
        <v>3.4499999999999975E-2</v>
      </c>
      <c r="T21" s="2903">
        <f>C21/C22-1</f>
        <v>1.9200000000000106E-2</v>
      </c>
      <c r="U21" s="2903">
        <f>E21/E22-1</f>
        <v>3.9199999999999902E-2</v>
      </c>
      <c r="V21" s="2903">
        <f>F21/F22-1</f>
        <v>1.5800000000000036E-2</v>
      </c>
      <c r="W21" s="2885"/>
      <c r="X21" s="2885">
        <f>ROUND(SUMPRODUCT(PRODUCT(1+N21:N$32)),4)</f>
        <v>1.3180000000000001</v>
      </c>
      <c r="Y21" s="2885">
        <f>ROUND(SUMPRODUCT(PRODUCT(1+O21:O$32)),4)</f>
        <v>1.1966000000000001</v>
      </c>
      <c r="Z21" s="2885">
        <f t="shared" si="0"/>
        <v>1.1966000000000001</v>
      </c>
      <c r="AA21" s="2885">
        <f>ROUND(SUMPRODUCT(PRODUCT(1+P21:P$32)),4)</f>
        <v>1.36</v>
      </c>
      <c r="AB21" s="2885">
        <f>ROUND(SUMPRODUCT(PRODUCT(1+Q21:Q$32)),4)</f>
        <v>1.1733</v>
      </c>
      <c r="AC21" s="2885"/>
      <c r="AD21" s="2886">
        <f>ROUND(AVERAGE(I21:I$33)/100,4)</f>
        <v>2.3900000000000001E-2</v>
      </c>
      <c r="AE21" s="2886">
        <f>ROUND(AVERAGE(J21:J$33)/100,4)</f>
        <v>1.5699999999999999E-2</v>
      </c>
      <c r="AF21" s="2886">
        <f t="shared" si="1"/>
        <v>1.5699999999999999E-2</v>
      </c>
      <c r="AG21" s="2886">
        <f>ROUND(AVERAGE(K21:K$33)/100,4)</f>
        <v>2.6599999999999999E-2</v>
      </c>
      <c r="AH21" s="2886">
        <f>ROUND(AVERAGE(L21:L$33)/100,4)</f>
        <v>1.34E-2</v>
      </c>
    </row>
    <row r="22" spans="1:34">
      <c r="A22" s="2897" t="s">
        <v>961</v>
      </c>
      <c r="B22" s="2919">
        <v>392</v>
      </c>
      <c r="C22" s="2919">
        <v>302</v>
      </c>
      <c r="D22" s="2919">
        <f t="shared" si="131"/>
        <v>302</v>
      </c>
      <c r="E22" s="2919">
        <v>553</v>
      </c>
      <c r="F22" s="2920">
        <v>266</v>
      </c>
      <c r="G22" s="4006">
        <v>2016</v>
      </c>
      <c r="H22" s="2906">
        <v>4</v>
      </c>
      <c r="I22" s="2906">
        <v>4.5599999999999996</v>
      </c>
      <c r="J22" s="2906">
        <v>2.15</v>
      </c>
      <c r="K22" s="2906">
        <v>5.32</v>
      </c>
      <c r="L22" s="2907">
        <v>1.57</v>
      </c>
      <c r="N22" s="2900">
        <f t="shared" si="134"/>
        <v>4.5599999999999995E-2</v>
      </c>
      <c r="O22" s="2886">
        <f t="shared" ref="O22:Q37" si="151">J22/100</f>
        <v>2.1499999999999998E-2</v>
      </c>
      <c r="P22" s="2886">
        <f t="shared" si="151"/>
        <v>5.3200000000000004E-2</v>
      </c>
      <c r="Q22" s="2886">
        <f t="shared" si="151"/>
        <v>1.5700000000000002E-2</v>
      </c>
      <c r="R22" s="2901"/>
      <c r="S22" s="2910"/>
      <c r="T22" s="2911"/>
      <c r="U22" s="2911"/>
      <c r="V22" s="2911"/>
      <c r="X22" s="2885">
        <f>ROUND(SUMPRODUCT(PRODUCT(1+N22:N$32)),4)</f>
        <v>1.274</v>
      </c>
      <c r="Y22" s="2885">
        <f>ROUND(SUMPRODUCT(PRODUCT(1+O22:O$32)),4)</f>
        <v>1.1740999999999999</v>
      </c>
      <c r="Z22" s="2885">
        <f t="shared" si="0"/>
        <v>1.1740999999999999</v>
      </c>
      <c r="AA22" s="2885">
        <f>ROUND(SUMPRODUCT(PRODUCT(1+P22:P$32)),4)</f>
        <v>1.3087</v>
      </c>
      <c r="AB22" s="2885">
        <f>ROUND(SUMPRODUCT(PRODUCT(1+Q22:Q$32)),4)</f>
        <v>1.1551</v>
      </c>
      <c r="AD22" s="2886">
        <f>ROUND(AVERAGE(I22:I$33)/100,4)</f>
        <v>2.3E-2</v>
      </c>
      <c r="AE22" s="2886">
        <f>ROUND(AVERAGE(J22:J$33)/100,4)</f>
        <v>1.55E-2</v>
      </c>
      <c r="AF22" s="2886">
        <f t="shared" si="1"/>
        <v>1.55E-2</v>
      </c>
      <c r="AG22" s="2886">
        <f>ROUND(AVERAGE(K22:K$33)/100,4)</f>
        <v>2.5600000000000001E-2</v>
      </c>
      <c r="AH22" s="2886">
        <f>ROUND(AVERAGE(L22:L$33)/100,4)</f>
        <v>1.32E-2</v>
      </c>
    </row>
    <row r="23" spans="1:34">
      <c r="A23" s="2897" t="s">
        <v>960</v>
      </c>
      <c r="B23" s="2898">
        <f t="shared" ref="B23:C25" si="152">B22/(1+N22)</f>
        <v>374.90436113236416</v>
      </c>
      <c r="C23" s="2898">
        <f t="shared" si="152"/>
        <v>295.64366128242779</v>
      </c>
      <c r="D23" s="2898">
        <f t="shared" ref="D23:D82" si="153">C23</f>
        <v>295.64366128242779</v>
      </c>
      <c r="E23" s="2898">
        <f t="shared" ref="E23:F25" si="154">E22/(1+P22)</f>
        <v>525.06646410938095</v>
      </c>
      <c r="F23" s="2898">
        <f t="shared" si="154"/>
        <v>261.88835286009646</v>
      </c>
      <c r="G23" s="4007"/>
      <c r="H23" s="2899">
        <v>3</v>
      </c>
      <c r="I23" s="2899">
        <v>4.12</v>
      </c>
      <c r="J23" s="2899">
        <v>2</v>
      </c>
      <c r="K23" s="2899">
        <v>4.79</v>
      </c>
      <c r="L23" s="2905">
        <v>1.97</v>
      </c>
      <c r="N23" s="2900">
        <f t="shared" ref="N23:Q57" si="155">I23/100</f>
        <v>4.1200000000000001E-2</v>
      </c>
      <c r="O23" s="2886">
        <f t="shared" si="151"/>
        <v>0.02</v>
      </c>
      <c r="P23" s="2886">
        <f t="shared" si="151"/>
        <v>4.7899999999999998E-2</v>
      </c>
      <c r="Q23" s="2886">
        <f t="shared" si="151"/>
        <v>1.9699999999999999E-2</v>
      </c>
      <c r="R23" s="2901"/>
      <c r="S23" s="2900"/>
      <c r="T23" s="2886"/>
      <c r="U23" s="2886"/>
      <c r="V23" s="2886"/>
      <c r="X23" s="2885">
        <f>ROUND(SUMPRODUCT(PRODUCT(1+N23:N$32)),4)</f>
        <v>1.2184999999999999</v>
      </c>
      <c r="Y23" s="2885">
        <f>ROUND(SUMPRODUCT(PRODUCT(1+O23:O$32)),4)</f>
        <v>1.1494</v>
      </c>
      <c r="Z23" s="2885">
        <f t="shared" si="0"/>
        <v>1.1494</v>
      </c>
      <c r="AA23" s="2885">
        <f>ROUND(SUMPRODUCT(PRODUCT(1+P23:P$32)),4)</f>
        <v>1.2425999999999999</v>
      </c>
      <c r="AB23" s="2885">
        <f>ROUND(SUMPRODUCT(PRODUCT(1+Q23:Q$32)),4)</f>
        <v>1.1372</v>
      </c>
      <c r="AD23" s="2886">
        <f>ROUND(AVERAGE(I23:I$33)/100,4)</f>
        <v>2.0899999999999998E-2</v>
      </c>
      <c r="AE23" s="2886">
        <f>ROUND(AVERAGE(J23:J$33)/100,4)</f>
        <v>1.49E-2</v>
      </c>
      <c r="AF23" s="2886">
        <f t="shared" si="1"/>
        <v>1.49E-2</v>
      </c>
      <c r="AG23" s="2886">
        <f>ROUND(AVERAGE(K23:K$33)/100,4)</f>
        <v>2.3099999999999999E-2</v>
      </c>
      <c r="AH23" s="2886">
        <f>ROUND(AVERAGE(L23:L$33)/100,4)</f>
        <v>1.2999999999999999E-2</v>
      </c>
    </row>
    <row r="24" spans="1:34">
      <c r="A24" s="2897" t="s">
        <v>950</v>
      </c>
      <c r="B24" s="2898">
        <f t="shared" si="152"/>
        <v>360.06949782209392</v>
      </c>
      <c r="C24" s="2898">
        <f t="shared" si="152"/>
        <v>289.84672674747821</v>
      </c>
      <c r="D24" s="2898">
        <f t="shared" si="153"/>
        <v>289.84672674747821</v>
      </c>
      <c r="E24" s="2898">
        <f t="shared" si="154"/>
        <v>501.06543001181495</v>
      </c>
      <c r="F24" s="2898">
        <f t="shared" si="154"/>
        <v>256.82882500744967</v>
      </c>
      <c r="G24" s="4007"/>
      <c r="H24" s="2912">
        <v>2</v>
      </c>
      <c r="I24" s="2912">
        <v>3.85</v>
      </c>
      <c r="J24" s="2912">
        <v>1.95</v>
      </c>
      <c r="K24" s="2912">
        <v>4.4800000000000004</v>
      </c>
      <c r="L24" s="2913">
        <v>1.41</v>
      </c>
      <c r="N24" s="2900">
        <f t="shared" si="155"/>
        <v>3.85E-2</v>
      </c>
      <c r="O24" s="2886">
        <f t="shared" si="151"/>
        <v>1.95E-2</v>
      </c>
      <c r="P24" s="2886">
        <f t="shared" si="151"/>
        <v>4.4800000000000006E-2</v>
      </c>
      <c r="Q24" s="2886">
        <f t="shared" si="151"/>
        <v>1.41E-2</v>
      </c>
      <c r="R24" s="2901"/>
      <c r="S24" s="2900"/>
      <c r="T24" s="2886"/>
      <c r="U24" s="2886"/>
      <c r="V24" s="2886"/>
      <c r="X24" s="2885">
        <f>ROUND(SUMPRODUCT(PRODUCT(1+N24:N$32)),4)</f>
        <v>1.1702999999999999</v>
      </c>
      <c r="Y24" s="2885">
        <f>ROUND(SUMPRODUCT(PRODUCT(1+O24:O$32)),4)</f>
        <v>1.1269</v>
      </c>
      <c r="Z24" s="2885">
        <f t="shared" si="0"/>
        <v>1.1269</v>
      </c>
      <c r="AA24" s="2885">
        <f>ROUND(SUMPRODUCT(PRODUCT(1+P24:P$32)),4)</f>
        <v>1.1858</v>
      </c>
      <c r="AB24" s="2885">
        <f>ROUND(SUMPRODUCT(PRODUCT(1+Q24:Q$32)),4)</f>
        <v>1.1152</v>
      </c>
      <c r="AD24" s="2886">
        <f>ROUND(AVERAGE(I24:I$33)/100,4)</f>
        <v>1.89E-2</v>
      </c>
      <c r="AE24" s="2886">
        <f>ROUND(AVERAGE(J24:J$33)/100,4)</f>
        <v>1.44E-2</v>
      </c>
      <c r="AF24" s="2886">
        <f t="shared" si="1"/>
        <v>1.44E-2</v>
      </c>
      <c r="AG24" s="2886">
        <f>ROUND(AVERAGE(K24:K$33)/100,4)</f>
        <v>2.06E-2</v>
      </c>
      <c r="AH24" s="2886">
        <f>ROUND(AVERAGE(L24:L$33)/100,4)</f>
        <v>1.23E-2</v>
      </c>
    </row>
    <row r="25" spans="1:34" ht="13.5" thickBot="1">
      <c r="A25" s="2897" t="s">
        <v>959</v>
      </c>
      <c r="B25" s="2898">
        <f t="shared" si="152"/>
        <v>346.720748986128</v>
      </c>
      <c r="C25" s="2898">
        <f t="shared" si="152"/>
        <v>284.30282172386285</v>
      </c>
      <c r="D25" s="2898">
        <f t="shared" si="153"/>
        <v>284.30282172386285</v>
      </c>
      <c r="E25" s="2898">
        <f t="shared" si="154"/>
        <v>479.58023546306947</v>
      </c>
      <c r="F25" s="2898">
        <f t="shared" si="154"/>
        <v>253.25788877571213</v>
      </c>
      <c r="G25" s="4010"/>
      <c r="H25" s="2899">
        <v>1</v>
      </c>
      <c r="I25" s="2899">
        <v>4.09</v>
      </c>
      <c r="J25" s="2899">
        <v>2.93</v>
      </c>
      <c r="K25" s="2899">
        <v>4.54</v>
      </c>
      <c r="L25" s="2905">
        <v>1.48</v>
      </c>
      <c r="N25" s="2900">
        <f t="shared" si="155"/>
        <v>4.0899999999999999E-2</v>
      </c>
      <c r="O25" s="2886">
        <f t="shared" si="151"/>
        <v>2.9300000000000003E-2</v>
      </c>
      <c r="P25" s="2886">
        <f t="shared" si="151"/>
        <v>4.5400000000000003E-2</v>
      </c>
      <c r="Q25" s="2886">
        <f t="shared" si="151"/>
        <v>1.4800000000000001E-2</v>
      </c>
      <c r="R25" s="2901"/>
      <c r="S25" s="2902">
        <f>B25/B26-1</f>
        <v>4.1203450408792808E-2</v>
      </c>
      <c r="T25" s="2903">
        <f>C25/C26-1</f>
        <v>2.6363977342465095E-2</v>
      </c>
      <c r="U25" s="2903">
        <f>E25/E26-1</f>
        <v>4.4837114298626357E-2</v>
      </c>
      <c r="V25" s="2903">
        <f>F25/F26-1</f>
        <v>1.7099954922538574E-2</v>
      </c>
      <c r="X25" s="2885">
        <f>ROUND(SUMPRODUCT(PRODUCT(1+N25:N$32)),4)</f>
        <v>1.1269</v>
      </c>
      <c r="Y25" s="2885">
        <f>ROUND(SUMPRODUCT(PRODUCT(1+O25:O$32)),4)</f>
        <v>1.1052999999999999</v>
      </c>
      <c r="Z25" s="2885">
        <f t="shared" si="0"/>
        <v>1.1052999999999999</v>
      </c>
      <c r="AA25" s="2885">
        <f>ROUND(SUMPRODUCT(PRODUCT(1+P25:P$32)),4)</f>
        <v>1.1349</v>
      </c>
      <c r="AB25" s="2885">
        <f>ROUND(SUMPRODUCT(PRODUCT(1+Q25:Q$32)),4)</f>
        <v>1.0996999999999999</v>
      </c>
      <c r="AD25" s="2886">
        <f>ROUND(AVERAGE(I25:I$33)/100,4)</f>
        <v>1.67E-2</v>
      </c>
      <c r="AE25" s="2886">
        <f>ROUND(AVERAGE(J25:J$33)/100,4)</f>
        <v>1.38E-2</v>
      </c>
      <c r="AF25" s="2886">
        <f t="shared" si="1"/>
        <v>1.38E-2</v>
      </c>
      <c r="AG25" s="2886">
        <f>ROUND(AVERAGE(K25:K$33)/100,4)</f>
        <v>1.7899999999999999E-2</v>
      </c>
      <c r="AH25" s="2886">
        <f>ROUND(AVERAGE(L25:L$33)/100,4)</f>
        <v>1.21E-2</v>
      </c>
    </row>
    <row r="26" spans="1:34" ht="13.5" thickBot="1">
      <c r="A26" s="2897" t="s">
        <v>958</v>
      </c>
      <c r="B26" s="2919">
        <v>333</v>
      </c>
      <c r="C26" s="2919">
        <v>277</v>
      </c>
      <c r="D26" s="2919">
        <f t="shared" si="153"/>
        <v>277</v>
      </c>
      <c r="E26" s="2919">
        <v>459</v>
      </c>
      <c r="F26" s="2920">
        <v>249</v>
      </c>
      <c r="G26" s="4009">
        <v>2015</v>
      </c>
      <c r="H26" s="2921">
        <v>4</v>
      </c>
      <c r="I26" s="2921">
        <v>1.63</v>
      </c>
      <c r="J26" s="2921">
        <v>1.1100000000000001</v>
      </c>
      <c r="K26" s="2921">
        <v>1.77</v>
      </c>
      <c r="L26" s="2922">
        <v>1.89</v>
      </c>
      <c r="N26" s="2916">
        <f t="shared" si="155"/>
        <v>1.6299999999999999E-2</v>
      </c>
      <c r="O26" s="2917">
        <f t="shared" si="151"/>
        <v>1.11E-2</v>
      </c>
      <c r="P26" s="2917">
        <f t="shared" si="151"/>
        <v>1.77E-2</v>
      </c>
      <c r="Q26" s="2917">
        <f t="shared" si="151"/>
        <v>1.89E-2</v>
      </c>
      <c r="R26" s="2901"/>
      <c r="X26" s="2885">
        <f>ROUND(SUMPRODUCT(PRODUCT(1+N26:N$32)),4)</f>
        <v>1.0826</v>
      </c>
      <c r="Y26" s="2885">
        <f>ROUND(SUMPRODUCT(PRODUCT(1+O26:O$32)),4)</f>
        <v>1.0738000000000001</v>
      </c>
      <c r="Z26" s="2885">
        <f t="shared" si="0"/>
        <v>1.0738000000000001</v>
      </c>
      <c r="AA26" s="2885">
        <f>ROUND(SUMPRODUCT(PRODUCT(1+P26:P$32)),4)</f>
        <v>1.0855999999999999</v>
      </c>
      <c r="AB26" s="2885">
        <f>ROUND(SUMPRODUCT(PRODUCT(1+Q26:Q$32)),4)</f>
        <v>1.0837000000000001</v>
      </c>
      <c r="AD26" s="2886">
        <f>ROUND(AVERAGE(I26:I$33)/100,4)</f>
        <v>1.37E-2</v>
      </c>
      <c r="AE26" s="2886">
        <f>ROUND(AVERAGE(J26:J$33)/100,4)</f>
        <v>1.1900000000000001E-2</v>
      </c>
      <c r="AF26" s="2886">
        <f t="shared" si="1"/>
        <v>1.1900000000000001E-2</v>
      </c>
      <c r="AG26" s="2886">
        <f>ROUND(AVERAGE(K26:K$33)/100,4)</f>
        <v>1.4500000000000001E-2</v>
      </c>
      <c r="AH26" s="2886">
        <f>ROUND(AVERAGE(L26:L$33)/100,4)</f>
        <v>1.18E-2</v>
      </c>
    </row>
    <row r="27" spans="1:34">
      <c r="A27" s="2897" t="s">
        <v>957</v>
      </c>
      <c r="B27" s="2898">
        <f t="shared" ref="B27:C29" si="156">B26/(1+N26)</f>
        <v>327.65915576109415</v>
      </c>
      <c r="C27" s="2898">
        <f t="shared" si="156"/>
        <v>273.95905449510434</v>
      </c>
      <c r="D27" s="2898">
        <f t="shared" si="153"/>
        <v>273.95905449510434</v>
      </c>
      <c r="E27" s="2898">
        <f t="shared" ref="E27:F29" si="157">E26/(1+P26)</f>
        <v>451.01699911565294</v>
      </c>
      <c r="F27" s="2898">
        <f t="shared" si="157"/>
        <v>244.38119540681129</v>
      </c>
      <c r="G27" s="4007"/>
      <c r="H27" s="2924">
        <v>3</v>
      </c>
      <c r="I27" s="2924">
        <v>1.65</v>
      </c>
      <c r="J27" s="2924">
        <v>0.92</v>
      </c>
      <c r="K27" s="2924">
        <v>1.88</v>
      </c>
      <c r="L27" s="2925">
        <v>1.26</v>
      </c>
      <c r="N27" s="2900">
        <f t="shared" si="155"/>
        <v>1.6500000000000001E-2</v>
      </c>
      <c r="O27" s="2918">
        <f t="shared" si="151"/>
        <v>9.1999999999999998E-3</v>
      </c>
      <c r="P27" s="2918">
        <f t="shared" si="151"/>
        <v>1.8799999999999997E-2</v>
      </c>
      <c r="Q27" s="2918">
        <f t="shared" si="151"/>
        <v>1.26E-2</v>
      </c>
      <c r="R27" s="2901"/>
      <c r="S27" s="2900"/>
      <c r="T27" s="2886"/>
      <c r="U27" s="2886"/>
      <c r="V27" s="2886"/>
      <c r="X27" s="2885">
        <f>ROUND(SUMPRODUCT(PRODUCT(1+N27:N$32)),4)</f>
        <v>1.0651999999999999</v>
      </c>
      <c r="Y27" s="2885">
        <f>ROUND(SUMPRODUCT(PRODUCT(1+O27:O$32)),4)</f>
        <v>1.0621</v>
      </c>
      <c r="Z27" s="2885">
        <f t="shared" si="0"/>
        <v>1.0621</v>
      </c>
      <c r="AA27" s="2885">
        <f>ROUND(SUMPRODUCT(PRODUCT(1+P27:P$32)),4)</f>
        <v>1.0668</v>
      </c>
      <c r="AB27" s="2885">
        <f>ROUND(SUMPRODUCT(PRODUCT(1+Q27:Q$32)),4)</f>
        <v>1.0636000000000001</v>
      </c>
      <c r="AD27" s="2886">
        <f>ROUND(AVERAGE(I27:I$33)/100,4)</f>
        <v>1.3299999999999999E-2</v>
      </c>
      <c r="AE27" s="2886">
        <f>ROUND(AVERAGE(J27:J$33)/100,4)</f>
        <v>1.2E-2</v>
      </c>
      <c r="AF27" s="2886">
        <f t="shared" si="1"/>
        <v>1.2E-2</v>
      </c>
      <c r="AG27" s="2886">
        <f>ROUND(AVERAGE(K27:K$33)/100,4)</f>
        <v>1.4E-2</v>
      </c>
      <c r="AH27" s="2886">
        <f>ROUND(AVERAGE(L27:L$33)/100,4)</f>
        <v>1.0800000000000001E-2</v>
      </c>
    </row>
    <row r="28" spans="1:34">
      <c r="A28" s="2897" t="s">
        <v>956</v>
      </c>
      <c r="B28" s="2898">
        <f t="shared" si="156"/>
        <v>322.34053690220776</v>
      </c>
      <c r="C28" s="2898">
        <f t="shared" si="156"/>
        <v>271.46160770422546</v>
      </c>
      <c r="D28" s="2898">
        <f t="shared" si="153"/>
        <v>271.46160770422546</v>
      </c>
      <c r="E28" s="2898">
        <f t="shared" si="157"/>
        <v>442.69434542172456</v>
      </c>
      <c r="F28" s="2898">
        <f t="shared" si="157"/>
        <v>241.34030753190925</v>
      </c>
      <c r="G28" s="4007"/>
      <c r="H28" s="2912">
        <v>2</v>
      </c>
      <c r="I28" s="2912">
        <v>0.77</v>
      </c>
      <c r="J28" s="2912">
        <v>0.69</v>
      </c>
      <c r="K28" s="2912">
        <v>0.8</v>
      </c>
      <c r="L28" s="2913">
        <v>0.88</v>
      </c>
      <c r="N28" s="2900">
        <f t="shared" si="155"/>
        <v>7.7000000000000002E-3</v>
      </c>
      <c r="O28" s="2918">
        <f t="shared" si="151"/>
        <v>6.8999999999999999E-3</v>
      </c>
      <c r="P28" s="2918">
        <f t="shared" si="151"/>
        <v>8.0000000000000002E-3</v>
      </c>
      <c r="Q28" s="2918">
        <f t="shared" si="151"/>
        <v>8.8000000000000005E-3</v>
      </c>
      <c r="R28" s="2901"/>
      <c r="S28" s="2900"/>
      <c r="T28" s="2886"/>
      <c r="U28" s="2886"/>
      <c r="V28" s="2886"/>
      <c r="X28" s="2885">
        <f>ROUND(SUMPRODUCT(PRODUCT(1+N28:N$32)),4)</f>
        <v>1.048</v>
      </c>
      <c r="Y28" s="2885">
        <f>ROUND(SUMPRODUCT(PRODUCT(1+O28:O$32)),4)</f>
        <v>1.0524</v>
      </c>
      <c r="Z28" s="2885">
        <f t="shared" si="0"/>
        <v>1.0524</v>
      </c>
      <c r="AA28" s="2885">
        <f>ROUND(SUMPRODUCT(PRODUCT(1+P28:P$32)),4)</f>
        <v>1.0470999999999999</v>
      </c>
      <c r="AB28" s="2885">
        <f>ROUND(SUMPRODUCT(PRODUCT(1+Q28:Q$32)),4)</f>
        <v>1.0504</v>
      </c>
      <c r="AD28" s="2886">
        <f>ROUND(AVERAGE(I28:I$33)/100,4)</f>
        <v>1.2800000000000001E-2</v>
      </c>
      <c r="AE28" s="2886">
        <f>ROUND(AVERAGE(J28:J$33)/100,4)</f>
        <v>1.2500000000000001E-2</v>
      </c>
      <c r="AF28" s="2886">
        <f t="shared" si="1"/>
        <v>1.2500000000000001E-2</v>
      </c>
      <c r="AG28" s="2886">
        <f>ROUND(AVERAGE(K28:K$33)/100,4)</f>
        <v>1.32E-2</v>
      </c>
      <c r="AH28" s="2886">
        <f>ROUND(AVERAGE(L28:L$33)/100,4)</f>
        <v>1.0500000000000001E-2</v>
      </c>
    </row>
    <row r="29" spans="1:34">
      <c r="A29" s="2897" t="s">
        <v>955</v>
      </c>
      <c r="B29" s="2898">
        <f t="shared" si="156"/>
        <v>319.87748030386797</v>
      </c>
      <c r="C29" s="2898">
        <f t="shared" si="156"/>
        <v>269.60135833173649</v>
      </c>
      <c r="D29" s="2898">
        <f t="shared" si="153"/>
        <v>269.60135833173649</v>
      </c>
      <c r="E29" s="2898">
        <f t="shared" si="157"/>
        <v>439.18089823583784</v>
      </c>
      <c r="F29" s="2898">
        <f t="shared" si="157"/>
        <v>239.23503918706311</v>
      </c>
      <c r="G29" s="4010"/>
      <c r="H29" s="2899">
        <v>1</v>
      </c>
      <c r="I29" s="2899">
        <v>0.51</v>
      </c>
      <c r="J29" s="2899">
        <v>0.54</v>
      </c>
      <c r="K29" s="2899">
        <v>0.48</v>
      </c>
      <c r="L29" s="2905">
        <v>0.93</v>
      </c>
      <c r="N29" s="2902">
        <f t="shared" si="155"/>
        <v>5.1000000000000004E-3</v>
      </c>
      <c r="O29" s="2903">
        <f t="shared" si="151"/>
        <v>5.4000000000000003E-3</v>
      </c>
      <c r="P29" s="2903">
        <f t="shared" si="151"/>
        <v>4.7999999999999996E-3</v>
      </c>
      <c r="Q29" s="2903">
        <f t="shared" si="151"/>
        <v>9.300000000000001E-3</v>
      </c>
      <c r="R29" s="2901"/>
      <c r="S29" s="2902">
        <f>B29/B30-1</f>
        <v>5.9040261127922822E-3</v>
      </c>
      <c r="T29" s="2903">
        <f>C29/C30-1</f>
        <v>5.9752176557332781E-3</v>
      </c>
      <c r="U29" s="2903">
        <f>E29/E30-1</f>
        <v>4.9906138119859556E-3</v>
      </c>
      <c r="V29" s="2903">
        <f>F29/F30-1</f>
        <v>9.4305450930933787E-3</v>
      </c>
      <c r="X29" s="2885">
        <f>ROUND(SUMPRODUCT(PRODUCT(1+N29:N$32)),4)</f>
        <v>1.0399</v>
      </c>
      <c r="Y29" s="2885">
        <f>ROUND(SUMPRODUCT(PRODUCT(1+O29:O$32)),4)</f>
        <v>1.0451999999999999</v>
      </c>
      <c r="Z29" s="2885">
        <f t="shared" si="0"/>
        <v>1.0451999999999999</v>
      </c>
      <c r="AA29" s="2885">
        <f>ROUND(SUMPRODUCT(PRODUCT(1+P29:P$32)),4)</f>
        <v>1.0387999999999999</v>
      </c>
      <c r="AB29" s="2885">
        <f>ROUND(SUMPRODUCT(PRODUCT(1+Q29:Q$32)),4)</f>
        <v>1.0411999999999999</v>
      </c>
      <c r="AD29" s="2886">
        <f>ROUND(AVERAGE(I29:I$33)/100,4)</f>
        <v>1.38E-2</v>
      </c>
      <c r="AE29" s="2886">
        <f>ROUND(AVERAGE(J29:J$33)/100,4)</f>
        <v>1.3599999999999999E-2</v>
      </c>
      <c r="AF29" s="2886">
        <f t="shared" si="1"/>
        <v>1.3599999999999999E-2</v>
      </c>
      <c r="AG29" s="2886">
        <f>ROUND(AVERAGE(K29:K$33)/100,4)</f>
        <v>1.4200000000000001E-2</v>
      </c>
      <c r="AH29" s="2886">
        <f>ROUND(AVERAGE(L29:L$33)/100,4)</f>
        <v>1.0800000000000001E-2</v>
      </c>
    </row>
    <row r="30" spans="1:34" ht="13.5" thickBot="1">
      <c r="A30" s="2897" t="s">
        <v>954</v>
      </c>
      <c r="B30" s="2926">
        <v>318</v>
      </c>
      <c r="C30" s="2926">
        <v>268</v>
      </c>
      <c r="D30" s="2926">
        <f t="shared" si="153"/>
        <v>268</v>
      </c>
      <c r="E30" s="2926">
        <v>437</v>
      </c>
      <c r="F30" s="2927">
        <v>237</v>
      </c>
      <c r="G30" s="4009">
        <v>2014</v>
      </c>
      <c r="H30" s="2921">
        <v>4</v>
      </c>
      <c r="I30" s="2921">
        <v>0.21</v>
      </c>
      <c r="J30" s="2921">
        <v>0.41</v>
      </c>
      <c r="K30" s="2921">
        <v>0.12</v>
      </c>
      <c r="L30" s="2922">
        <v>0.89</v>
      </c>
      <c r="N30" s="2900">
        <f t="shared" si="155"/>
        <v>2.0999999999999999E-3</v>
      </c>
      <c r="O30" s="2886">
        <f t="shared" si="151"/>
        <v>4.0999999999999995E-3</v>
      </c>
      <c r="P30" s="2886">
        <f t="shared" si="151"/>
        <v>1.1999999999999999E-3</v>
      </c>
      <c r="Q30" s="2886">
        <f t="shared" si="151"/>
        <v>8.8999999999999999E-3</v>
      </c>
      <c r="R30" s="2901"/>
      <c r="S30" s="2910"/>
      <c r="T30" s="2911"/>
      <c r="U30" s="2911"/>
      <c r="V30" s="2911"/>
      <c r="X30" s="2885">
        <f>ROUND(SUMPRODUCT(PRODUCT(1+N30:N$32)),4)</f>
        <v>1.0347</v>
      </c>
      <c r="Y30" s="2885">
        <f>ROUND(SUMPRODUCT(PRODUCT(1+O30:O$32)),4)</f>
        <v>1.0395000000000001</v>
      </c>
      <c r="Z30" s="2885">
        <f t="shared" si="0"/>
        <v>1.0395000000000001</v>
      </c>
      <c r="AA30" s="2885">
        <f>ROUND(SUMPRODUCT(PRODUCT(1+P30:P$32)),4)</f>
        <v>1.0338000000000001</v>
      </c>
      <c r="AB30" s="2885">
        <f>ROUND(SUMPRODUCT(PRODUCT(1+Q30:Q$32)),4)</f>
        <v>1.0316000000000001</v>
      </c>
      <c r="AD30" s="2886">
        <f>ROUND(AVERAGE(I30:I$33)/100,4)</f>
        <v>1.6E-2</v>
      </c>
      <c r="AE30" s="2886">
        <f>ROUND(AVERAGE(J30:J$33)/100,4)</f>
        <v>1.5599999999999999E-2</v>
      </c>
      <c r="AF30" s="2886">
        <f t="shared" si="1"/>
        <v>1.5599999999999999E-2</v>
      </c>
      <c r="AG30" s="2886">
        <f>ROUND(AVERAGE(K30:K$33)/100,4)</f>
        <v>1.66E-2</v>
      </c>
      <c r="AH30" s="2886">
        <f>ROUND(AVERAGE(L30:L$33)/100,4)</f>
        <v>1.12E-2</v>
      </c>
    </row>
    <row r="31" spans="1:34">
      <c r="A31" s="2897" t="s">
        <v>953</v>
      </c>
      <c r="B31" s="2898">
        <f t="shared" ref="B31:C33" si="158">B30/(1+N30)</f>
        <v>317.33359944117353</v>
      </c>
      <c r="C31" s="2898">
        <f t="shared" si="158"/>
        <v>266.90568668459315</v>
      </c>
      <c r="D31" s="2898">
        <f t="shared" si="153"/>
        <v>266.90568668459315</v>
      </c>
      <c r="E31" s="2898">
        <f t="shared" ref="E31:F33" si="159">E30/(1+P30)</f>
        <v>436.47622852576905</v>
      </c>
      <c r="F31" s="2898">
        <f t="shared" si="159"/>
        <v>234.90930716622066</v>
      </c>
      <c r="G31" s="4007"/>
      <c r="H31" s="2928">
        <v>3</v>
      </c>
      <c r="I31" s="2928">
        <v>0.83</v>
      </c>
      <c r="J31" s="2928">
        <v>1.47</v>
      </c>
      <c r="K31" s="2928">
        <v>0.65</v>
      </c>
      <c r="L31" s="2929">
        <v>0.72</v>
      </c>
      <c r="N31" s="2900">
        <f t="shared" si="155"/>
        <v>8.3000000000000001E-3</v>
      </c>
      <c r="O31" s="2886">
        <f t="shared" si="151"/>
        <v>1.47E-2</v>
      </c>
      <c r="P31" s="2886">
        <f t="shared" si="151"/>
        <v>6.5000000000000006E-3</v>
      </c>
      <c r="Q31" s="2886">
        <f t="shared" si="151"/>
        <v>7.1999999999999998E-3</v>
      </c>
      <c r="R31" s="2901"/>
      <c r="S31" s="2900"/>
      <c r="T31" s="2886"/>
      <c r="U31" s="2886"/>
      <c r="V31" s="2886"/>
      <c r="X31" s="2885">
        <f>ROUND(SUMPRODUCT(PRODUCT(1+N31:N$32)),4)</f>
        <v>1.0325</v>
      </c>
      <c r="Y31" s="2885">
        <f>ROUND(SUMPRODUCT(PRODUCT(1+O31:O$32)),4)</f>
        <v>1.0353000000000001</v>
      </c>
      <c r="Z31" s="2885">
        <f t="shared" ref="Z31:Z32" si="160">Y31</f>
        <v>1.0353000000000001</v>
      </c>
      <c r="AA31" s="2885">
        <f>ROUND(SUMPRODUCT(PRODUCT(1+P31:P$32)),4)</f>
        <v>1.0326</v>
      </c>
      <c r="AB31" s="2885">
        <f>ROUND(SUMPRODUCT(PRODUCT(1+Q31:Q$32)),4)</f>
        <v>1.0225</v>
      </c>
      <c r="AD31" s="2886">
        <f>ROUND(AVERAGE(I31:I$33)/100,4)</f>
        <v>2.07E-2</v>
      </c>
      <c r="AE31" s="2886">
        <f>ROUND(AVERAGE(J31:J$33)/100,4)</f>
        <v>1.95E-2</v>
      </c>
      <c r="AF31" s="2886">
        <f t="shared" si="1"/>
        <v>1.95E-2</v>
      </c>
      <c r="AG31" s="2886">
        <f>ROUND(AVERAGE(K31:K$33)/100,4)</f>
        <v>2.1700000000000001E-2</v>
      </c>
      <c r="AH31" s="2886">
        <f>ROUND(AVERAGE(L31:L$33)/100,4)</f>
        <v>1.2E-2</v>
      </c>
    </row>
    <row r="32" spans="1:34" ht="13.5" thickBot="1">
      <c r="A32" s="2897" t="s">
        <v>952</v>
      </c>
      <c r="B32" s="2898">
        <f t="shared" si="158"/>
        <v>314.72141172386546</v>
      </c>
      <c r="C32" s="2898">
        <f t="shared" si="158"/>
        <v>263.03901319069001</v>
      </c>
      <c r="D32" s="2898">
        <f t="shared" si="153"/>
        <v>263.03901319069001</v>
      </c>
      <c r="E32" s="2898">
        <f t="shared" si="159"/>
        <v>433.65745506782821</v>
      </c>
      <c r="F32" s="2898">
        <f t="shared" si="159"/>
        <v>233.23005080045735</v>
      </c>
      <c r="G32" s="4007"/>
      <c r="H32" s="2921">
        <v>2</v>
      </c>
      <c r="I32" s="2921">
        <v>2.4</v>
      </c>
      <c r="J32" s="2921">
        <v>2.0299999999999998</v>
      </c>
      <c r="K32" s="2921">
        <v>2.59</v>
      </c>
      <c r="L32" s="2922">
        <v>1.52</v>
      </c>
      <c r="N32" s="2900">
        <f t="shared" si="155"/>
        <v>2.4E-2</v>
      </c>
      <c r="O32" s="2886">
        <f t="shared" si="151"/>
        <v>2.0299999999999999E-2</v>
      </c>
      <c r="P32" s="2886">
        <f t="shared" si="151"/>
        <v>2.5899999999999999E-2</v>
      </c>
      <c r="Q32" s="2886">
        <f t="shared" si="151"/>
        <v>1.52E-2</v>
      </c>
      <c r="R32" s="2901"/>
      <c r="S32" s="2900"/>
      <c r="T32" s="2886"/>
      <c r="U32" s="2886"/>
      <c r="V32" s="2886"/>
      <c r="X32" s="2885">
        <f>1+N32</f>
        <v>1.024</v>
      </c>
      <c r="Y32" s="2885">
        <f>1+O32</f>
        <v>1.0203</v>
      </c>
      <c r="Z32" s="2885">
        <f t="shared" si="160"/>
        <v>1.0203</v>
      </c>
      <c r="AA32" s="2885">
        <f>1+P32</f>
        <v>1.0259</v>
      </c>
      <c r="AB32" s="2885">
        <f>1+Q32</f>
        <v>1.0152000000000001</v>
      </c>
      <c r="AD32" s="2886">
        <f>ROUND(AVERAGE(I32:I$33)/100,4)</f>
        <v>2.69E-2</v>
      </c>
      <c r="AE32" s="2886">
        <f>ROUND(AVERAGE(J32:J$33)/100,4)</f>
        <v>2.1899999999999999E-2</v>
      </c>
      <c r="AF32" s="2886">
        <f t="shared" ref="AF32" si="161">AE32</f>
        <v>2.1899999999999999E-2</v>
      </c>
      <c r="AG32" s="2886">
        <f>ROUND(AVERAGE(K32:K$33)/100,4)</f>
        <v>2.9399999999999999E-2</v>
      </c>
      <c r="AH32" s="2886">
        <f>ROUND(AVERAGE(L32:L$33)/100,4)</f>
        <v>1.44E-2</v>
      </c>
    </row>
    <row r="33" spans="1:34" s="2934" customFormat="1" ht="13.5" thickBot="1">
      <c r="A33" s="2930" t="s">
        <v>951</v>
      </c>
      <c r="B33" s="2931">
        <f t="shared" si="158"/>
        <v>307.34512863658733</v>
      </c>
      <c r="C33" s="2931">
        <f t="shared" si="158"/>
        <v>257.80556031626975</v>
      </c>
      <c r="D33" s="2931">
        <f t="shared" si="153"/>
        <v>257.80556031626975</v>
      </c>
      <c r="E33" s="2931">
        <f t="shared" si="159"/>
        <v>422.70928459677179</v>
      </c>
      <c r="F33" s="2931">
        <f t="shared" si="159"/>
        <v>229.73803270336617</v>
      </c>
      <c r="G33" s="4010"/>
      <c r="H33" s="2932">
        <v>1</v>
      </c>
      <c r="I33" s="2932">
        <v>2.97</v>
      </c>
      <c r="J33" s="2932">
        <v>2.34</v>
      </c>
      <c r="K33" s="2932">
        <v>3.28</v>
      </c>
      <c r="L33" s="2933">
        <v>1.36</v>
      </c>
      <c r="N33" s="2935">
        <f t="shared" si="155"/>
        <v>2.9700000000000001E-2</v>
      </c>
      <c r="O33" s="2936">
        <f t="shared" si="151"/>
        <v>2.3399999999999997E-2</v>
      </c>
      <c r="P33" s="2936">
        <f t="shared" si="151"/>
        <v>3.2799999999999996E-2</v>
      </c>
      <c r="Q33" s="2936">
        <f t="shared" si="151"/>
        <v>1.3600000000000001E-2</v>
      </c>
      <c r="R33" s="2937"/>
      <c r="S33" s="2938">
        <f>B33/B34-1</f>
        <v>2.7910129219355539E-2</v>
      </c>
      <c r="T33" s="2939">
        <f>C33/C34-1</f>
        <v>2.3037937762975247E-2</v>
      </c>
      <c r="U33" s="2939">
        <f>E33/E34-1</f>
        <v>3.3519033243940788E-2</v>
      </c>
      <c r="V33" s="2939">
        <f>F33/F34-1</f>
        <v>1.2061818076502862E-2</v>
      </c>
      <c r="W33" s="2940" t="s">
        <v>2620</v>
      </c>
      <c r="X33" s="2941">
        <v>1</v>
      </c>
      <c r="Y33" s="2941">
        <v>1</v>
      </c>
      <c r="Z33" s="2941">
        <v>1</v>
      </c>
      <c r="AA33" s="2941">
        <v>1</v>
      </c>
      <c r="AB33" s="2941">
        <v>1</v>
      </c>
      <c r="AD33" s="2936">
        <f>I33/100</f>
        <v>2.9700000000000001E-2</v>
      </c>
      <c r="AE33" s="2936">
        <f>J33/100</f>
        <v>2.3399999999999997E-2</v>
      </c>
      <c r="AF33" s="2936">
        <f>AE33</f>
        <v>2.3399999999999997E-2</v>
      </c>
      <c r="AG33" s="2936">
        <f>K33/100</f>
        <v>3.2799999999999996E-2</v>
      </c>
      <c r="AH33" s="2936">
        <f>L33/100</f>
        <v>1.3600000000000001E-2</v>
      </c>
    </row>
    <row r="34" spans="1:34" ht="13.5" thickBot="1">
      <c r="A34" s="2897" t="s">
        <v>2563</v>
      </c>
      <c r="B34" s="2919">
        <v>299</v>
      </c>
      <c r="C34" s="2919">
        <v>252</v>
      </c>
      <c r="D34" s="2919">
        <f t="shared" si="153"/>
        <v>252</v>
      </c>
      <c r="E34" s="2919">
        <v>409</v>
      </c>
      <c r="F34" s="2920">
        <v>227</v>
      </c>
      <c r="G34" s="4014">
        <v>2013</v>
      </c>
      <c r="H34" s="2942">
        <v>4</v>
      </c>
      <c r="I34" s="2942">
        <v>1.83</v>
      </c>
      <c r="J34" s="2942">
        <v>1.68</v>
      </c>
      <c r="K34" s="2942">
        <v>1.97</v>
      </c>
      <c r="L34" s="2943">
        <v>0.87</v>
      </c>
      <c r="N34" s="2916">
        <f t="shared" si="155"/>
        <v>1.83E-2</v>
      </c>
      <c r="O34" s="2917">
        <f t="shared" si="151"/>
        <v>1.6799999999999999E-2</v>
      </c>
      <c r="P34" s="2917">
        <f t="shared" si="151"/>
        <v>1.9699999999999999E-2</v>
      </c>
      <c r="Q34" s="2917">
        <f t="shared" si="151"/>
        <v>8.6999999999999994E-3</v>
      </c>
      <c r="R34" s="2901"/>
      <c r="S34" s="2910"/>
      <c r="T34" s="2911"/>
      <c r="U34" s="2911"/>
      <c r="V34" s="2911"/>
      <c r="X34" s="2911"/>
      <c r="Y34" s="2911"/>
      <c r="Z34" s="2911"/>
    </row>
    <row r="35" spans="1:34">
      <c r="A35" s="2897" t="s">
        <v>2564</v>
      </c>
      <c r="B35" s="2898">
        <f t="shared" ref="B35:C37" si="162">B34/(1+N34)</f>
        <v>293.62663262299913</v>
      </c>
      <c r="C35" s="2898">
        <f t="shared" si="162"/>
        <v>247.83634933123525</v>
      </c>
      <c r="D35" s="2898">
        <f t="shared" si="153"/>
        <v>247.83634933123525</v>
      </c>
      <c r="E35" s="2898">
        <f t="shared" ref="E35:F37" si="163">E34/(1+P34)</f>
        <v>401.09836226341076</v>
      </c>
      <c r="F35" s="2898">
        <f t="shared" si="163"/>
        <v>225.04213343908003</v>
      </c>
      <c r="G35" s="4015"/>
      <c r="H35" s="2924">
        <v>3</v>
      </c>
      <c r="I35" s="2924">
        <v>1.86</v>
      </c>
      <c r="J35" s="2924">
        <v>1.72</v>
      </c>
      <c r="K35" s="2924">
        <v>1.98</v>
      </c>
      <c r="L35" s="2925">
        <v>0.88</v>
      </c>
      <c r="N35" s="2900">
        <f t="shared" si="155"/>
        <v>1.8600000000000002E-2</v>
      </c>
      <c r="O35" s="2918">
        <f t="shared" si="151"/>
        <v>1.72E-2</v>
      </c>
      <c r="P35" s="2918">
        <f t="shared" si="151"/>
        <v>1.9799999999999998E-2</v>
      </c>
      <c r="Q35" s="2918">
        <f t="shared" si="151"/>
        <v>8.8000000000000005E-3</v>
      </c>
      <c r="R35" s="2901"/>
      <c r="S35" s="2900"/>
      <c r="T35" s="2886"/>
      <c r="U35" s="2886"/>
      <c r="V35" s="2886"/>
    </row>
    <row r="36" spans="1:34">
      <c r="A36" s="2897" t="s">
        <v>2565</v>
      </c>
      <c r="B36" s="2898">
        <f t="shared" si="162"/>
        <v>288.2649053828776</v>
      </c>
      <c r="C36" s="2898">
        <f t="shared" si="162"/>
        <v>243.64564425013293</v>
      </c>
      <c r="D36" s="2898">
        <f t="shared" si="153"/>
        <v>243.64564425013293</v>
      </c>
      <c r="E36" s="2898">
        <f t="shared" si="163"/>
        <v>393.31080825986544</v>
      </c>
      <c r="F36" s="2898">
        <f t="shared" si="163"/>
        <v>223.07903790551154</v>
      </c>
      <c r="G36" s="4015"/>
      <c r="H36" s="2912">
        <v>2</v>
      </c>
      <c r="I36" s="2912">
        <v>2.04</v>
      </c>
      <c r="J36" s="2912">
        <v>2.33</v>
      </c>
      <c r="K36" s="2912">
        <v>2.0699999999999998</v>
      </c>
      <c r="L36" s="2913">
        <v>0.69</v>
      </c>
      <c r="N36" s="2900">
        <f t="shared" si="155"/>
        <v>2.0400000000000001E-2</v>
      </c>
      <c r="O36" s="2918">
        <f t="shared" si="151"/>
        <v>2.3300000000000001E-2</v>
      </c>
      <c r="P36" s="2918">
        <f t="shared" si="151"/>
        <v>2.07E-2</v>
      </c>
      <c r="Q36" s="2918">
        <f t="shared" si="151"/>
        <v>6.8999999999999999E-3</v>
      </c>
      <c r="R36" s="2901"/>
      <c r="S36" s="2900"/>
      <c r="T36" s="2886"/>
      <c r="U36" s="2886"/>
      <c r="V36" s="2886"/>
      <c r="X36" s="2944"/>
      <c r="Y36" s="2945"/>
    </row>
    <row r="37" spans="1:34">
      <c r="A37" s="2897" t="s">
        <v>2566</v>
      </c>
      <c r="B37" s="2898">
        <f t="shared" si="162"/>
        <v>282.50186729015837</v>
      </c>
      <c r="C37" s="2898">
        <f t="shared" si="162"/>
        <v>238.09796174155468</v>
      </c>
      <c r="D37" s="2898">
        <f t="shared" si="153"/>
        <v>238.09796174155468</v>
      </c>
      <c r="E37" s="2898">
        <f t="shared" si="163"/>
        <v>385.33438646014054</v>
      </c>
      <c r="F37" s="2898">
        <f t="shared" si="163"/>
        <v>221.55034055567739</v>
      </c>
      <c r="G37" s="4016"/>
      <c r="H37" s="2899">
        <v>1</v>
      </c>
      <c r="I37" s="2899">
        <v>1.67</v>
      </c>
      <c r="J37" s="2899">
        <v>1.31</v>
      </c>
      <c r="K37" s="2899">
        <v>1.85</v>
      </c>
      <c r="L37" s="2905">
        <v>0.96</v>
      </c>
      <c r="N37" s="2902">
        <f t="shared" si="155"/>
        <v>1.67E-2</v>
      </c>
      <c r="O37" s="2903">
        <f t="shared" si="151"/>
        <v>1.3100000000000001E-2</v>
      </c>
      <c r="P37" s="2903">
        <f t="shared" si="151"/>
        <v>1.8500000000000003E-2</v>
      </c>
      <c r="Q37" s="2903">
        <f t="shared" si="151"/>
        <v>9.5999999999999992E-3</v>
      </c>
      <c r="R37" s="2901"/>
      <c r="S37" s="2902">
        <f>B37/B38-1</f>
        <v>1.6193767230785472E-2</v>
      </c>
      <c r="T37" s="2903">
        <f>C37/C38-1</f>
        <v>1.7512657015190891E-2</v>
      </c>
      <c r="U37" s="2903">
        <f>E37/E38-1</f>
        <v>1.6713420739157048E-2</v>
      </c>
      <c r="V37" s="2903">
        <f>F37/F38-1</f>
        <v>7.0470025258062563E-3</v>
      </c>
      <c r="X37" s="2946"/>
      <c r="Y37" s="2886"/>
      <c r="Z37" s="2886"/>
    </row>
    <row r="38" spans="1:34" ht="13.5" thickBot="1">
      <c r="A38" s="2897" t="s">
        <v>2567</v>
      </c>
      <c r="B38" s="2947">
        <v>278</v>
      </c>
      <c r="C38" s="2947">
        <v>234</v>
      </c>
      <c r="D38" s="2947">
        <f t="shared" si="153"/>
        <v>234</v>
      </c>
      <c r="E38" s="2947">
        <v>379</v>
      </c>
      <c r="F38" s="2948">
        <v>220</v>
      </c>
      <c r="G38" s="4009">
        <v>2012</v>
      </c>
      <c r="H38" s="2921">
        <v>4</v>
      </c>
      <c r="I38" s="2921">
        <v>0.91</v>
      </c>
      <c r="J38" s="2921">
        <v>0.68</v>
      </c>
      <c r="K38" s="2921">
        <v>0.98</v>
      </c>
      <c r="L38" s="2922">
        <v>0.9</v>
      </c>
      <c r="N38" s="2900">
        <f t="shared" si="155"/>
        <v>9.1000000000000004E-3</v>
      </c>
      <c r="O38" s="2886">
        <f t="shared" si="155"/>
        <v>6.8000000000000005E-3</v>
      </c>
      <c r="P38" s="2886">
        <f t="shared" si="155"/>
        <v>9.7999999999999997E-3</v>
      </c>
      <c r="Q38" s="2886">
        <f t="shared" si="155"/>
        <v>9.0000000000000011E-3</v>
      </c>
      <c r="R38" s="2901"/>
      <c r="S38" s="2910"/>
      <c r="T38" s="2911"/>
      <c r="U38" s="2911"/>
      <c r="V38" s="2911"/>
      <c r="X38" s="2911"/>
      <c r="Y38" s="2911"/>
      <c r="Z38" s="2911"/>
    </row>
    <row r="39" spans="1:34">
      <c r="A39" s="2897" t="s">
        <v>2568</v>
      </c>
      <c r="B39" s="2898">
        <f>B38/(1+N38)</f>
        <v>275.49301357645425</v>
      </c>
      <c r="C39" s="2898">
        <f>C38/(1+O38)</f>
        <v>232.41954707985698</v>
      </c>
      <c r="D39" s="2898">
        <f t="shared" si="153"/>
        <v>232.41954707985698</v>
      </c>
      <c r="E39" s="2898">
        <f t="shared" ref="E39:F41" si="164">E38/(1+P38)</f>
        <v>375.32184591008121</v>
      </c>
      <c r="F39" s="2898">
        <f t="shared" si="164"/>
        <v>218.03766105054513</v>
      </c>
      <c r="G39" s="4007"/>
      <c r="H39" s="2924">
        <v>3</v>
      </c>
      <c r="I39" s="2924">
        <v>0.09</v>
      </c>
      <c r="J39" s="2924">
        <v>0.28999999999999998</v>
      </c>
      <c r="K39" s="2924">
        <v>-0.01</v>
      </c>
      <c r="L39" s="2925">
        <v>0.57999999999999996</v>
      </c>
      <c r="N39" s="2900">
        <f t="shared" si="155"/>
        <v>8.9999999999999998E-4</v>
      </c>
      <c r="O39" s="2886">
        <f t="shared" si="155"/>
        <v>2.8999999999999998E-3</v>
      </c>
      <c r="P39" s="2886">
        <f t="shared" si="155"/>
        <v>-1E-4</v>
      </c>
      <c r="Q39" s="2886">
        <f t="shared" si="155"/>
        <v>5.7999999999999996E-3</v>
      </c>
      <c r="R39" s="2901"/>
      <c r="S39" s="2900"/>
      <c r="T39" s="2886"/>
      <c r="U39" s="2886"/>
      <c r="V39" s="2886"/>
    </row>
    <row r="40" spans="1:34">
      <c r="A40" s="2897" t="s">
        <v>2569</v>
      </c>
      <c r="B40" s="2898">
        <f>B39/(1+N39)</f>
        <v>275.24529281292263</v>
      </c>
      <c r="C40" s="2898">
        <f>C39/(1+O39)</f>
        <v>231.74747938962707</v>
      </c>
      <c r="D40" s="2898">
        <f t="shared" si="153"/>
        <v>231.74747938962707</v>
      </c>
      <c r="E40" s="2898">
        <f t="shared" si="164"/>
        <v>375.35938184826603</v>
      </c>
      <c r="F40" s="2898">
        <f t="shared" si="164"/>
        <v>216.78033510692495</v>
      </c>
      <c r="G40" s="4007"/>
      <c r="H40" s="2912">
        <v>2</v>
      </c>
      <c r="I40" s="2912">
        <v>0.02</v>
      </c>
      <c r="J40" s="2912">
        <v>0.12</v>
      </c>
      <c r="K40" s="2912">
        <v>-0.08</v>
      </c>
      <c r="L40" s="2913">
        <v>1.24</v>
      </c>
      <c r="N40" s="2900">
        <f t="shared" si="155"/>
        <v>2.0000000000000001E-4</v>
      </c>
      <c r="O40" s="2886">
        <f t="shared" si="155"/>
        <v>1.1999999999999999E-3</v>
      </c>
      <c r="P40" s="2886">
        <f t="shared" si="155"/>
        <v>-8.0000000000000004E-4</v>
      </c>
      <c r="Q40" s="2886">
        <f t="shared" si="155"/>
        <v>1.24E-2</v>
      </c>
      <c r="R40" s="2901"/>
      <c r="S40" s="2900"/>
      <c r="T40" s="2886"/>
      <c r="U40" s="2886"/>
      <c r="V40" s="2886"/>
    </row>
    <row r="41" spans="1:34" ht="13.5" thickBot="1">
      <c r="A41" s="2897" t="s">
        <v>2570</v>
      </c>
      <c r="B41" s="2898">
        <f>B40/(1+N40)</f>
        <v>275.19025476197027</v>
      </c>
      <c r="C41" s="2949">
        <v>232</v>
      </c>
      <c r="D41" s="2949">
        <f t="shared" si="153"/>
        <v>232</v>
      </c>
      <c r="E41" s="2898">
        <f t="shared" si="164"/>
        <v>375.65990977608692</v>
      </c>
      <c r="F41" s="2898">
        <f t="shared" si="164"/>
        <v>214.12518283971252</v>
      </c>
      <c r="G41" s="4010"/>
      <c r="H41" s="2899">
        <v>1</v>
      </c>
      <c r="I41" s="2899">
        <v>0.02</v>
      </c>
      <c r="J41" s="2899">
        <v>0.13</v>
      </c>
      <c r="K41" s="2899">
        <v>-0.04</v>
      </c>
      <c r="L41" s="2905">
        <v>0.46</v>
      </c>
      <c r="N41" s="2900">
        <f t="shared" si="155"/>
        <v>2.0000000000000001E-4</v>
      </c>
      <c r="O41" s="2886">
        <f t="shared" si="155"/>
        <v>1.2999999999999999E-3</v>
      </c>
      <c r="P41" s="2886">
        <f t="shared" si="155"/>
        <v>-4.0000000000000002E-4</v>
      </c>
      <c r="Q41" s="2886">
        <f t="shared" si="155"/>
        <v>4.5999999999999999E-3</v>
      </c>
      <c r="R41" s="2901"/>
      <c r="S41" s="2902">
        <f>B41/B42-1</f>
        <v>6.9183549807361189E-4</v>
      </c>
      <c r="T41" s="2903">
        <f>C41/C42-1</f>
        <v>0</v>
      </c>
      <c r="U41" s="2903">
        <f>E41/E42-1</f>
        <v>-9.0449527636460303E-4</v>
      </c>
      <c r="V41" s="2903">
        <f>F41/F42-1</f>
        <v>5.2825485432512753E-3</v>
      </c>
      <c r="X41" s="2886"/>
      <c r="Y41" s="2886"/>
      <c r="Z41" s="2886"/>
    </row>
    <row r="42" spans="1:34" ht="13.5" thickBot="1">
      <c r="A42" s="2897" t="s">
        <v>2571</v>
      </c>
      <c r="B42" s="2919">
        <v>275</v>
      </c>
      <c r="C42" s="2919">
        <v>232</v>
      </c>
      <c r="D42" s="2919">
        <f t="shared" si="153"/>
        <v>232</v>
      </c>
      <c r="E42" s="2919">
        <v>376</v>
      </c>
      <c r="F42" s="2920">
        <v>213</v>
      </c>
      <c r="G42" s="4009">
        <v>2011</v>
      </c>
      <c r="H42" s="2921">
        <v>4</v>
      </c>
      <c r="I42" s="2921">
        <v>-0.2</v>
      </c>
      <c r="J42" s="2921">
        <v>0.04</v>
      </c>
      <c r="K42" s="2921">
        <v>-0.34</v>
      </c>
      <c r="L42" s="2922">
        <v>0.46</v>
      </c>
      <c r="N42" s="2916">
        <f t="shared" si="155"/>
        <v>-2E-3</v>
      </c>
      <c r="O42" s="2917">
        <f t="shared" si="155"/>
        <v>4.0000000000000002E-4</v>
      </c>
      <c r="P42" s="2917">
        <f t="shared" si="155"/>
        <v>-3.4000000000000002E-3</v>
      </c>
      <c r="Q42" s="2917">
        <f t="shared" si="155"/>
        <v>4.5999999999999999E-3</v>
      </c>
      <c r="R42" s="2901"/>
      <c r="S42" s="2910"/>
      <c r="T42" s="2911"/>
      <c r="U42" s="2911"/>
      <c r="V42" s="2911"/>
      <c r="X42" s="2911"/>
      <c r="Y42" s="2911"/>
      <c r="Z42" s="2911"/>
    </row>
    <row r="43" spans="1:34">
      <c r="A43" s="2897" t="s">
        <v>2572</v>
      </c>
      <c r="B43" s="2898">
        <f t="shared" ref="B43:C45" si="165">B42/(1+N42)</f>
        <v>275.55110220440883</v>
      </c>
      <c r="C43" s="2898">
        <f t="shared" si="165"/>
        <v>231.90723710515795</v>
      </c>
      <c r="D43" s="2898">
        <f t="shared" si="153"/>
        <v>231.90723710515795</v>
      </c>
      <c r="E43" s="2898">
        <f t="shared" ref="E43:F45" si="166">E42/(1+P42)</f>
        <v>377.28276138872161</v>
      </c>
      <c r="F43" s="2898">
        <f t="shared" si="166"/>
        <v>212.02468644236512</v>
      </c>
      <c r="G43" s="4007">
        <v>2011</v>
      </c>
      <c r="H43" s="2924">
        <v>3</v>
      </c>
      <c r="I43" s="2924">
        <v>0.13</v>
      </c>
      <c r="J43" s="2924">
        <v>0.75</v>
      </c>
      <c r="K43" s="2924">
        <v>-0.08</v>
      </c>
      <c r="L43" s="2925">
        <v>0.53</v>
      </c>
      <c r="N43" s="2900">
        <f t="shared" si="155"/>
        <v>1.2999999999999999E-3</v>
      </c>
      <c r="O43" s="2918">
        <f t="shared" si="155"/>
        <v>7.4999999999999997E-3</v>
      </c>
      <c r="P43" s="2918">
        <f t="shared" si="155"/>
        <v>-8.0000000000000004E-4</v>
      </c>
      <c r="Q43" s="2918">
        <f t="shared" si="155"/>
        <v>5.3E-3</v>
      </c>
      <c r="R43" s="2901"/>
      <c r="S43" s="2900"/>
      <c r="T43" s="2886"/>
      <c r="U43" s="2886"/>
      <c r="V43" s="2886"/>
    </row>
    <row r="44" spans="1:34">
      <c r="A44" s="2897" t="s">
        <v>2573</v>
      </c>
      <c r="B44" s="2898">
        <f t="shared" si="165"/>
        <v>275.19335084830601</v>
      </c>
      <c r="C44" s="2898">
        <f t="shared" si="165"/>
        <v>230.18088050139744</v>
      </c>
      <c r="D44" s="2898">
        <f t="shared" si="153"/>
        <v>230.18088050139744</v>
      </c>
      <c r="E44" s="2898">
        <f t="shared" si="166"/>
        <v>377.58482925212331</v>
      </c>
      <c r="F44" s="2898">
        <f t="shared" si="166"/>
        <v>210.90687997847917</v>
      </c>
      <c r="G44" s="4007">
        <v>2011</v>
      </c>
      <c r="H44" s="2912">
        <v>2</v>
      </c>
      <c r="I44" s="2912">
        <v>-0.4</v>
      </c>
      <c r="J44" s="2912">
        <v>0.17</v>
      </c>
      <c r="K44" s="2912">
        <v>-0.57999999999999996</v>
      </c>
      <c r="L44" s="2913">
        <v>-0.2</v>
      </c>
      <c r="N44" s="2900">
        <f t="shared" si="155"/>
        <v>-4.0000000000000001E-3</v>
      </c>
      <c r="O44" s="2918">
        <f t="shared" si="155"/>
        <v>1.7000000000000001E-3</v>
      </c>
      <c r="P44" s="2918">
        <f t="shared" si="155"/>
        <v>-5.7999999999999996E-3</v>
      </c>
      <c r="Q44" s="2918">
        <f t="shared" si="155"/>
        <v>-2E-3</v>
      </c>
      <c r="R44" s="2901"/>
      <c r="S44" s="2900"/>
      <c r="T44" s="2886"/>
      <c r="U44" s="2886"/>
      <c r="V44" s="2886"/>
    </row>
    <row r="45" spans="1:34" ht="13.5" thickBot="1">
      <c r="A45" s="2897" t="s">
        <v>2574</v>
      </c>
      <c r="B45" s="2898">
        <f t="shared" si="165"/>
        <v>276.29854502841971</v>
      </c>
      <c r="C45" s="2898">
        <f t="shared" si="165"/>
        <v>229.79023709833027</v>
      </c>
      <c r="D45" s="2898">
        <f t="shared" si="153"/>
        <v>229.79023709833027</v>
      </c>
      <c r="E45" s="2898">
        <f t="shared" si="166"/>
        <v>379.78759731655936</v>
      </c>
      <c r="F45" s="2898">
        <f t="shared" si="166"/>
        <v>211.32953905659235</v>
      </c>
      <c r="G45" s="4010">
        <v>2011</v>
      </c>
      <c r="H45" s="2899">
        <v>1</v>
      </c>
      <c r="I45" s="2899">
        <v>2.65</v>
      </c>
      <c r="J45" s="2899">
        <v>3.76</v>
      </c>
      <c r="K45" s="2899">
        <v>1.89</v>
      </c>
      <c r="L45" s="2905">
        <v>7.95</v>
      </c>
      <c r="N45" s="2902">
        <f t="shared" si="155"/>
        <v>2.6499999999999999E-2</v>
      </c>
      <c r="O45" s="2903">
        <f t="shared" si="155"/>
        <v>3.7599999999999995E-2</v>
      </c>
      <c r="P45" s="2903">
        <f t="shared" si="155"/>
        <v>1.89E-2</v>
      </c>
      <c r="Q45" s="2903">
        <f t="shared" si="155"/>
        <v>7.9500000000000001E-2</v>
      </c>
      <c r="R45" s="2901"/>
      <c r="S45" s="2902">
        <f>B45/B46-1</f>
        <v>2.713213765211786E-2</v>
      </c>
      <c r="T45" s="2903">
        <f>C45/C46-1</f>
        <v>3.9774828499231862E-2</v>
      </c>
      <c r="U45" s="2903">
        <f>E45/E46-1</f>
        <v>1.8197311840641772E-2</v>
      </c>
      <c r="V45" s="2903">
        <f>F45/F46-1</f>
        <v>7.8211933962205826E-2</v>
      </c>
      <c r="X45" s="2886"/>
      <c r="Y45" s="2886"/>
      <c r="Z45" s="2886"/>
    </row>
    <row r="46" spans="1:34" ht="13.5" thickBot="1">
      <c r="A46" s="2897" t="s">
        <v>2575</v>
      </c>
      <c r="B46" s="2919">
        <v>269</v>
      </c>
      <c r="C46" s="2919">
        <v>221</v>
      </c>
      <c r="D46" s="2919">
        <f t="shared" si="153"/>
        <v>221</v>
      </c>
      <c r="E46" s="2919">
        <v>373</v>
      </c>
      <c r="F46" s="2920">
        <v>196</v>
      </c>
      <c r="G46" s="4009">
        <v>2010</v>
      </c>
      <c r="H46" s="2921">
        <v>4</v>
      </c>
      <c r="I46" s="2921">
        <v>5.72</v>
      </c>
      <c r="J46" s="2921">
        <v>6.57</v>
      </c>
      <c r="K46" s="2921">
        <v>5.72</v>
      </c>
      <c r="L46" s="2922">
        <v>2.72</v>
      </c>
      <c r="N46" s="2900">
        <f t="shared" si="155"/>
        <v>5.7200000000000001E-2</v>
      </c>
      <c r="O46" s="2886">
        <f t="shared" si="155"/>
        <v>6.5700000000000008E-2</v>
      </c>
      <c r="P46" s="2886">
        <f t="shared" si="155"/>
        <v>5.7200000000000001E-2</v>
      </c>
      <c r="Q46" s="2886">
        <f t="shared" si="155"/>
        <v>2.7200000000000002E-2</v>
      </c>
      <c r="R46" s="2901"/>
      <c r="S46" s="2910"/>
      <c r="T46" s="2911"/>
      <c r="U46" s="2911"/>
      <c r="V46" s="2911"/>
      <c r="X46" s="2911"/>
      <c r="Y46" s="2911"/>
      <c r="Z46" s="2911"/>
    </row>
    <row r="47" spans="1:34">
      <c r="A47" s="2897" t="s">
        <v>2576</v>
      </c>
      <c r="B47" s="2898">
        <f t="shared" ref="B47:C49" si="167">B46/(1+N46)</f>
        <v>254.44570563753314</v>
      </c>
      <c r="C47" s="2898">
        <f t="shared" si="167"/>
        <v>207.37543398705074</v>
      </c>
      <c r="D47" s="2898">
        <f t="shared" si="153"/>
        <v>207.37543398705074</v>
      </c>
      <c r="E47" s="2898">
        <f t="shared" ref="E47:F49" si="168">E46/(1+P46)</f>
        <v>352.81876655315932</v>
      </c>
      <c r="F47" s="2898">
        <f t="shared" si="168"/>
        <v>190.809968847352</v>
      </c>
      <c r="G47" s="4007">
        <v>2010</v>
      </c>
      <c r="H47" s="2924">
        <v>3</v>
      </c>
      <c r="I47" s="2924">
        <v>4.7300000000000004</v>
      </c>
      <c r="J47" s="2924">
        <v>3.9</v>
      </c>
      <c r="K47" s="2924">
        <v>5.03</v>
      </c>
      <c r="L47" s="2925">
        <v>4.21</v>
      </c>
      <c r="N47" s="2900">
        <f t="shared" si="155"/>
        <v>4.7300000000000002E-2</v>
      </c>
      <c r="O47" s="2886">
        <f t="shared" si="155"/>
        <v>3.9E-2</v>
      </c>
      <c r="P47" s="2886">
        <f t="shared" si="155"/>
        <v>5.0300000000000004E-2</v>
      </c>
      <c r="Q47" s="2886">
        <f t="shared" si="155"/>
        <v>4.2099999999999999E-2</v>
      </c>
      <c r="R47" s="2901"/>
      <c r="S47" s="2900"/>
      <c r="T47" s="2886"/>
      <c r="U47" s="2886"/>
      <c r="V47" s="2886"/>
    </row>
    <row r="48" spans="1:34">
      <c r="A48" s="2897" t="s">
        <v>2577</v>
      </c>
      <c r="B48" s="2898">
        <f t="shared" si="167"/>
        <v>242.95398227588385</v>
      </c>
      <c r="C48" s="2898">
        <f t="shared" si="167"/>
        <v>199.59137053614126</v>
      </c>
      <c r="D48" s="2898">
        <f t="shared" si="153"/>
        <v>199.59137053614126</v>
      </c>
      <c r="E48" s="2898">
        <f t="shared" si="168"/>
        <v>335.92189522342125</v>
      </c>
      <c r="F48" s="2898">
        <f t="shared" si="168"/>
        <v>183.10139991109489</v>
      </c>
      <c r="G48" s="4007">
        <v>2010</v>
      </c>
      <c r="H48" s="2912">
        <v>2</v>
      </c>
      <c r="I48" s="2912">
        <v>4.6900000000000004</v>
      </c>
      <c r="J48" s="2912">
        <v>3.55</v>
      </c>
      <c r="K48" s="2912">
        <v>5.07</v>
      </c>
      <c r="L48" s="2913">
        <v>4.2300000000000004</v>
      </c>
      <c r="N48" s="2900">
        <f t="shared" si="155"/>
        <v>4.6900000000000004E-2</v>
      </c>
      <c r="O48" s="2886">
        <f t="shared" si="155"/>
        <v>3.5499999999999997E-2</v>
      </c>
      <c r="P48" s="2886">
        <f t="shared" si="155"/>
        <v>5.0700000000000002E-2</v>
      </c>
      <c r="Q48" s="2886">
        <f t="shared" si="155"/>
        <v>4.2300000000000004E-2</v>
      </c>
      <c r="R48" s="2901"/>
      <c r="S48" s="2900"/>
      <c r="T48" s="2886"/>
      <c r="U48" s="2886"/>
      <c r="V48" s="2886"/>
    </row>
    <row r="49" spans="1:26" ht="13.5" thickBot="1">
      <c r="A49" s="2897" t="s">
        <v>2578</v>
      </c>
      <c r="B49" s="2898">
        <f t="shared" si="167"/>
        <v>232.06990378821649</v>
      </c>
      <c r="C49" s="2898">
        <f t="shared" si="167"/>
        <v>192.74878854286936</v>
      </c>
      <c r="D49" s="2898">
        <f t="shared" si="153"/>
        <v>192.74878854286936</v>
      </c>
      <c r="E49" s="2898">
        <f t="shared" si="168"/>
        <v>319.71247284992984</v>
      </c>
      <c r="F49" s="2898">
        <f t="shared" si="168"/>
        <v>175.67053622862409</v>
      </c>
      <c r="G49" s="4010">
        <v>2010</v>
      </c>
      <c r="H49" s="2899">
        <v>1</v>
      </c>
      <c r="I49" s="2899">
        <v>5.4</v>
      </c>
      <c r="J49" s="2899">
        <v>3.2</v>
      </c>
      <c r="K49" s="2899">
        <v>6.16</v>
      </c>
      <c r="L49" s="2905">
        <v>4.51</v>
      </c>
      <c r="N49" s="2900">
        <f t="shared" si="155"/>
        <v>5.4000000000000006E-2</v>
      </c>
      <c r="O49" s="2886">
        <f t="shared" si="155"/>
        <v>3.2000000000000001E-2</v>
      </c>
      <c r="P49" s="2886">
        <f t="shared" si="155"/>
        <v>6.1600000000000002E-2</v>
      </c>
      <c r="Q49" s="2886">
        <f t="shared" si="155"/>
        <v>4.5100000000000001E-2</v>
      </c>
      <c r="R49" s="2901"/>
      <c r="S49" s="2902">
        <f>B49/B50-1</f>
        <v>5.4863199037347599E-2</v>
      </c>
      <c r="T49" s="2903">
        <f>C49/C50-1</f>
        <v>3.0742184721226584E-2</v>
      </c>
      <c r="U49" s="2903">
        <f>E49/E50-1</f>
        <v>6.2167683886810154E-2</v>
      </c>
      <c r="V49" s="2903">
        <f>F49/F50-1</f>
        <v>4.5657953741810031E-2</v>
      </c>
      <c r="X49" s="2886"/>
      <c r="Y49" s="2886"/>
      <c r="Z49" s="2886"/>
    </row>
    <row r="50" spans="1:26" ht="13.5" thickBot="1">
      <c r="A50" s="2897" t="s">
        <v>2579</v>
      </c>
      <c r="B50" s="2919">
        <v>220</v>
      </c>
      <c r="C50" s="2919">
        <v>187</v>
      </c>
      <c r="D50" s="2919">
        <f t="shared" si="153"/>
        <v>187</v>
      </c>
      <c r="E50" s="2919">
        <v>301</v>
      </c>
      <c r="F50" s="2920">
        <v>168</v>
      </c>
      <c r="G50" s="4009">
        <v>2009</v>
      </c>
      <c r="H50" s="2921">
        <v>4</v>
      </c>
      <c r="I50" s="2921">
        <v>2.2999999999999998</v>
      </c>
      <c r="J50" s="2921">
        <v>1.04</v>
      </c>
      <c r="K50" s="2921">
        <v>2.84</v>
      </c>
      <c r="L50" s="2922">
        <v>0.67</v>
      </c>
      <c r="N50" s="2916">
        <f t="shared" si="155"/>
        <v>2.3E-2</v>
      </c>
      <c r="O50" s="2917">
        <f t="shared" si="155"/>
        <v>1.04E-2</v>
      </c>
      <c r="P50" s="2917">
        <f t="shared" si="155"/>
        <v>2.8399999999999998E-2</v>
      </c>
      <c r="Q50" s="2917">
        <f t="shared" si="155"/>
        <v>6.7000000000000002E-3</v>
      </c>
      <c r="R50" s="2901"/>
      <c r="S50" s="2910"/>
      <c r="T50" s="2911"/>
      <c r="U50" s="2911"/>
      <c r="V50" s="2911"/>
      <c r="X50" s="2911"/>
      <c r="Y50" s="2911"/>
      <c r="Z50" s="2911"/>
    </row>
    <row r="51" spans="1:26">
      <c r="A51" s="2897" t="s">
        <v>2580</v>
      </c>
      <c r="B51" s="2898">
        <f t="shared" ref="B51:C53" si="169">B50/(1+N50)</f>
        <v>215.05376344086022</v>
      </c>
      <c r="C51" s="2898">
        <f t="shared" si="169"/>
        <v>185.0752177355503</v>
      </c>
      <c r="D51" s="2898">
        <f t="shared" si="153"/>
        <v>185.0752177355503</v>
      </c>
      <c r="E51" s="2898">
        <f t="shared" ref="E51:F53" si="170">E50/(1+P50)</f>
        <v>292.68767016725008</v>
      </c>
      <c r="F51" s="2898">
        <f t="shared" si="170"/>
        <v>166.88189132810174</v>
      </c>
      <c r="G51" s="4007">
        <v>2009</v>
      </c>
      <c r="H51" s="2924">
        <v>3</v>
      </c>
      <c r="I51" s="2924">
        <v>2.1</v>
      </c>
      <c r="J51" s="2924">
        <v>1.86</v>
      </c>
      <c r="K51" s="2924">
        <v>2.29</v>
      </c>
      <c r="L51" s="2925">
        <v>0.85</v>
      </c>
      <c r="N51" s="2900">
        <f t="shared" si="155"/>
        <v>2.1000000000000001E-2</v>
      </c>
      <c r="O51" s="2918">
        <f t="shared" si="155"/>
        <v>1.8600000000000002E-2</v>
      </c>
      <c r="P51" s="2918">
        <f t="shared" si="155"/>
        <v>2.29E-2</v>
      </c>
      <c r="Q51" s="2918">
        <f t="shared" si="155"/>
        <v>8.5000000000000006E-3</v>
      </c>
      <c r="R51" s="2901"/>
      <c r="S51" s="2900"/>
      <c r="T51" s="2886"/>
      <c r="U51" s="2886"/>
      <c r="V51" s="2886"/>
    </row>
    <row r="52" spans="1:26">
      <c r="A52" s="2897" t="s">
        <v>2581</v>
      </c>
      <c r="B52" s="2898">
        <f t="shared" si="169"/>
        <v>210.630522469011</v>
      </c>
      <c r="C52" s="2898">
        <f t="shared" si="169"/>
        <v>181.69567812247232</v>
      </c>
      <c r="D52" s="2898">
        <f t="shared" si="153"/>
        <v>181.69567812247232</v>
      </c>
      <c r="E52" s="2898">
        <f t="shared" si="170"/>
        <v>286.13517466736738</v>
      </c>
      <c r="F52" s="2898">
        <f t="shared" si="170"/>
        <v>165.47535084591149</v>
      </c>
      <c r="G52" s="4007">
        <v>2009</v>
      </c>
      <c r="H52" s="2912">
        <v>2</v>
      </c>
      <c r="I52" s="2912">
        <v>0.86</v>
      </c>
      <c r="J52" s="2912">
        <v>-1.1299999999999999</v>
      </c>
      <c r="K52" s="2912">
        <v>1.79</v>
      </c>
      <c r="L52" s="2913">
        <v>-2.0699999999999998</v>
      </c>
      <c r="N52" s="2900">
        <f t="shared" si="155"/>
        <v>8.6E-3</v>
      </c>
      <c r="O52" s="2918">
        <f t="shared" si="155"/>
        <v>-1.1299999999999999E-2</v>
      </c>
      <c r="P52" s="2918">
        <f t="shared" si="155"/>
        <v>1.7899999999999999E-2</v>
      </c>
      <c r="Q52" s="2918">
        <f t="shared" si="155"/>
        <v>-2.07E-2</v>
      </c>
      <c r="R52" s="2901"/>
      <c r="S52" s="2900"/>
      <c r="T52" s="2886"/>
      <c r="U52" s="2886"/>
      <c r="V52" s="2886"/>
    </row>
    <row r="53" spans="1:26">
      <c r="A53" s="2897" t="s">
        <v>2582</v>
      </c>
      <c r="B53" s="2898">
        <f t="shared" si="169"/>
        <v>208.83454537875372</v>
      </c>
      <c r="C53" s="2898">
        <f t="shared" si="169"/>
        <v>183.77230517090351</v>
      </c>
      <c r="D53" s="2898">
        <f t="shared" si="153"/>
        <v>183.77230517090351</v>
      </c>
      <c r="E53" s="2898">
        <f t="shared" si="170"/>
        <v>281.10342338870947</v>
      </c>
      <c r="F53" s="2898">
        <f t="shared" si="170"/>
        <v>168.97309388942256</v>
      </c>
      <c r="G53" s="4010">
        <v>2009</v>
      </c>
      <c r="H53" s="2899">
        <v>1</v>
      </c>
      <c r="I53" s="2899">
        <v>-2.64</v>
      </c>
      <c r="J53" s="2899">
        <v>-2.5299999999999998</v>
      </c>
      <c r="K53" s="2899">
        <v>-3.02</v>
      </c>
      <c r="L53" s="2905">
        <v>1.52</v>
      </c>
      <c r="N53" s="2902">
        <f t="shared" si="155"/>
        <v>-2.64E-2</v>
      </c>
      <c r="O53" s="2903">
        <f t="shared" si="155"/>
        <v>-2.53E-2</v>
      </c>
      <c r="P53" s="2903">
        <f t="shared" si="155"/>
        <v>-3.0200000000000001E-2</v>
      </c>
      <c r="Q53" s="2903">
        <f t="shared" si="155"/>
        <v>1.52E-2</v>
      </c>
      <c r="R53" s="2901"/>
      <c r="S53" s="2902">
        <f>B53/B54-1</f>
        <v>-2.4137638417038754E-2</v>
      </c>
      <c r="T53" s="2903">
        <f>C53/C54-1</f>
        <v>-2.248773845264096E-2</v>
      </c>
      <c r="U53" s="2903">
        <f>E53/E54-1</f>
        <v>-2.7323794502735366E-2</v>
      </c>
      <c r="V53" s="2903">
        <f>F53/F54-1</f>
        <v>1.7910204153148035E-2</v>
      </c>
      <c r="X53" s="2886"/>
      <c r="Y53" s="2886"/>
      <c r="Z53" s="2886"/>
    </row>
    <row r="54" spans="1:26" ht="13.5" thickBot="1">
      <c r="A54" s="2897" t="s">
        <v>2583</v>
      </c>
      <c r="B54" s="2947">
        <v>214</v>
      </c>
      <c r="C54" s="2947">
        <v>188</v>
      </c>
      <c r="D54" s="2947">
        <f t="shared" si="153"/>
        <v>188</v>
      </c>
      <c r="E54" s="2947">
        <v>289</v>
      </c>
      <c r="F54" s="2948">
        <v>166</v>
      </c>
      <c r="G54" s="4009">
        <v>2008</v>
      </c>
      <c r="H54" s="2921">
        <v>4</v>
      </c>
      <c r="I54" s="2921">
        <v>1.73</v>
      </c>
      <c r="J54" s="2921">
        <v>0.03</v>
      </c>
      <c r="K54" s="2921">
        <v>2.59</v>
      </c>
      <c r="L54" s="2922">
        <v>-1.66</v>
      </c>
      <c r="N54" s="2900">
        <f t="shared" si="155"/>
        <v>1.7299999999999999E-2</v>
      </c>
      <c r="O54" s="2886">
        <f t="shared" si="155"/>
        <v>2.9999999999999997E-4</v>
      </c>
      <c r="P54" s="2886">
        <f t="shared" si="155"/>
        <v>2.5899999999999999E-2</v>
      </c>
      <c r="Q54" s="2886">
        <f t="shared" si="155"/>
        <v>-1.66E-2</v>
      </c>
      <c r="R54" s="2901"/>
      <c r="S54" s="2910"/>
      <c r="T54" s="2911"/>
      <c r="U54" s="2911"/>
      <c r="V54" s="2911"/>
      <c r="X54" s="2911"/>
      <c r="Y54" s="2911"/>
      <c r="Z54" s="2911"/>
    </row>
    <row r="55" spans="1:26">
      <c r="A55" s="2897" t="s">
        <v>2584</v>
      </c>
      <c r="B55" s="2898">
        <f t="shared" ref="B55:C57" si="171">B54/(1+N54)</f>
        <v>210.36075887152265</v>
      </c>
      <c r="C55" s="2898">
        <f t="shared" si="171"/>
        <v>187.94361691492554</v>
      </c>
      <c r="D55" s="2898">
        <f t="shared" si="153"/>
        <v>187.94361691492554</v>
      </c>
      <c r="E55" s="2898">
        <f t="shared" ref="E55:F57" si="172">E54/(1+P54)</f>
        <v>281.70386977288234</v>
      </c>
      <c r="F55" s="2898">
        <f t="shared" si="172"/>
        <v>168.80211511083994</v>
      </c>
      <c r="G55" s="4007">
        <v>2008</v>
      </c>
      <c r="H55" s="2924">
        <v>3</v>
      </c>
      <c r="I55" s="2924">
        <v>1.96</v>
      </c>
      <c r="J55" s="2924">
        <v>2.36</v>
      </c>
      <c r="K55" s="2924">
        <v>1.82</v>
      </c>
      <c r="L55" s="2925">
        <v>2.2200000000000002</v>
      </c>
      <c r="N55" s="2900">
        <f t="shared" si="155"/>
        <v>1.9599999999999999E-2</v>
      </c>
      <c r="O55" s="2886">
        <f t="shared" si="155"/>
        <v>2.3599999999999999E-2</v>
      </c>
      <c r="P55" s="2886">
        <f t="shared" si="155"/>
        <v>1.8200000000000001E-2</v>
      </c>
      <c r="Q55" s="2886">
        <f t="shared" si="155"/>
        <v>2.2200000000000001E-2</v>
      </c>
      <c r="R55" s="2901"/>
      <c r="S55" s="2900"/>
      <c r="T55" s="2886"/>
      <c r="U55" s="2886"/>
      <c r="V55" s="2886"/>
    </row>
    <row r="56" spans="1:26">
      <c r="A56" s="2897" t="s">
        <v>2585</v>
      </c>
      <c r="B56" s="2898">
        <f t="shared" si="171"/>
        <v>206.31694671589116</v>
      </c>
      <c r="C56" s="2898">
        <f t="shared" si="171"/>
        <v>183.61041121036101</v>
      </c>
      <c r="D56" s="2898">
        <f t="shared" si="153"/>
        <v>183.61041121036101</v>
      </c>
      <c r="E56" s="2898">
        <f t="shared" si="172"/>
        <v>276.66850301795557</v>
      </c>
      <c r="F56" s="2898">
        <f t="shared" si="172"/>
        <v>165.1360938278614</v>
      </c>
      <c r="G56" s="4007">
        <v>2008</v>
      </c>
      <c r="H56" s="2912">
        <v>2</v>
      </c>
      <c r="I56" s="2912">
        <v>4.93</v>
      </c>
      <c r="J56" s="2912">
        <v>7.38</v>
      </c>
      <c r="K56" s="2912">
        <v>3.98</v>
      </c>
      <c r="L56" s="2913">
        <v>6.86</v>
      </c>
      <c r="N56" s="2900">
        <f t="shared" si="155"/>
        <v>4.9299999999999997E-2</v>
      </c>
      <c r="O56" s="2886">
        <f t="shared" si="155"/>
        <v>7.3800000000000004E-2</v>
      </c>
      <c r="P56" s="2886">
        <f t="shared" si="155"/>
        <v>3.9800000000000002E-2</v>
      </c>
      <c r="Q56" s="2886">
        <f t="shared" si="155"/>
        <v>6.8600000000000008E-2</v>
      </c>
      <c r="R56" s="2901"/>
      <c r="S56" s="2900"/>
      <c r="T56" s="2886"/>
      <c r="U56" s="2886"/>
      <c r="V56" s="2886"/>
    </row>
    <row r="57" spans="1:26" s="2953" customFormat="1" ht="13.5" thickBot="1">
      <c r="A57" s="2897" t="s">
        <v>2586</v>
      </c>
      <c r="B57" s="2950">
        <f t="shared" si="171"/>
        <v>196.62341248059772</v>
      </c>
      <c r="C57" s="2950">
        <f t="shared" si="171"/>
        <v>170.99125648199012</v>
      </c>
      <c r="D57" s="2950">
        <f t="shared" si="153"/>
        <v>170.99125648199012</v>
      </c>
      <c r="E57" s="2950">
        <f t="shared" si="172"/>
        <v>266.07857570490052</v>
      </c>
      <c r="F57" s="2950">
        <f t="shared" si="172"/>
        <v>154.53499328828505</v>
      </c>
      <c r="G57" s="4010">
        <v>2008</v>
      </c>
      <c r="H57" s="2951">
        <v>1</v>
      </c>
      <c r="I57" s="2951">
        <v>4.1399999999999997</v>
      </c>
      <c r="J57" s="2951">
        <v>3.45</v>
      </c>
      <c r="K57" s="2951">
        <v>4.95</v>
      </c>
      <c r="L57" s="2952">
        <v>4.82</v>
      </c>
      <c r="N57" s="2954">
        <f t="shared" si="155"/>
        <v>4.1399999999999999E-2</v>
      </c>
      <c r="O57" s="2955">
        <f t="shared" si="155"/>
        <v>3.4500000000000003E-2</v>
      </c>
      <c r="P57" s="2955">
        <f t="shared" si="155"/>
        <v>4.9500000000000002E-2</v>
      </c>
      <c r="Q57" s="2955">
        <f t="shared" si="155"/>
        <v>4.82E-2</v>
      </c>
      <c r="R57" s="2956"/>
      <c r="S57" s="2954">
        <f>B57/B58-1</f>
        <v>4.5869215322328349E-2</v>
      </c>
      <c r="T57" s="2955">
        <f>C57/C58-1</f>
        <v>3.6310645345394743E-2</v>
      </c>
      <c r="U57" s="2955">
        <f>E57/E58-1</f>
        <v>4.7553447657088688E-2</v>
      </c>
      <c r="V57" s="2955">
        <f>F57/F58-1</f>
        <v>4.4155360055980086E-2</v>
      </c>
      <c r="X57" s="2955"/>
      <c r="Y57" s="2955"/>
      <c r="Z57" s="2955"/>
    </row>
    <row r="58" spans="1:26" ht="13.5" thickBot="1">
      <c r="A58" s="2897" t="s">
        <v>2587</v>
      </c>
      <c r="B58" s="2919">
        <v>188</v>
      </c>
      <c r="C58" s="2919">
        <v>165</v>
      </c>
      <c r="D58" s="2919">
        <f t="shared" si="153"/>
        <v>165</v>
      </c>
      <c r="E58" s="2919">
        <v>254</v>
      </c>
      <c r="F58" s="2920">
        <v>148</v>
      </c>
      <c r="G58" s="4009">
        <v>2007</v>
      </c>
      <c r="H58" s="2957">
        <v>4</v>
      </c>
      <c r="I58" s="2957">
        <v>5.51</v>
      </c>
      <c r="J58" s="2957">
        <v>4.8899999999999997</v>
      </c>
      <c r="K58" s="2957">
        <v>6.43</v>
      </c>
      <c r="L58" s="2958">
        <v>5.36</v>
      </c>
      <c r="N58" s="2959">
        <f t="shared" ref="N58:O61" si="173">B58/B59-1</f>
        <v>4.1339718365245526E-2</v>
      </c>
      <c r="O58" s="2960">
        <f t="shared" si="173"/>
        <v>4.0324492593776018E-2</v>
      </c>
      <c r="P58" s="2960">
        <f t="shared" ref="P58:Q61" si="174">E58/E59-1</f>
        <v>6.1625555347990968E-2</v>
      </c>
      <c r="Q58" s="2960">
        <f t="shared" si="174"/>
        <v>4.6757569250590603E-2</v>
      </c>
      <c r="R58" s="2901"/>
      <c r="S58" s="2910"/>
      <c r="T58" s="2911"/>
      <c r="U58" s="2911"/>
      <c r="V58" s="2911"/>
      <c r="X58" s="2911"/>
      <c r="Y58" s="2911"/>
      <c r="Z58" s="2911"/>
    </row>
    <row r="59" spans="1:26">
      <c r="A59" s="2897" t="s">
        <v>2588</v>
      </c>
      <c r="B59" s="2898">
        <f t="shared" ref="B59:C61" si="175">B60+(B$58-B$62)*I59/SUM(I$58:I$61)</f>
        <v>180.5366651097618</v>
      </c>
      <c r="C59" s="2898">
        <f t="shared" si="175"/>
        <v>158.60435967302453</v>
      </c>
      <c r="D59" s="2898">
        <f t="shared" si="153"/>
        <v>158.60435967302453</v>
      </c>
      <c r="E59" s="2898">
        <f t="shared" ref="E59:F61" si="176">E60+(E$58-E$62)*K59/SUM(K$58:K$61)</f>
        <v>239.25573260785075</v>
      </c>
      <c r="F59" s="2898">
        <f t="shared" si="176"/>
        <v>141.38899430740037</v>
      </c>
      <c r="G59" s="4007">
        <v>2007</v>
      </c>
      <c r="H59" s="2924">
        <v>3</v>
      </c>
      <c r="I59" s="2924">
        <v>8.65</v>
      </c>
      <c r="J59" s="2924">
        <v>8.06</v>
      </c>
      <c r="K59" s="2924">
        <v>9.94</v>
      </c>
      <c r="L59" s="2925">
        <v>5.8</v>
      </c>
      <c r="N59" s="2959">
        <f t="shared" si="173"/>
        <v>6.940217571740015E-2</v>
      </c>
      <c r="O59" s="2960">
        <f t="shared" si="173"/>
        <v>7.1197482471153428E-2</v>
      </c>
      <c r="P59" s="2960">
        <f t="shared" si="174"/>
        <v>0.10529679922579582</v>
      </c>
      <c r="Q59" s="2960">
        <f t="shared" si="174"/>
        <v>5.3292245059512133E-2</v>
      </c>
      <c r="R59" s="2901"/>
      <c r="S59" s="2900"/>
      <c r="T59" s="2886"/>
      <c r="U59" s="2886"/>
      <c r="V59" s="2886"/>
      <c r="X59" s="2961"/>
      <c r="Y59" s="2961"/>
      <c r="Z59" s="2961"/>
    </row>
    <row r="60" spans="1:26">
      <c r="A60" s="2897" t="s">
        <v>2589</v>
      </c>
      <c r="B60" s="2898">
        <f t="shared" si="175"/>
        <v>168.82017748715555</v>
      </c>
      <c r="C60" s="2898">
        <f t="shared" si="175"/>
        <v>148.06267029972753</v>
      </c>
      <c r="D60" s="2898">
        <f t="shared" si="153"/>
        <v>148.06267029972753</v>
      </c>
      <c r="E60" s="2898">
        <f t="shared" si="176"/>
        <v>216.46288379323747</v>
      </c>
      <c r="F60" s="2898">
        <f t="shared" si="176"/>
        <v>134.23529411764704</v>
      </c>
      <c r="G60" s="4007">
        <v>2007</v>
      </c>
      <c r="H60" s="2912">
        <v>2</v>
      </c>
      <c r="I60" s="2912">
        <v>3.67</v>
      </c>
      <c r="J60" s="2912">
        <v>2.3199999999999998</v>
      </c>
      <c r="K60" s="2912">
        <v>5.0199999999999996</v>
      </c>
      <c r="L60" s="2913">
        <v>6.71</v>
      </c>
      <c r="N60" s="2959">
        <f t="shared" si="173"/>
        <v>3.0339138143848032E-2</v>
      </c>
      <c r="O60" s="2960">
        <f t="shared" si="173"/>
        <v>2.0922341588790472E-2</v>
      </c>
      <c r="P60" s="2960">
        <f t="shared" si="174"/>
        <v>5.6164796592717003E-2</v>
      </c>
      <c r="Q60" s="2960">
        <f t="shared" si="174"/>
        <v>6.5704536723887319E-2</v>
      </c>
      <c r="R60" s="2901"/>
      <c r="S60" s="2900"/>
      <c r="T60" s="2886"/>
      <c r="U60" s="2886"/>
      <c r="V60" s="2886"/>
      <c r="X60" s="2961"/>
      <c r="Y60" s="2961"/>
      <c r="Z60" s="2961"/>
    </row>
    <row r="61" spans="1:26">
      <c r="A61" s="2897" t="s">
        <v>2590</v>
      </c>
      <c r="B61" s="2898">
        <f t="shared" si="175"/>
        <v>163.84913591779542</v>
      </c>
      <c r="C61" s="2898">
        <f t="shared" si="175"/>
        <v>145.0283378746594</v>
      </c>
      <c r="D61" s="2898">
        <f t="shared" si="153"/>
        <v>145.0283378746594</v>
      </c>
      <c r="E61" s="2898">
        <f t="shared" si="176"/>
        <v>204.95180722891567</v>
      </c>
      <c r="F61" s="2898">
        <f t="shared" si="176"/>
        <v>125.95920303605313</v>
      </c>
      <c r="G61" s="4010">
        <v>2007</v>
      </c>
      <c r="H61" s="2899">
        <v>1</v>
      </c>
      <c r="I61" s="2899">
        <v>3.58</v>
      </c>
      <c r="J61" s="2899">
        <v>3.08</v>
      </c>
      <c r="K61" s="2899">
        <v>4.34</v>
      </c>
      <c r="L61" s="2905">
        <v>3.21</v>
      </c>
      <c r="N61" s="2962">
        <f t="shared" si="173"/>
        <v>3.0497710174814063E-2</v>
      </c>
      <c r="O61" s="2963">
        <f t="shared" si="173"/>
        <v>2.8569772160704998E-2</v>
      </c>
      <c r="P61" s="2963">
        <f t="shared" si="174"/>
        <v>5.1034908866234296E-2</v>
      </c>
      <c r="Q61" s="2963">
        <f t="shared" si="174"/>
        <v>3.245248390207478E-2</v>
      </c>
      <c r="R61" s="2901"/>
      <c r="S61" s="2902">
        <f>B61/B62-1</f>
        <v>3.0497710174814063E-2</v>
      </c>
      <c r="T61" s="2903">
        <f>C61/C62-1</f>
        <v>2.8569772160704998E-2</v>
      </c>
      <c r="U61" s="2903">
        <f>E61/E62-1</f>
        <v>5.1034908866234296E-2</v>
      </c>
      <c r="V61" s="2903">
        <f>F61/F62-1</f>
        <v>3.245248390207478E-2</v>
      </c>
      <c r="X61" s="2961"/>
      <c r="Y61" s="2961"/>
      <c r="Z61" s="2961"/>
    </row>
    <row r="62" spans="1:26" ht="13.5" thickBot="1">
      <c r="A62" s="2897" t="s">
        <v>2591</v>
      </c>
      <c r="B62" s="2926">
        <v>159</v>
      </c>
      <c r="C62" s="2926">
        <v>141</v>
      </c>
      <c r="D62" s="2926">
        <f t="shared" si="153"/>
        <v>141</v>
      </c>
      <c r="E62" s="2926">
        <v>195</v>
      </c>
      <c r="F62" s="2927">
        <v>122</v>
      </c>
      <c r="G62" s="4009">
        <v>2006</v>
      </c>
      <c r="H62" s="2921">
        <v>4</v>
      </c>
      <c r="I62" s="2921">
        <v>3.79</v>
      </c>
      <c r="J62" s="2921">
        <v>2.21</v>
      </c>
      <c r="K62" s="2921">
        <v>5.65</v>
      </c>
      <c r="L62" s="2922">
        <v>5.41</v>
      </c>
      <c r="N62" s="2959">
        <f t="shared" ref="N62:O65" si="177">I62/SUM(I$62:I$65)*(B$62/B$66-1)</f>
        <v>7.245466462748526E-2</v>
      </c>
      <c r="O62" s="2960">
        <f t="shared" si="177"/>
        <v>2.3237230038062766E-2</v>
      </c>
      <c r="P62" s="2960">
        <f t="shared" ref="P62:Q65" si="178">K62/SUM(K$62:K$65)*(E$62/E$66-1)</f>
        <v>0.16146893866323722</v>
      </c>
      <c r="Q62" s="2960">
        <f t="shared" si="178"/>
        <v>5.0755230321793784E-2</v>
      </c>
      <c r="R62" s="2901"/>
      <c r="S62" s="2910"/>
      <c r="T62" s="2911"/>
      <c r="U62" s="2911"/>
      <c r="V62" s="2911"/>
      <c r="X62" s="2961"/>
      <c r="Y62" s="2961"/>
      <c r="Z62" s="2961"/>
    </row>
    <row r="63" spans="1:26">
      <c r="A63" s="2897" t="s">
        <v>2592</v>
      </c>
      <c r="B63" s="2898">
        <f t="shared" ref="B63:C65" si="179">B64+(B$62-B$66)*I63/SUM(I$62:I$65)</f>
        <v>149.00125628140702</v>
      </c>
      <c r="C63" s="2898">
        <f t="shared" si="179"/>
        <v>137.95592286501378</v>
      </c>
      <c r="D63" s="2898">
        <f t="shared" si="153"/>
        <v>137.95592286501378</v>
      </c>
      <c r="E63" s="2898">
        <f t="shared" ref="E63:F65" si="180">E64+(E$62-E$66)*K63/SUM(K$62:K$65)</f>
        <v>169.97231450719823</v>
      </c>
      <c r="F63" s="2898">
        <f t="shared" si="180"/>
        <v>116.21390374331551</v>
      </c>
      <c r="G63" s="4007">
        <v>2006</v>
      </c>
      <c r="H63" s="2924">
        <v>3</v>
      </c>
      <c r="I63" s="2924">
        <v>0.92</v>
      </c>
      <c r="J63" s="2924">
        <v>1.08</v>
      </c>
      <c r="K63" s="2924">
        <v>0.73</v>
      </c>
      <c r="L63" s="2925">
        <v>1.08</v>
      </c>
      <c r="N63" s="2959">
        <f t="shared" si="177"/>
        <v>1.7587939698492462E-2</v>
      </c>
      <c r="O63" s="2960">
        <f t="shared" si="177"/>
        <v>1.1355750425840628E-2</v>
      </c>
      <c r="P63" s="2960">
        <f t="shared" si="178"/>
        <v>2.0862358446754544E-2</v>
      </c>
      <c r="Q63" s="2960">
        <f t="shared" si="178"/>
        <v>1.0132282578103011E-2</v>
      </c>
      <c r="R63" s="2901"/>
      <c r="S63" s="2900"/>
      <c r="T63" s="2886"/>
      <c r="U63" s="2886"/>
      <c r="V63" s="2886"/>
      <c r="X63" s="2961"/>
      <c r="Y63" s="2961"/>
      <c r="Z63" s="2961"/>
    </row>
    <row r="64" spans="1:26">
      <c r="A64" s="2897" t="s">
        <v>2593</v>
      </c>
      <c r="B64" s="2898">
        <f t="shared" si="179"/>
        <v>146.57412060301507</v>
      </c>
      <c r="C64" s="2898">
        <f t="shared" si="179"/>
        <v>136.46831955922866</v>
      </c>
      <c r="D64" s="2898">
        <f t="shared" si="153"/>
        <v>136.46831955922866</v>
      </c>
      <c r="E64" s="2898">
        <f t="shared" si="180"/>
        <v>166.73864894795128</v>
      </c>
      <c r="F64" s="2898">
        <f t="shared" si="180"/>
        <v>115.05882352941177</v>
      </c>
      <c r="G64" s="4007">
        <v>2006</v>
      </c>
      <c r="H64" s="2912">
        <v>2</v>
      </c>
      <c r="I64" s="2912">
        <v>0.96</v>
      </c>
      <c r="J64" s="2912">
        <v>0.25</v>
      </c>
      <c r="K64" s="2912">
        <v>1.9</v>
      </c>
      <c r="L64" s="2913">
        <v>0.95</v>
      </c>
      <c r="N64" s="2959">
        <f t="shared" si="177"/>
        <v>1.8352632728861701E-2</v>
      </c>
      <c r="O64" s="2960">
        <f t="shared" si="177"/>
        <v>2.6286459319075526E-3</v>
      </c>
      <c r="P64" s="2960">
        <f t="shared" si="178"/>
        <v>5.4299289107991269E-2</v>
      </c>
      <c r="Q64" s="2960">
        <f t="shared" si="178"/>
        <v>8.9126559714794995E-3</v>
      </c>
      <c r="R64" s="2901"/>
      <c r="S64" s="2900"/>
      <c r="T64" s="2886"/>
      <c r="U64" s="2886"/>
      <c r="V64" s="2886"/>
      <c r="X64" s="2961"/>
      <c r="Y64" s="2961"/>
      <c r="Z64" s="2961"/>
    </row>
    <row r="65" spans="1:26">
      <c r="A65" s="2897" t="s">
        <v>2594</v>
      </c>
      <c r="B65" s="2898">
        <f t="shared" si="179"/>
        <v>144.04145728643215</v>
      </c>
      <c r="C65" s="2898">
        <f t="shared" si="179"/>
        <v>136.12396694214877</v>
      </c>
      <c r="D65" s="2898">
        <f t="shared" si="153"/>
        <v>136.12396694214877</v>
      </c>
      <c r="E65" s="2898">
        <f t="shared" si="180"/>
        <v>158.32225913621264</v>
      </c>
      <c r="F65" s="2898">
        <f t="shared" si="180"/>
        <v>114.04278074866311</v>
      </c>
      <c r="G65" s="4010">
        <v>2006</v>
      </c>
      <c r="H65" s="2899">
        <v>1</v>
      </c>
      <c r="I65" s="2899">
        <v>2.29</v>
      </c>
      <c r="J65" s="2899">
        <v>3.72</v>
      </c>
      <c r="K65" s="2899">
        <v>0.75</v>
      </c>
      <c r="L65" s="2905">
        <v>0.04</v>
      </c>
      <c r="N65" s="2962">
        <f t="shared" si="177"/>
        <v>4.3778675988638847E-2</v>
      </c>
      <c r="O65" s="2963">
        <f t="shared" si="177"/>
        <v>3.9114251466784385E-2</v>
      </c>
      <c r="P65" s="2963">
        <f t="shared" si="178"/>
        <v>2.1433929911049188E-2</v>
      </c>
      <c r="Q65" s="2963">
        <f t="shared" si="178"/>
        <v>3.7526972511492629E-4</v>
      </c>
      <c r="R65" s="2901"/>
      <c r="S65" s="2902">
        <f>B65/B66-1</f>
        <v>4.3778675988638716E-2</v>
      </c>
      <c r="T65" s="2903">
        <f>C65/C66-1</f>
        <v>3.91142514667846E-2</v>
      </c>
      <c r="U65" s="2903">
        <f>E65/E66-1</f>
        <v>2.143392991104931E-2</v>
      </c>
      <c r="V65" s="2903">
        <f>F65/F66-1</f>
        <v>3.7526972511492396E-4</v>
      </c>
      <c r="X65" s="2961"/>
      <c r="Y65" s="2961"/>
      <c r="Z65" s="2961"/>
    </row>
    <row r="66" spans="1:26" ht="13.5" thickBot="1">
      <c r="A66" s="2897" t="s">
        <v>2595</v>
      </c>
      <c r="B66" s="2926">
        <v>138</v>
      </c>
      <c r="C66" s="2926">
        <v>131</v>
      </c>
      <c r="D66" s="2926">
        <f t="shared" si="153"/>
        <v>131</v>
      </c>
      <c r="E66" s="2926">
        <v>155</v>
      </c>
      <c r="F66" s="2927">
        <v>114</v>
      </c>
      <c r="G66" s="4009">
        <v>2005</v>
      </c>
      <c r="H66" s="2921">
        <v>4</v>
      </c>
      <c r="I66" s="2921">
        <v>3.29</v>
      </c>
      <c r="J66" s="2921">
        <v>1.44</v>
      </c>
      <c r="K66" s="2921">
        <v>0.66</v>
      </c>
      <c r="L66" s="2922">
        <v>7.78</v>
      </c>
      <c r="N66" s="2959">
        <f t="shared" ref="N66:O69" si="181">I66/SUM(I$66:I$69)*(B$66/B$70-1)</f>
        <v>9.9404603216919935E-2</v>
      </c>
      <c r="O66" s="2960">
        <f t="shared" si="181"/>
        <v>4.7636550760861554E-2</v>
      </c>
      <c r="P66" s="2960">
        <f t="shared" ref="P66:Q69" si="182">K66/SUM(K$66:K$69)*(E$66/E$70-1)</f>
        <v>8.3756345177664976E-2</v>
      </c>
      <c r="Q66" s="2960">
        <f t="shared" si="182"/>
        <v>5.2148766661559584E-2</v>
      </c>
      <c r="R66" s="2901"/>
      <c r="S66" s="2910"/>
      <c r="T66" s="2911"/>
      <c r="U66" s="2911"/>
      <c r="V66" s="2911"/>
      <c r="X66" s="2961"/>
      <c r="Y66" s="2961"/>
      <c r="Z66" s="2961"/>
    </row>
    <row r="67" spans="1:26">
      <c r="A67" s="2897" t="s">
        <v>2596</v>
      </c>
      <c r="B67" s="2898">
        <f t="shared" ref="B67:C69" si="183">B68+(B$66-B$70)*I67/SUM(I$66:I$69)</f>
        <v>125.9720430107527</v>
      </c>
      <c r="C67" s="2898">
        <f t="shared" si="183"/>
        <v>125.1883408071749</v>
      </c>
      <c r="D67" s="2898">
        <f t="shared" si="153"/>
        <v>125.1883408071749</v>
      </c>
      <c r="E67" s="2898">
        <f t="shared" ref="E67:F69" si="184">E68+(E$66-E$70)*K67/SUM(K$66:K$69)</f>
        <v>144.61421319796952</v>
      </c>
      <c r="F67" s="2898">
        <f t="shared" si="184"/>
        <v>108.42008196721311</v>
      </c>
      <c r="G67" s="4007">
        <v>2005</v>
      </c>
      <c r="H67" s="2924">
        <v>3</v>
      </c>
      <c r="I67" s="2924">
        <v>0.46</v>
      </c>
      <c r="J67" s="2924">
        <v>0.32</v>
      </c>
      <c r="K67" s="2924">
        <v>0.42</v>
      </c>
      <c r="L67" s="2925">
        <v>0.64</v>
      </c>
      <c r="N67" s="2959">
        <f t="shared" si="181"/>
        <v>1.3898515951301874E-2</v>
      </c>
      <c r="O67" s="2960">
        <f t="shared" si="181"/>
        <v>1.0585900169080346E-2</v>
      </c>
      <c r="P67" s="2960">
        <f t="shared" si="182"/>
        <v>5.3299492385786795E-2</v>
      </c>
      <c r="Q67" s="2960">
        <f t="shared" si="182"/>
        <v>4.2898728359123568E-3</v>
      </c>
      <c r="R67" s="2901"/>
      <c r="S67" s="2900"/>
      <c r="T67" s="2886"/>
      <c r="U67" s="2886"/>
      <c r="V67" s="2886"/>
      <c r="X67" s="2961"/>
      <c r="Y67" s="2961"/>
      <c r="Z67" s="2961"/>
    </row>
    <row r="68" spans="1:26">
      <c r="A68" s="2897" t="s">
        <v>2597</v>
      </c>
      <c r="B68" s="2898">
        <f t="shared" si="183"/>
        <v>124.29032258064517</v>
      </c>
      <c r="C68" s="2898">
        <f t="shared" si="183"/>
        <v>123.8968609865471</v>
      </c>
      <c r="D68" s="2898">
        <f t="shared" si="153"/>
        <v>123.8968609865471</v>
      </c>
      <c r="E68" s="2898">
        <f t="shared" si="184"/>
        <v>138.00507614213197</v>
      </c>
      <c r="F68" s="2898">
        <f t="shared" si="184"/>
        <v>107.96106557377048</v>
      </c>
      <c r="G68" s="4007">
        <v>2005</v>
      </c>
      <c r="H68" s="2912">
        <v>2</v>
      </c>
      <c r="I68" s="2912">
        <v>0.47</v>
      </c>
      <c r="J68" s="2912">
        <v>0.1</v>
      </c>
      <c r="K68" s="2912">
        <v>0.52</v>
      </c>
      <c r="L68" s="2913">
        <v>0.79</v>
      </c>
      <c r="N68" s="2959">
        <f t="shared" si="181"/>
        <v>1.420065760241713E-2</v>
      </c>
      <c r="O68" s="2960">
        <f t="shared" si="181"/>
        <v>3.3080938028376083E-3</v>
      </c>
      <c r="P68" s="2960">
        <f t="shared" si="182"/>
        <v>6.598984771573603E-2</v>
      </c>
      <c r="Q68" s="2960">
        <f t="shared" si="182"/>
        <v>5.2953117818293153E-3</v>
      </c>
      <c r="R68" s="2901"/>
      <c r="S68" s="2900"/>
      <c r="T68" s="2886"/>
      <c r="U68" s="2886"/>
      <c r="V68" s="2886"/>
      <c r="X68" s="2961"/>
      <c r="Y68" s="2961"/>
      <c r="Z68" s="2961"/>
    </row>
    <row r="69" spans="1:26">
      <c r="A69" s="2897" t="s">
        <v>2598</v>
      </c>
      <c r="B69" s="2898">
        <f t="shared" si="183"/>
        <v>122.57204301075269</v>
      </c>
      <c r="C69" s="2898">
        <f t="shared" si="183"/>
        <v>123.4932735426009</v>
      </c>
      <c r="D69" s="2898">
        <f t="shared" si="153"/>
        <v>123.4932735426009</v>
      </c>
      <c r="E69" s="2898">
        <f t="shared" si="184"/>
        <v>129.82233502538071</v>
      </c>
      <c r="F69" s="2898">
        <f t="shared" si="184"/>
        <v>107.39446721311475</v>
      </c>
      <c r="G69" s="4010">
        <v>2005</v>
      </c>
      <c r="H69" s="2899">
        <v>1</v>
      </c>
      <c r="I69" s="2899">
        <v>0.43</v>
      </c>
      <c r="J69" s="2899">
        <v>0.37</v>
      </c>
      <c r="K69" s="2899">
        <v>0.37</v>
      </c>
      <c r="L69" s="2905">
        <v>0.55000000000000004</v>
      </c>
      <c r="N69" s="2962">
        <f t="shared" si="181"/>
        <v>1.2992090997956099E-2</v>
      </c>
      <c r="O69" s="2963">
        <f t="shared" si="181"/>
        <v>1.2239947070499151E-2</v>
      </c>
      <c r="P69" s="2963">
        <f t="shared" si="182"/>
        <v>4.6954314720812178E-2</v>
      </c>
      <c r="Q69" s="2963">
        <f t="shared" si="182"/>
        <v>3.6866094683621815E-3</v>
      </c>
      <c r="R69" s="2901"/>
      <c r="S69" s="2902">
        <f>B69/B70-1</f>
        <v>1.2992090997956174E-2</v>
      </c>
      <c r="T69" s="2903">
        <f>C69/C70-1</f>
        <v>1.2239947070499246E-2</v>
      </c>
      <c r="U69" s="2903">
        <f>E69/E70-1</f>
        <v>4.695431472081224E-2</v>
      </c>
      <c r="V69" s="2903">
        <f>F69/F70-1</f>
        <v>3.6866094683620787E-3</v>
      </c>
      <c r="X69" s="2961"/>
      <c r="Y69" s="2961"/>
      <c r="Z69" s="2961"/>
    </row>
    <row r="70" spans="1:26" ht="13.5" thickBot="1">
      <c r="A70" s="2897" t="s">
        <v>2599</v>
      </c>
      <c r="B70" s="2947">
        <v>121</v>
      </c>
      <c r="C70" s="2947">
        <v>122</v>
      </c>
      <c r="D70" s="2947">
        <f t="shared" si="153"/>
        <v>122</v>
      </c>
      <c r="E70" s="2947">
        <v>124</v>
      </c>
      <c r="F70" s="2948">
        <v>107</v>
      </c>
      <c r="G70" s="4009">
        <v>2004</v>
      </c>
      <c r="H70" s="2921">
        <v>4</v>
      </c>
      <c r="I70" s="2921">
        <v>0.33</v>
      </c>
      <c r="J70" s="2921">
        <v>0.5</v>
      </c>
      <c r="K70" s="2921">
        <v>0.5</v>
      </c>
      <c r="L70" s="2922">
        <v>0</v>
      </c>
      <c r="N70" s="2959">
        <f t="shared" ref="N70:O73" si="185">I70/SUM(I$70:I$73)*(B$70/B$74-1)</f>
        <v>1.3391770148526898E-2</v>
      </c>
      <c r="O70" s="2960">
        <f t="shared" si="185"/>
        <v>1.063264221158958E-2</v>
      </c>
      <c r="P70" s="2960">
        <f t="shared" ref="P70:Q73" si="186">K70/SUM(K$70:K$73)*(E$70/E$74-1)</f>
        <v>2.2244466688911134E-2</v>
      </c>
      <c r="Q70" s="2960">
        <f t="shared" si="186"/>
        <v>0</v>
      </c>
      <c r="R70" s="2901"/>
      <c r="S70" s="2910"/>
      <c r="T70" s="2911"/>
      <c r="U70" s="2911"/>
      <c r="V70" s="2911"/>
      <c r="X70" s="2961"/>
      <c r="Y70" s="2961"/>
      <c r="Z70" s="2961"/>
    </row>
    <row r="71" spans="1:26">
      <c r="A71" s="2897" t="s">
        <v>2600</v>
      </c>
      <c r="B71" s="2898">
        <f t="shared" ref="B71:C73" si="187">B72+(B$70-B$74)*I71/SUM(I$70:I$73)</f>
        <v>119.51351351351352</v>
      </c>
      <c r="C71" s="2898">
        <f t="shared" si="187"/>
        <v>120.7878787878788</v>
      </c>
      <c r="D71" s="2898">
        <f t="shared" si="153"/>
        <v>120.7878787878788</v>
      </c>
      <c r="E71" s="2898">
        <f t="shared" ref="E71:F73" si="188">E72+(E$70-E$74)*K71/SUM(K$70:K$73)</f>
        <v>121.5975975975976</v>
      </c>
      <c r="F71" s="2898">
        <f t="shared" si="188"/>
        <v>107</v>
      </c>
      <c r="G71" s="4007">
        <v>2004</v>
      </c>
      <c r="H71" s="2924">
        <v>3</v>
      </c>
      <c r="I71" s="2924">
        <v>0.56000000000000005</v>
      </c>
      <c r="J71" s="2924">
        <v>0.8</v>
      </c>
      <c r="K71" s="2924">
        <v>0.83</v>
      </c>
      <c r="L71" s="2925">
        <v>0.06</v>
      </c>
      <c r="N71" s="2959">
        <f t="shared" si="185"/>
        <v>2.2725428130833527E-2</v>
      </c>
      <c r="O71" s="2960">
        <f t="shared" si="185"/>
        <v>1.7012227538543329E-2</v>
      </c>
      <c r="P71" s="2960">
        <f t="shared" si="186"/>
        <v>3.6925814703592477E-2</v>
      </c>
      <c r="Q71" s="2960">
        <f t="shared" si="186"/>
        <v>2.8846153846153744E-2</v>
      </c>
      <c r="R71" s="2901"/>
      <c r="S71" s="2900"/>
      <c r="T71" s="2886"/>
      <c r="U71" s="2886"/>
      <c r="V71" s="2886"/>
      <c r="X71" s="2961"/>
      <c r="Y71" s="2961"/>
      <c r="Z71" s="2961"/>
    </row>
    <row r="72" spans="1:26">
      <c r="A72" s="2897" t="s">
        <v>2601</v>
      </c>
      <c r="B72" s="2898">
        <f t="shared" si="187"/>
        <v>116.99099099099099</v>
      </c>
      <c r="C72" s="2898">
        <f t="shared" si="187"/>
        <v>118.84848484848486</v>
      </c>
      <c r="D72" s="2898">
        <f t="shared" si="153"/>
        <v>118.84848484848486</v>
      </c>
      <c r="E72" s="2898">
        <f t="shared" si="188"/>
        <v>117.60960960960961</v>
      </c>
      <c r="F72" s="2898">
        <f t="shared" si="188"/>
        <v>104</v>
      </c>
      <c r="G72" s="4007">
        <v>2004</v>
      </c>
      <c r="H72" s="2912">
        <v>2</v>
      </c>
      <c r="I72" s="2912">
        <v>1</v>
      </c>
      <c r="J72" s="2912">
        <v>1.5</v>
      </c>
      <c r="K72" s="2912">
        <v>1.5</v>
      </c>
      <c r="L72" s="2913">
        <v>0</v>
      </c>
      <c r="N72" s="2959">
        <f t="shared" si="185"/>
        <v>4.0581121662202721E-2</v>
      </c>
      <c r="O72" s="2960">
        <f t="shared" si="185"/>
        <v>3.1897926634768738E-2</v>
      </c>
      <c r="P72" s="2960">
        <f t="shared" si="186"/>
        <v>6.6733400066733395E-2</v>
      </c>
      <c r="Q72" s="2960">
        <f t="shared" si="186"/>
        <v>0</v>
      </c>
      <c r="R72" s="2901"/>
      <c r="S72" s="2900"/>
      <c r="T72" s="2886"/>
      <c r="U72" s="2886"/>
      <c r="V72" s="2886"/>
      <c r="X72" s="2961"/>
      <c r="Y72" s="2961"/>
      <c r="Z72" s="2961"/>
    </row>
    <row r="73" spans="1:26" s="2953" customFormat="1" ht="13.5" thickBot="1">
      <c r="A73" s="2897" t="s">
        <v>2602</v>
      </c>
      <c r="B73" s="2950">
        <f t="shared" si="187"/>
        <v>112.48648648648648</v>
      </c>
      <c r="C73" s="2950">
        <f t="shared" si="187"/>
        <v>115.21212121212122</v>
      </c>
      <c r="D73" s="2950">
        <f t="shared" si="153"/>
        <v>115.21212121212122</v>
      </c>
      <c r="E73" s="2950">
        <f t="shared" si="188"/>
        <v>110.4024024024024</v>
      </c>
      <c r="F73" s="2950">
        <f t="shared" si="188"/>
        <v>104</v>
      </c>
      <c r="G73" s="4010">
        <v>2004</v>
      </c>
      <c r="H73" s="2951">
        <v>1</v>
      </c>
      <c r="I73" s="2951">
        <v>0.33</v>
      </c>
      <c r="J73" s="2951">
        <v>0.5</v>
      </c>
      <c r="K73" s="2951">
        <v>0.5</v>
      </c>
      <c r="L73" s="2952">
        <v>0</v>
      </c>
      <c r="N73" s="2964">
        <f t="shared" si="185"/>
        <v>1.3391770148526898E-2</v>
      </c>
      <c r="O73" s="2965">
        <f t="shared" si="185"/>
        <v>1.063264221158958E-2</v>
      </c>
      <c r="P73" s="2965">
        <f t="shared" si="186"/>
        <v>2.2244466688911134E-2</v>
      </c>
      <c r="Q73" s="2965">
        <f t="shared" si="186"/>
        <v>0</v>
      </c>
      <c r="R73" s="2956"/>
      <c r="S73" s="2954">
        <f>B73/B74-1</f>
        <v>1.3391770148526883E-2</v>
      </c>
      <c r="T73" s="2955">
        <f>C73/C74-1</f>
        <v>1.063264221158966E-2</v>
      </c>
      <c r="U73" s="2955">
        <f>E73/E74-1</f>
        <v>2.2244466688911224E-2</v>
      </c>
      <c r="V73" s="2955">
        <f>F73/F74-1</f>
        <v>0</v>
      </c>
      <c r="X73" s="2966"/>
      <c r="Y73" s="2966"/>
      <c r="Z73" s="2966"/>
    </row>
    <row r="74" spans="1:26" ht="13.5" thickBot="1">
      <c r="A74" s="2897" t="s">
        <v>2603</v>
      </c>
      <c r="B74" s="2967">
        <v>111</v>
      </c>
      <c r="C74" s="2967">
        <v>114</v>
      </c>
      <c r="D74" s="2967">
        <f t="shared" si="153"/>
        <v>114</v>
      </c>
      <c r="E74" s="2967">
        <v>108</v>
      </c>
      <c r="F74" s="2968">
        <v>104</v>
      </c>
      <c r="G74" s="4009">
        <v>2003</v>
      </c>
      <c r="H74" s="2957">
        <v>4</v>
      </c>
      <c r="I74" s="2969"/>
      <c r="J74" s="2969"/>
      <c r="K74" s="2969"/>
      <c r="L74" s="2969"/>
      <c r="N74" s="2970"/>
      <c r="O74" s="2969"/>
      <c r="P74" s="2969"/>
      <c r="Q74" s="2969"/>
      <c r="S74" s="2970"/>
      <c r="T74" s="2969"/>
      <c r="U74" s="2969"/>
      <c r="V74" s="2969"/>
      <c r="X74" s="2961"/>
      <c r="Y74" s="2961"/>
      <c r="Z74" s="2961"/>
    </row>
    <row r="75" spans="1:26">
      <c r="A75" s="2897" t="s">
        <v>2604</v>
      </c>
      <c r="B75" s="2971">
        <f t="shared" ref="B75:C77" si="189">B76+(B$74-B$78)/4</f>
        <v>109.75</v>
      </c>
      <c r="C75" s="2971">
        <f t="shared" si="189"/>
        <v>112.25</v>
      </c>
      <c r="D75" s="2971">
        <f t="shared" si="153"/>
        <v>112.25</v>
      </c>
      <c r="E75" s="2971">
        <f t="shared" ref="E75:F77" si="190">E76+(E$74-E$78)/4</f>
        <v>107.25</v>
      </c>
      <c r="F75" s="2971">
        <f t="shared" si="190"/>
        <v>103.5</v>
      </c>
      <c r="G75" s="4007">
        <v>2003</v>
      </c>
      <c r="H75" s="2924">
        <v>3</v>
      </c>
      <c r="I75" s="2969"/>
      <c r="J75" s="2969"/>
      <c r="K75" s="2969"/>
      <c r="L75" s="2969"/>
      <c r="X75" s="2961"/>
      <c r="Y75" s="2961"/>
      <c r="Z75" s="2961"/>
    </row>
    <row r="76" spans="1:26">
      <c r="A76" s="2897" t="s">
        <v>2605</v>
      </c>
      <c r="B76" s="2971">
        <f t="shared" si="189"/>
        <v>108.5</v>
      </c>
      <c r="C76" s="2971">
        <f t="shared" si="189"/>
        <v>110.5</v>
      </c>
      <c r="D76" s="2971">
        <f t="shared" si="153"/>
        <v>110.5</v>
      </c>
      <c r="E76" s="2971">
        <f t="shared" si="190"/>
        <v>106.5</v>
      </c>
      <c r="F76" s="2971">
        <f t="shared" si="190"/>
        <v>103</v>
      </c>
      <c r="G76" s="4007">
        <v>2003</v>
      </c>
      <c r="H76" s="2912">
        <v>2</v>
      </c>
      <c r="I76" s="2969"/>
      <c r="J76" s="2969"/>
      <c r="K76" s="2969"/>
      <c r="L76" s="2969"/>
      <c r="X76" s="2961"/>
      <c r="Y76" s="2961"/>
      <c r="Z76" s="2961"/>
    </row>
    <row r="77" spans="1:26" ht="13.5" thickBot="1">
      <c r="A77" s="2897" t="s">
        <v>2606</v>
      </c>
      <c r="B77" s="2971">
        <f t="shared" si="189"/>
        <v>107.25</v>
      </c>
      <c r="C77" s="2971">
        <f t="shared" si="189"/>
        <v>108.75</v>
      </c>
      <c r="D77" s="2971">
        <f t="shared" si="153"/>
        <v>108.75</v>
      </c>
      <c r="E77" s="2971">
        <f t="shared" si="190"/>
        <v>105.75</v>
      </c>
      <c r="F77" s="2971">
        <f t="shared" si="190"/>
        <v>102.5</v>
      </c>
      <c r="G77" s="4010">
        <v>2003</v>
      </c>
      <c r="H77" s="2972">
        <v>1</v>
      </c>
      <c r="I77" s="2969"/>
      <c r="J77" s="2969"/>
      <c r="K77" s="2969"/>
      <c r="L77" s="2969"/>
      <c r="S77" s="2900"/>
      <c r="T77" s="2886"/>
      <c r="U77" s="2886"/>
      <c r="X77" s="2961"/>
      <c r="Y77" s="2961"/>
      <c r="Z77" s="2961"/>
    </row>
    <row r="78" spans="1:26" ht="13.5" thickBot="1">
      <c r="A78" s="2897" t="s">
        <v>2607</v>
      </c>
      <c r="B78" s="2973">
        <v>106</v>
      </c>
      <c r="C78" s="2973">
        <v>107</v>
      </c>
      <c r="D78" s="2973">
        <f t="shared" si="153"/>
        <v>107</v>
      </c>
      <c r="E78" s="2973">
        <v>105</v>
      </c>
      <c r="F78" s="2974">
        <v>102</v>
      </c>
      <c r="G78" s="4009">
        <v>2002</v>
      </c>
      <c r="H78" s="2921">
        <v>4</v>
      </c>
      <c r="I78" s="2969"/>
      <c r="J78" s="2969"/>
      <c r="K78" s="2969"/>
      <c r="L78" s="2969"/>
      <c r="N78" s="2970"/>
      <c r="O78" s="2969"/>
      <c r="P78" s="2969"/>
      <c r="Q78" s="2969"/>
      <c r="S78" s="2970"/>
      <c r="T78" s="2969"/>
      <c r="U78" s="2969"/>
      <c r="V78" s="2969"/>
      <c r="X78" s="2961"/>
      <c r="Y78" s="2961"/>
      <c r="Z78" s="2961"/>
    </row>
    <row r="79" spans="1:26">
      <c r="A79" s="2897" t="s">
        <v>2608</v>
      </c>
      <c r="B79" s="2971">
        <f t="shared" ref="B79:C81" si="191">B80+(B$78-B$82)/4</f>
        <v>105</v>
      </c>
      <c r="C79" s="2971">
        <f t="shared" si="191"/>
        <v>106</v>
      </c>
      <c r="D79" s="2971">
        <f t="shared" si="153"/>
        <v>106</v>
      </c>
      <c r="E79" s="2971">
        <f t="shared" ref="E79:F81" si="192">E80+(E$78-E$82)/4</f>
        <v>104.5</v>
      </c>
      <c r="F79" s="2971">
        <f t="shared" si="192"/>
        <v>101.5</v>
      </c>
      <c r="G79" s="4007">
        <v>2002</v>
      </c>
      <c r="H79" s="2924">
        <v>3</v>
      </c>
      <c r="I79" s="2969"/>
      <c r="J79" s="2969"/>
      <c r="K79" s="2969"/>
      <c r="L79" s="2969"/>
      <c r="X79" s="2961"/>
      <c r="Y79" s="2961"/>
      <c r="Z79" s="2961"/>
    </row>
    <row r="80" spans="1:26">
      <c r="A80" s="2897" t="s">
        <v>2609</v>
      </c>
      <c r="B80" s="2971">
        <f t="shared" si="191"/>
        <v>104</v>
      </c>
      <c r="C80" s="2971">
        <f t="shared" si="191"/>
        <v>105</v>
      </c>
      <c r="D80" s="2971">
        <f t="shared" si="153"/>
        <v>105</v>
      </c>
      <c r="E80" s="2971">
        <f t="shared" si="192"/>
        <v>104</v>
      </c>
      <c r="F80" s="2971">
        <f t="shared" si="192"/>
        <v>101</v>
      </c>
      <c r="G80" s="4007">
        <v>2002</v>
      </c>
      <c r="H80" s="2912">
        <v>2</v>
      </c>
      <c r="I80" s="2969"/>
      <c r="J80" s="2969"/>
      <c r="K80" s="2969"/>
      <c r="L80" s="2969"/>
      <c r="X80" s="2961"/>
      <c r="Y80" s="2961"/>
      <c r="Z80" s="2961"/>
    </row>
    <row r="81" spans="1:26" s="2934" customFormat="1" ht="13.5" thickBot="1">
      <c r="A81" s="2930" t="s">
        <v>2610</v>
      </c>
      <c r="B81" s="2937">
        <f t="shared" si="191"/>
        <v>103</v>
      </c>
      <c r="C81" s="2937">
        <f t="shared" si="191"/>
        <v>104</v>
      </c>
      <c r="D81" s="2937">
        <f t="shared" si="153"/>
        <v>104</v>
      </c>
      <c r="E81" s="2937">
        <f t="shared" si="192"/>
        <v>103.5</v>
      </c>
      <c r="F81" s="2937">
        <f t="shared" si="192"/>
        <v>100.5</v>
      </c>
      <c r="G81" s="4010">
        <v>2002</v>
      </c>
      <c r="H81" s="2975">
        <v>1</v>
      </c>
      <c r="I81" s="2976"/>
      <c r="J81" s="2976"/>
      <c r="K81" s="2976"/>
      <c r="L81" s="2976"/>
      <c r="N81" s="2977"/>
      <c r="S81" s="2977"/>
      <c r="X81" s="2978"/>
      <c r="Y81" s="2978"/>
      <c r="Z81" s="2978"/>
    </row>
    <row r="82" spans="1:26" ht="13.5" thickBot="1">
      <c r="B82" s="2979">
        <v>102</v>
      </c>
      <c r="C82" s="2980">
        <v>103</v>
      </c>
      <c r="D82" s="2980">
        <f t="shared" si="153"/>
        <v>103</v>
      </c>
      <c r="E82" s="2980">
        <v>103</v>
      </c>
      <c r="F82" s="2981">
        <v>100</v>
      </c>
      <c r="I82" s="2969"/>
      <c r="J82" s="2969"/>
      <c r="K82" s="2969"/>
      <c r="L82" s="2969"/>
      <c r="N82" s="2970"/>
      <c r="O82" s="2969"/>
      <c r="P82" s="2969"/>
      <c r="Q82" s="2969"/>
      <c r="S82" s="2970"/>
      <c r="T82" s="2969"/>
      <c r="U82" s="2969"/>
      <c r="V82" s="2969"/>
      <c r="X82" s="2911"/>
      <c r="Y82" s="2911"/>
      <c r="Z82" s="2911"/>
    </row>
    <row r="84" spans="1:26" s="2983" customFormat="1">
      <c r="A84" s="2982" t="s">
        <v>2611</v>
      </c>
      <c r="G84" s="2984"/>
      <c r="N84" s="2984"/>
      <c r="S84" s="2984"/>
    </row>
    <row r="85" spans="1:26" s="2983" customFormat="1">
      <c r="A85" s="2983" t="s">
        <v>2612</v>
      </c>
      <c r="G85" s="2984"/>
      <c r="N85" s="2984"/>
      <c r="S85" s="2984"/>
    </row>
    <row r="86" spans="1:26" s="2983" customFormat="1">
      <c r="A86" s="2983" t="s">
        <v>2613</v>
      </c>
      <c r="G86" s="2984"/>
      <c r="I86" s="2985"/>
      <c r="J86" s="2985"/>
      <c r="K86" s="2985"/>
      <c r="L86" s="2985"/>
      <c r="N86" s="2986"/>
      <c r="O86" s="2985"/>
      <c r="P86" s="2985"/>
      <c r="Q86" s="2985"/>
      <c r="S86" s="2986"/>
      <c r="T86" s="2985"/>
      <c r="U86" s="2985"/>
      <c r="V86" s="2985"/>
    </row>
    <row r="87" spans="1:26" s="2983" customFormat="1">
      <c r="A87" s="2983" t="s">
        <v>2614</v>
      </c>
      <c r="G87" s="2984"/>
      <c r="N87" s="2984"/>
      <c r="S87" s="2984"/>
    </row>
    <row r="94" spans="1:26" ht="13.5" thickBot="1"/>
    <row r="95" spans="1:26">
      <c r="G95" s="2885"/>
      <c r="S95" s="2987" t="s">
        <v>2615</v>
      </c>
      <c r="T95" s="2988" t="s">
        <v>2616</v>
      </c>
      <c r="U95" s="2988" t="s">
        <v>2617</v>
      </c>
      <c r="V95" s="2988" t="s">
        <v>2618</v>
      </c>
    </row>
    <row r="96" spans="1:26">
      <c r="G96" s="2885"/>
      <c r="N96" s="2910"/>
      <c r="O96" s="2911"/>
      <c r="P96" s="2911"/>
      <c r="Q96" s="2911"/>
      <c r="S96" s="2989">
        <v>2006</v>
      </c>
      <c r="T96" s="2990">
        <v>15.1</v>
      </c>
      <c r="U96" s="2990">
        <v>7.43</v>
      </c>
      <c r="V96" s="2990">
        <v>26.26</v>
      </c>
    </row>
    <row r="97" spans="7:22">
      <c r="G97" s="2885"/>
      <c r="N97" s="2910"/>
      <c r="O97" s="2911"/>
      <c r="P97" s="2911"/>
      <c r="Q97" s="2911"/>
      <c r="S97" s="2991">
        <v>2005</v>
      </c>
      <c r="T97" s="2992">
        <v>13.9</v>
      </c>
      <c r="U97" s="2992">
        <v>7.49</v>
      </c>
      <c r="V97" s="2992">
        <v>24.92</v>
      </c>
    </row>
    <row r="98" spans="7:22">
      <c r="G98" s="2885"/>
      <c r="N98" s="2910"/>
      <c r="O98" s="2911"/>
      <c r="P98" s="2911"/>
      <c r="Q98" s="2911"/>
      <c r="S98" s="2989">
        <v>2004</v>
      </c>
      <c r="T98" s="2990">
        <v>9.48</v>
      </c>
      <c r="U98" s="2990">
        <v>7.2</v>
      </c>
      <c r="V98" s="2990">
        <v>14.68</v>
      </c>
    </row>
    <row r="99" spans="7:22">
      <c r="G99" s="2885"/>
      <c r="N99" s="2910"/>
      <c r="O99" s="2911"/>
      <c r="P99" s="2911"/>
      <c r="Q99" s="2911"/>
      <c r="S99" s="2991">
        <v>2003</v>
      </c>
      <c r="T99" s="2992">
        <v>4.5</v>
      </c>
      <c r="U99" s="2992">
        <v>6.12</v>
      </c>
      <c r="V99" s="2992">
        <v>2.34</v>
      </c>
    </row>
    <row r="100" spans="7:22" ht="13.5" thickBot="1">
      <c r="G100" s="2885"/>
      <c r="N100" s="2910"/>
      <c r="O100" s="2911"/>
      <c r="P100" s="2911"/>
      <c r="Q100" s="2911"/>
      <c r="S100" s="2993">
        <v>2002</v>
      </c>
      <c r="T100" s="2994">
        <v>3.59</v>
      </c>
      <c r="U100" s="2994">
        <v>4.54</v>
      </c>
      <c r="V100" s="2994">
        <v>2.5499999999999998</v>
      </c>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N47" sqref="N4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2915</v>
      </c>
      <c r="B1" s="3245"/>
      <c r="C1" s="3245"/>
      <c r="D1" s="3245"/>
      <c r="E1" s="3245"/>
      <c r="F1" s="3245"/>
      <c r="G1" s="3246"/>
      <c r="H1" s="3246"/>
      <c r="I1" s="3246"/>
      <c r="J1" s="3246"/>
      <c r="K1" s="3246"/>
      <c r="L1" s="3246"/>
      <c r="M1" s="3246"/>
      <c r="N1" s="3246"/>
    </row>
    <row r="2" spans="1:14" ht="14.25">
      <c r="A2" s="3251" t="s">
        <v>2910</v>
      </c>
      <c r="B2" s="3256">
        <f ca="1">SUMIF(B7:B14,"&lt;&gt;#ref!",B7:B14)</f>
        <v>0</v>
      </c>
      <c r="C2" s="3251" t="s">
        <v>2911</v>
      </c>
      <c r="D2" s="3248"/>
      <c r="E2" s="3248"/>
      <c r="F2" s="3248"/>
      <c r="G2" s="3246"/>
      <c r="H2" s="3246"/>
      <c r="I2" s="3246"/>
      <c r="J2" s="3246"/>
      <c r="K2" s="3246"/>
      <c r="L2" s="3246"/>
      <c r="M2" s="3246"/>
      <c r="N2" s="3246"/>
    </row>
    <row r="3" spans="1:14" ht="14.25">
      <c r="A3" s="3251" t="s">
        <v>2940</v>
      </c>
      <c r="B3" s="3256" t="e">
        <f ca="1">ROUND(B2*10000/E3,0)</f>
        <v>#DIV/0!</v>
      </c>
      <c r="C3" s="3251" t="s">
        <v>2067</v>
      </c>
      <c r="D3" s="3251" t="s">
        <v>2912</v>
      </c>
      <c r="E3" s="3249">
        <f ca="1">SUMIF(E7:E14,"&lt;&gt;#ref!",E7:E14)</f>
        <v>0</v>
      </c>
      <c r="F3" s="3248"/>
      <c r="G3" s="3246"/>
      <c r="H3" s="3246"/>
      <c r="I3" s="3246"/>
      <c r="J3" s="3246"/>
      <c r="K3" s="3246"/>
      <c r="L3" s="3246"/>
      <c r="M3" s="3246"/>
      <c r="N3" s="3246"/>
    </row>
    <row r="4" spans="1:14" ht="14.25">
      <c r="A4" s="3251" t="s">
        <v>2918</v>
      </c>
      <c r="B4" s="3256" t="e">
        <f ca="1">ROUND(B2*10000/E4,0)</f>
        <v>#DIV/0!</v>
      </c>
      <c r="C4" s="3251" t="s">
        <v>2067</v>
      </c>
      <c r="D4" s="3251" t="s">
        <v>2919</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2916</v>
      </c>
      <c r="B6" s="3251" t="s">
        <v>2913</v>
      </c>
      <c r="C6" s="2789"/>
      <c r="D6" s="3248"/>
      <c r="E6" s="3251" t="s">
        <v>2914</v>
      </c>
      <c r="F6" s="3251" t="s">
        <v>2917</v>
      </c>
      <c r="G6" s="3246"/>
      <c r="H6" s="3246"/>
      <c r="I6" s="3246"/>
      <c r="J6" s="3246"/>
      <c r="K6" s="3246"/>
      <c r="L6" s="3246"/>
      <c r="M6" s="3246"/>
      <c r="N6" s="3246"/>
    </row>
    <row r="7" spans="1:14" ht="14.25">
      <c r="A7" s="3254"/>
      <c r="B7" s="3256" t="e">
        <f ca="1">SUMIF(INDIRECT("'"&amp;A7&amp;"'"&amp;"!A:A"),"总价",INDIRECT("'"&amp;A7&amp;"'"&amp;"!B:B"))</f>
        <v>#REF!</v>
      </c>
      <c r="C7" s="3251" t="s">
        <v>2911</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2911</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2911</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2911</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2911</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2911</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2911</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2911</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N47" sqref="N4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4018" t="s">
        <v>2444</v>
      </c>
      <c r="C8" s="1740">
        <f ca="1">ROUND(F8*F10*F9*(1-F11)/10000,0)</f>
        <v>0</v>
      </c>
      <c r="D8" s="1737" t="s">
        <v>2515</v>
      </c>
      <c r="E8" s="61" t="s">
        <v>631</v>
      </c>
      <c r="F8" s="775">
        <f ca="1">INDIRECT("'数据-取费表'!u"&amp;$G$1)</f>
        <v>0</v>
      </c>
      <c r="G8" s="1526"/>
      <c r="H8" s="2357" t="s">
        <v>1815</v>
      </c>
      <c r="I8" s="4018" t="s">
        <v>2444</v>
      </c>
      <c r="J8" s="773">
        <f ca="1">ROUND(M8*M10*M9*(1-M11)/10000,0)</f>
        <v>0</v>
      </c>
      <c r="K8" s="339" t="s">
        <v>2515</v>
      </c>
      <c r="L8" s="774" t="s">
        <v>1729</v>
      </c>
      <c r="M8" s="775">
        <f ca="1">INDIRECT("'数据-取费表'!z"&amp;$G$1)</f>
        <v>0</v>
      </c>
    </row>
    <row r="9" spans="1:25" ht="18" customHeight="1">
      <c r="A9" s="2353"/>
      <c r="B9" s="4019"/>
      <c r="C9" s="1741"/>
      <c r="D9" s="1738"/>
      <c r="E9" s="61" t="s">
        <v>632</v>
      </c>
      <c r="F9" s="775">
        <f ca="1">IF(INDIRECT("'数据-取费表'!ah"&amp;$G$1)="",INDIRECT("'数据-取费表'!k"&amp;$G$1),INDIRECT("'数据-取费表'!ah"&amp;$G$1))</f>
        <v>0</v>
      </c>
      <c r="G9" s="1526"/>
      <c r="H9" s="2342"/>
      <c r="I9" s="4019"/>
      <c r="J9" s="778"/>
      <c r="K9" s="779"/>
      <c r="L9" s="774" t="s">
        <v>1730</v>
      </c>
      <c r="M9" s="775">
        <f ca="1">F9</f>
        <v>0</v>
      </c>
    </row>
    <row r="10" spans="1:25" ht="18" customHeight="1">
      <c r="A10" s="2346"/>
      <c r="B10" s="4020"/>
      <c r="C10" s="1741"/>
      <c r="D10" s="1738"/>
      <c r="E10" s="61" t="s">
        <v>633</v>
      </c>
      <c r="F10" s="775">
        <f ca="1">INDIRECT("'数据-取费表'!ai"&amp;$G$1)</f>
        <v>0</v>
      </c>
      <c r="G10" s="1526"/>
      <c r="H10" s="2342"/>
      <c r="I10" s="4020"/>
      <c r="J10" s="778"/>
      <c r="K10" s="779"/>
      <c r="L10" s="774" t="s">
        <v>1731</v>
      </c>
      <c r="M10" s="775">
        <f ca="1">INDIRECT("'数据-取费表'!ai"&amp;$G$1)</f>
        <v>0</v>
      </c>
    </row>
    <row r="11" spans="1:25" ht="18" customHeight="1">
      <c r="A11" s="776"/>
      <c r="B11" s="4021"/>
      <c r="C11" s="1741"/>
      <c r="D11" s="1738"/>
      <c r="E11" s="61" t="s">
        <v>634</v>
      </c>
      <c r="F11" s="784">
        <f ca="1">INDIRECT("'数据-取费表'!w"&amp;$G$1)</f>
        <v>0</v>
      </c>
      <c r="G11" s="1526"/>
      <c r="H11" s="2358"/>
      <c r="I11" s="4020"/>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2937</v>
      </c>
      <c r="E12" s="2351" t="s">
        <v>2445</v>
      </c>
      <c r="F12" s="2465"/>
      <c r="G12" s="1526"/>
      <c r="H12" s="2414" t="s">
        <v>1816</v>
      </c>
      <c r="I12" s="2419" t="s">
        <v>2440</v>
      </c>
      <c r="J12" s="773">
        <f ca="1">ROUND(IF(M12="押一",J8/12*M13,IF(M12="押二",J8/12*2*M13,IF(M12="押三",J8/12*3*M13,J13*M13))),0)</f>
        <v>0</v>
      </c>
      <c r="K12" s="2354" t="s">
        <v>2937</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2803</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3" t="s">
        <v>2800</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2801</v>
      </c>
      <c r="C31" s="2397">
        <f ca="1">ROUND((C21+C22+C25+C28)/(1-F23-C26-C29-C30),0)</f>
        <v>0</v>
      </c>
      <c r="D31" s="2398"/>
      <c r="E31" s="2399"/>
      <c r="F31" s="2400"/>
      <c r="G31" s="1527"/>
      <c r="H31" s="812" t="s">
        <v>1863</v>
      </c>
      <c r="I31" s="2724"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7" t="s">
        <v>2994</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017"/>
      <c r="J36" s="1962"/>
      <c r="K36" s="1963"/>
      <c r="L36" s="1962"/>
      <c r="M36" s="1962"/>
    </row>
    <row r="37" spans="1:18" ht="18" customHeight="1">
      <c r="A37" s="804"/>
      <c r="B37" s="783"/>
      <c r="C37" s="69"/>
      <c r="D37" s="805"/>
      <c r="E37" s="774" t="s">
        <v>668</v>
      </c>
      <c r="F37" s="775">
        <f ca="1">INDIRECT("'数据-取费表'!r"&amp;$G$1)</f>
        <v>0</v>
      </c>
      <c r="G37" s="1945"/>
      <c r="H37" s="1948"/>
      <c r="I37" s="401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4" t="s">
        <v>2926</v>
      </c>
      <c r="F43" s="2795">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0">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6" t="s">
        <v>2929</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0" t="str">
        <f ca="1">IF(M48="住宅",0,IF(L49&gt;J52,L61,J61))</f>
        <v>0</v>
      </c>
      <c r="O47" s="2249" t="s">
        <v>2395</v>
      </c>
      <c r="P47" s="1526"/>
      <c r="Q47" s="1534"/>
      <c r="R47" s="1526"/>
    </row>
    <row r="48" spans="1:18" s="1942" customFormat="1" ht="18" customHeight="1" thickBot="1">
      <c r="A48" s="1966"/>
      <c r="C48" s="1969"/>
      <c r="D48" s="1970"/>
      <c r="E48" s="1970"/>
      <c r="F48" s="1971"/>
      <c r="G48" s="1972"/>
      <c r="I48" s="2801" t="s">
        <v>2329</v>
      </c>
      <c r="J48" s="2236"/>
      <c r="K48" s="2807" t="s">
        <v>2334</v>
      </c>
      <c r="L48" s="2811">
        <f ca="1">INDIRECT("'数据-取费表'!d"&amp;$G$1)</f>
        <v>0</v>
      </c>
      <c r="M48" s="2793"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8" t="s">
        <v>2330</v>
      </c>
      <c r="J49" s="2237"/>
      <c r="K49" s="2808"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8" t="s">
        <v>2331</v>
      </c>
      <c r="J50" s="2238"/>
      <c r="K50" s="2809"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8" t="s">
        <v>2332</v>
      </c>
      <c r="J51" s="2805">
        <f>SUMPRODUCT((I64:I66=J48)*(J63:L63=J49)*(J64:L66))</f>
        <v>0</v>
      </c>
      <c r="K51" s="2809" t="s">
        <v>2338</v>
      </c>
      <c r="L51" s="2239"/>
      <c r="O51" s="2256" t="s">
        <v>2368</v>
      </c>
      <c r="P51" s="2254" t="s">
        <v>2392</v>
      </c>
      <c r="Q51" s="2255">
        <f ca="1">C31</f>
        <v>0</v>
      </c>
      <c r="R51" s="2254" t="s">
        <v>2365</v>
      </c>
    </row>
    <row r="52" spans="1:18" s="1942" customFormat="1" ht="18" customHeight="1" thickBot="1">
      <c r="A52" s="1978"/>
      <c r="F52" s="1967"/>
      <c r="I52" s="2802" t="s">
        <v>2333</v>
      </c>
      <c r="J52" s="2806">
        <f>IF(J50="",J51,J50+J51-YEAR('数据-取费表'!B3))</f>
        <v>0</v>
      </c>
      <c r="K52" s="2798" t="s">
        <v>2339</v>
      </c>
      <c r="L52" s="2812">
        <f ca="1">C45</f>
        <v>0</v>
      </c>
      <c r="O52" s="2256" t="s">
        <v>2369</v>
      </c>
      <c r="P52" s="2254" t="s">
        <v>2370</v>
      </c>
      <c r="Q52" s="2257" t="e">
        <f ca="1">J59</f>
        <v>#VALUE!</v>
      </c>
      <c r="R52" s="2258"/>
    </row>
    <row r="53" spans="1:18" s="1942" customFormat="1" ht="18" customHeight="1" thickBot="1">
      <c r="A53" s="1978"/>
      <c r="F53" s="1967"/>
      <c r="I53" s="2803" t="s">
        <v>2406</v>
      </c>
      <c r="J53" s="2240"/>
      <c r="K53" s="2803" t="s">
        <v>2405</v>
      </c>
      <c r="L53" s="2240"/>
      <c r="O53" s="2256" t="s">
        <v>2371</v>
      </c>
      <c r="P53" s="2254" t="s">
        <v>2372</v>
      </c>
      <c r="Q53" s="2257">
        <f>J53</f>
        <v>0</v>
      </c>
      <c r="R53" s="2258"/>
    </row>
    <row r="54" spans="1:18" s="1942" customFormat="1" ht="29.25" thickBot="1">
      <c r="A54" s="1978"/>
      <c r="I54" s="2804" t="s">
        <v>2941</v>
      </c>
      <c r="J54" s="2857">
        <f ca="1">IF(M48="住宅",MAX(J52,L49-'数据-取费表'!B20),MIN(J52,L49-'数据-取费表'!B20))</f>
        <v>-2</v>
      </c>
      <c r="K54" s="4022"/>
      <c r="L54" s="4023"/>
      <c r="O54" s="2256" t="s">
        <v>2373</v>
      </c>
      <c r="P54" s="2254" t="s">
        <v>2374</v>
      </c>
      <c r="Q54" s="2255">
        <f ca="1">J54</f>
        <v>-2</v>
      </c>
      <c r="R54" s="2254" t="s">
        <v>2375</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2376</v>
      </c>
      <c r="P55" s="2254" t="s">
        <v>2393</v>
      </c>
      <c r="Q55" s="2255">
        <f ca="1">Q49+Q50</f>
        <v>0</v>
      </c>
      <c r="R55" s="2258" t="s">
        <v>2377</v>
      </c>
    </row>
    <row r="56" spans="1:18" s="1942" customFormat="1" ht="16.5" thickBot="1">
      <c r="A56" s="1978"/>
      <c r="B56" s="1979"/>
      <c r="C56" s="1979"/>
      <c r="I56" s="2815" t="s">
        <v>2340</v>
      </c>
      <c r="J56" s="2787" t="e">
        <f ca="1">ROUND(IF(J48="钢混",J58/J51,1-(1-2%)*(J51-J58)/J51),3)</f>
        <v>#VALUE!</v>
      </c>
      <c r="K56" s="2816" t="s">
        <v>2341</v>
      </c>
      <c r="L56" s="2241"/>
      <c r="O56" s="2259" t="s">
        <v>2396</v>
      </c>
      <c r="P56" s="1526"/>
      <c r="Q56" s="1534"/>
      <c r="R56" s="1526"/>
    </row>
    <row r="57" spans="1:18" s="1942" customFormat="1" ht="43.5" thickBot="1">
      <c r="A57" s="1978"/>
      <c r="B57" s="1979"/>
      <c r="C57" s="1979"/>
      <c r="I57" s="2817" t="s">
        <v>2342</v>
      </c>
      <c r="J57" s="2827" t="s">
        <v>1669</v>
      </c>
      <c r="K57" s="2798" t="s">
        <v>2347</v>
      </c>
      <c r="L57" s="1822">
        <f ca="1">IF(L49&lt;J52,"——",L49-J52)</f>
        <v>0</v>
      </c>
      <c r="O57" s="2250" t="s">
        <v>2360</v>
      </c>
      <c r="P57" s="2251" t="s">
        <v>2361</v>
      </c>
      <c r="Q57" s="2252" t="s">
        <v>2362</v>
      </c>
      <c r="R57" s="2251" t="s">
        <v>2363</v>
      </c>
    </row>
    <row r="58" spans="1:18" s="1942" customFormat="1" ht="29.25" thickBot="1">
      <c r="A58" s="1978"/>
      <c r="B58" s="1979"/>
      <c r="C58" s="1979"/>
      <c r="I58" s="2818" t="s">
        <v>2343</v>
      </c>
      <c r="J58" s="2819" t="str">
        <f ca="1">IF(OR(M48="住宅",J52&lt;L49,J57="是"),"——",J52-L49)</f>
        <v>——</v>
      </c>
      <c r="K58" s="2798"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8" t="s">
        <v>2344</v>
      </c>
      <c r="J59" s="2788" t="e">
        <f ca="1">IF(J56&lt;0.4,0.4,J56)</f>
        <v>#VALUE!</v>
      </c>
      <c r="K59" s="2798"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8" t="s">
        <v>2345</v>
      </c>
      <c r="J60" s="2819" t="str">
        <f ca="1">IF(OR(M48="住宅",J52&lt;L49,J57="是"),"——",ROUND(C30*J59,0))</f>
        <v>——</v>
      </c>
      <c r="K60" s="2798"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0" t="s">
        <v>2346</v>
      </c>
      <c r="J61" s="2821" t="str">
        <f ca="1">IF(OR(M48="住宅",J52&lt;L49,J57="是"),"0",ROUND(J60/(1+J53)^J54,0))</f>
        <v>0</v>
      </c>
      <c r="K61" s="2822" t="s">
        <v>2351</v>
      </c>
      <c r="L61" s="2821"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3" t="s">
        <v>2352</v>
      </c>
      <c r="J63" s="2824" t="s">
        <v>2353</v>
      </c>
      <c r="K63" s="2824" t="s">
        <v>2354</v>
      </c>
      <c r="L63" s="2824" t="s">
        <v>2335</v>
      </c>
      <c r="M63" s="2825" t="s">
        <v>2909</v>
      </c>
      <c r="O63" s="2256" t="s">
        <v>2373</v>
      </c>
      <c r="P63" s="2254" t="s">
        <v>2381</v>
      </c>
      <c r="Q63" s="2255">
        <f ca="1">L60</f>
        <v>0</v>
      </c>
      <c r="R63" s="2258" t="s">
        <v>2382</v>
      </c>
    </row>
    <row r="64" spans="1:18" s="1942" customFormat="1" ht="15.75" thickBot="1">
      <c r="A64" s="1978"/>
      <c r="B64" s="1979"/>
      <c r="C64" s="1979"/>
      <c r="I64" s="2823" t="s">
        <v>2355</v>
      </c>
      <c r="J64" s="2824">
        <v>70</v>
      </c>
      <c r="K64" s="2824">
        <v>50</v>
      </c>
      <c r="L64" s="2824">
        <v>80</v>
      </c>
      <c r="M64" s="2826">
        <v>0.02</v>
      </c>
      <c r="O64" s="2253" t="s">
        <v>2376</v>
      </c>
      <c r="P64" s="2254" t="s">
        <v>2393</v>
      </c>
      <c r="Q64" s="2255" t="e">
        <f ca="1">Q58+Q59</f>
        <v>#DIV/0!</v>
      </c>
      <c r="R64" s="2258" t="s">
        <v>2377</v>
      </c>
    </row>
    <row r="65" spans="1:18" s="1942" customFormat="1" ht="16.5" thickBot="1">
      <c r="A65" s="1978"/>
      <c r="B65" s="1979"/>
      <c r="C65" s="1979"/>
      <c r="I65" s="2823" t="s">
        <v>2356</v>
      </c>
      <c r="J65" s="2824">
        <v>50</v>
      </c>
      <c r="K65" s="2824">
        <v>35</v>
      </c>
      <c r="L65" s="2824">
        <v>60</v>
      </c>
      <c r="M65" s="835">
        <v>0</v>
      </c>
      <c r="O65" s="2259" t="s">
        <v>2400</v>
      </c>
      <c r="P65" s="1526"/>
      <c r="Q65" s="1534"/>
      <c r="R65" s="1526"/>
    </row>
    <row r="66" spans="1:18" s="1942" customFormat="1" ht="15.75" thickBot="1">
      <c r="A66" s="1978"/>
      <c r="B66" s="1979"/>
      <c r="C66" s="1979"/>
      <c r="I66" s="2823" t="s">
        <v>2357</v>
      </c>
      <c r="J66" s="2824">
        <v>40</v>
      </c>
      <c r="K66" s="2824">
        <v>30</v>
      </c>
      <c r="L66" s="2824">
        <v>50</v>
      </c>
      <c r="M66" s="2826">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56.25">
      <c r="A7" s="1710" t="s">
        <v>2726</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2021年2月5日（评估专业人员勘察现场之日）</v>
      </c>
    </row>
    <row r="12" spans="1:4" ht="18.75">
      <c r="A12" s="1712" t="s">
        <v>2014</v>
      </c>
    </row>
    <row r="13" spans="1:4" ht="18.75">
      <c r="A13" s="1706" t="s">
        <v>2908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14日地下车库2044年5月14日、地下仓储2044年5月14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N47" sqref="N4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7" t="s">
        <v>943</v>
      </c>
      <c r="E1" s="2242" t="s">
        <v>2359</v>
      </c>
      <c r="F1" s="2243">
        <f ca="1">J53</f>
        <v>0</v>
      </c>
      <c r="G1" s="3258">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1815</v>
      </c>
      <c r="B6" s="4018" t="s">
        <v>2444</v>
      </c>
      <c r="C6" s="773">
        <f ca="1">ROUND(F6*F8*F7*(1-F9)/10000,0)</f>
        <v>0</v>
      </c>
      <c r="D6" s="2350" t="s">
        <v>2443</v>
      </c>
      <c r="E6" s="774" t="s">
        <v>1729</v>
      </c>
      <c r="F6" s="775">
        <f ca="1">INDIRECT("'数据-取费表'!u"&amp;$G$1)</f>
        <v>0</v>
      </c>
      <c r="G6" s="1945"/>
      <c r="H6" s="2357" t="s">
        <v>2449</v>
      </c>
      <c r="I6" s="4018" t="s">
        <v>2444</v>
      </c>
      <c r="J6" s="773">
        <f ca="1">ROUND(M6*M8*M7*(1-M9)/10000,0)</f>
        <v>0</v>
      </c>
      <c r="K6" s="339" t="s">
        <v>1728</v>
      </c>
      <c r="L6" s="774" t="s">
        <v>1729</v>
      </c>
      <c r="M6" s="775">
        <f ca="1">INDIRECT("'数据-取费表'!z"&amp;$G$1)</f>
        <v>0</v>
      </c>
    </row>
    <row r="7" spans="1:33" ht="18" customHeight="1">
      <c r="A7" s="2353"/>
      <c r="B7" s="4019"/>
      <c r="C7" s="778"/>
      <c r="D7" s="779"/>
      <c r="E7" s="774" t="s">
        <v>1730</v>
      </c>
      <c r="F7" s="775">
        <f ca="1">IF(INDIRECT("'数据-取费表'!ah"&amp;$G$1)="",INDIRECT("'数据-取费表'!k"&amp;$G$1),INDIRECT("'数据-取费表'!ah"&amp;$G$1))</f>
        <v>0</v>
      </c>
      <c r="G7" s="1945"/>
      <c r="H7" s="2342"/>
      <c r="I7" s="4019"/>
      <c r="J7" s="778"/>
      <c r="K7" s="779"/>
      <c r="L7" s="774" t="s">
        <v>1730</v>
      </c>
      <c r="M7" s="775">
        <f ca="1">F7</f>
        <v>0</v>
      </c>
    </row>
    <row r="8" spans="1:33" ht="18" customHeight="1">
      <c r="A8" s="2346"/>
      <c r="B8" s="4020"/>
      <c r="C8" s="778"/>
      <c r="D8" s="779"/>
      <c r="E8" s="774" t="s">
        <v>1731</v>
      </c>
      <c r="F8" s="775">
        <f ca="1">INDIRECT("'数据-取费表'!ai"&amp;$G$1)</f>
        <v>0</v>
      </c>
      <c r="G8" s="1945"/>
      <c r="H8" s="2342"/>
      <c r="I8" s="4020"/>
      <c r="J8" s="778"/>
      <c r="K8" s="779"/>
      <c r="L8" s="774" t="s">
        <v>1731</v>
      </c>
      <c r="M8" s="775">
        <f ca="1">INDIRECT("'数据-取费表'!ai"&amp;$G$1)</f>
        <v>0</v>
      </c>
    </row>
    <row r="9" spans="1:33" ht="18" customHeight="1">
      <c r="A9" s="776"/>
      <c r="B9" s="4021"/>
      <c r="C9" s="778"/>
      <c r="D9" s="779"/>
      <c r="E9" s="774" t="s">
        <v>1732</v>
      </c>
      <c r="F9" s="784">
        <f ca="1">INDIRECT("'数据-取费表'!w"&amp;$G$1)</f>
        <v>0</v>
      </c>
      <c r="G9" s="1945"/>
      <c r="H9" s="2358"/>
      <c r="I9" s="4020"/>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2937</v>
      </c>
      <c r="E10" s="2351" t="s">
        <v>2445</v>
      </c>
      <c r="F10" s="2465"/>
      <c r="G10" s="1945"/>
      <c r="H10" s="2414" t="s">
        <v>2450</v>
      </c>
      <c r="I10" s="2419" t="s">
        <v>2440</v>
      </c>
      <c r="J10" s="773">
        <f ca="1">ROUND(IF(M10="押一",J6/12*M11,IF(M10="押二",J6/12*2*M11,IF(M10="押三",J6/12*3*M11,J11*M11))),0)</f>
        <v>0</v>
      </c>
      <c r="K10" s="2354" t="s">
        <v>2937</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2804</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60"/>
      <c r="H17" s="1577" t="s">
        <v>1821</v>
      </c>
      <c r="I17" s="774" t="s">
        <v>650</v>
      </c>
      <c r="J17" s="3018">
        <f ca="1">ROUND(IF(AND(项目基本情况!B11="自然人",项目基本情况!B10="北京市"),J6*M17/(1+'数据-取费表'!C42),J18+J19+J20),0)</f>
        <v>0</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60"/>
      <c r="H20" s="1579"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0"/>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8.0000000000000004E-4</v>
      </c>
      <c r="D24" s="2423" t="str">
        <f>IF(F23&lt;=1,"销售费用×利率×(建设周期÷2)","销售费用×((1+利率)^(建设周期÷2)-1)")</f>
        <v>销售费用×((1+利率)^(建设周期÷2)-1)</v>
      </c>
      <c r="E24" s="774" t="s">
        <v>1764</v>
      </c>
      <c r="F24" s="808">
        <f ca="1">'数据-取费表'!B40</f>
        <v>3.85E-2</v>
      </c>
      <c r="G24" s="3260"/>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2" t="s">
        <v>2800</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2805</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0"/>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8">
        <f ca="1">ROUND(IF(AND(项目基本情况!B11="自然人",项目基本情况!B10="北京市"),C6*F31/(1+'数据-取费表'!C42),C32+C33+C34),0)</f>
        <v>0</v>
      </c>
      <c r="D31" s="1893" t="s">
        <v>1783</v>
      </c>
      <c r="E31" s="1891" t="s">
        <v>1784</v>
      </c>
      <c r="F31" s="3017" t="str">
        <f>IF(项目基本情况!B11="企业","——",IF('数据-取费表'!B10="住宅",IF(F6*F7*F8/12/(1+'数据-取费表'!F30)&gt;100000,4%,2.5%),IF(F6*F7*F8/12/(1+'数据-取费表'!F30)&gt;100000,12%,7%)))</f>
        <v>——</v>
      </c>
      <c r="G31" s="1945"/>
      <c r="H31" s="3257" t="s">
        <v>2995</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2" t="s">
        <v>2800</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2928</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1"/>
      <c r="E46" s="3261"/>
      <c r="F46" s="3261"/>
      <c r="I46" s="2233" t="s">
        <v>2328</v>
      </c>
      <c r="J46" s="2234"/>
      <c r="K46" s="2235"/>
      <c r="L46" s="2810" t="e">
        <f ca="1">IF(OR(M47="住宅",D1="土地（套用方法）"),0,IF(L48&gt;J51,L60,J60))</f>
        <v>#DIV/0!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1" t="s">
        <v>2329</v>
      </c>
      <c r="J47" s="2236"/>
      <c r="K47" s="2807" t="s">
        <v>2334</v>
      </c>
      <c r="L47" s="2811">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8" t="s">
        <v>2330</v>
      </c>
      <c r="J48" s="2237"/>
      <c r="K48" s="2808" t="s">
        <v>2336</v>
      </c>
      <c r="L48" s="1822">
        <f ca="1">INDIRECT("'数据-取费表'!f"&amp;$G$1)</f>
        <v>0</v>
      </c>
      <c r="M48" s="3262"/>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8" t="s">
        <v>2331</v>
      </c>
      <c r="J49" s="2238"/>
      <c r="K49" s="2809" t="s">
        <v>2337</v>
      </c>
      <c r="L49" s="2239"/>
      <c r="M49" s="3262"/>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8" t="s">
        <v>2332</v>
      </c>
      <c r="J50" s="2805">
        <f>SUMPRODUCT((I63:I65=J47)*(J62:L62=J48)*(J63:L65))</f>
        <v>0</v>
      </c>
      <c r="K50" s="2809" t="s">
        <v>2338</v>
      </c>
      <c r="L50" s="2239"/>
      <c r="M50" s="3262"/>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2" t="s">
        <v>2333</v>
      </c>
      <c r="J51" s="2806">
        <f>IF(J49="",J50,J49+J50-YEAR('数据-取费表'!B2))</f>
        <v>0</v>
      </c>
      <c r="K51" s="2798" t="s">
        <v>2339</v>
      </c>
      <c r="L51" s="2812">
        <f ca="1">ROUND(-PV(INDIRECT("'数据-取费表'!h"&amp;$G$1),J51,(C39-C13*J36),0),0)</f>
        <v>0</v>
      </c>
      <c r="M51" s="3262"/>
      <c r="O51" s="2256" t="s">
        <v>2369</v>
      </c>
      <c r="P51" s="2254" t="s">
        <v>2370</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3" t="s">
        <v>2406</v>
      </c>
      <c r="J52" s="2240"/>
      <c r="K52" s="2803" t="s">
        <v>2405</v>
      </c>
      <c r="L52" s="2240"/>
      <c r="M52" s="3262"/>
      <c r="O52" s="2256" t="s">
        <v>2371</v>
      </c>
      <c r="P52" s="2254" t="s">
        <v>2372</v>
      </c>
      <c r="Q52" s="2257">
        <f>J52</f>
        <v>0</v>
      </c>
      <c r="R52" s="2258"/>
    </row>
    <row r="53" spans="1:18" s="1942" customFormat="1" ht="39.75" customHeight="1" thickBot="1">
      <c r="A53" s="776"/>
      <c r="B53" s="2348" t="s">
        <v>2554</v>
      </c>
      <c r="C53" s="2352"/>
      <c r="D53" s="2354"/>
      <c r="E53" s="2351"/>
      <c r="F53" s="790"/>
      <c r="I53" s="2804" t="s">
        <v>2941</v>
      </c>
      <c r="J53" s="2857">
        <f ca="1">IF(M47="住宅",IF(D1="——",MAX(J51,L48),MAX(J51,L48-'数据-取费表'!B20)),IF(D1="——",MIN(J51,L48),MIN(J51,L48-'数据-取费表'!B20)))</f>
        <v>0</v>
      </c>
      <c r="K53" s="4024" t="s">
        <v>2930</v>
      </c>
      <c r="L53" s="4025"/>
      <c r="M53" s="3262"/>
      <c r="O53" s="2256" t="s">
        <v>2373</v>
      </c>
      <c r="P53" s="2254" t="s">
        <v>2374</v>
      </c>
      <c r="Q53" s="2255">
        <f ca="1">J53</f>
        <v>0</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2"/>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5" t="s">
        <v>2340</v>
      </c>
      <c r="J55" s="2787" t="e">
        <f ca="1">ROUND(IF(J47="钢混",J57/J50,1-(1-2%)*(J50-J57)/J50),3)</f>
        <v>#DIV/0!</v>
      </c>
      <c r="K55" s="2816" t="s">
        <v>2341</v>
      </c>
      <c r="L55" s="2241"/>
      <c r="M55" s="3262"/>
      <c r="O55" s="2259" t="s">
        <v>2396</v>
      </c>
      <c r="P55" s="1526"/>
      <c r="Q55" s="1534"/>
      <c r="R55" s="1526"/>
    </row>
    <row r="56" spans="1:18" s="1942" customFormat="1" ht="42.75" customHeight="1" thickBot="1">
      <c r="A56" s="1578"/>
      <c r="B56" s="2111" t="s">
        <v>2290</v>
      </c>
      <c r="C56" s="53">
        <f ca="1">C29</f>
        <v>0</v>
      </c>
      <c r="D56" s="2481"/>
      <c r="E56" s="774"/>
      <c r="F56" s="799"/>
      <c r="I56" s="2817" t="s">
        <v>2342</v>
      </c>
      <c r="J56" s="2827"/>
      <c r="K56" s="2798" t="s">
        <v>2347</v>
      </c>
      <c r="L56" s="1822">
        <f ca="1">IF(L48&lt;J51,"——",L48-J51)</f>
        <v>0</v>
      </c>
      <c r="M56" s="3262"/>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8" t="s">
        <v>2343</v>
      </c>
      <c r="J57" s="2819">
        <f ca="1">IF(OR(M47="住宅",J51&lt;L48,J56="是"),"——",J51-L48)</f>
        <v>0</v>
      </c>
      <c r="K57" s="2798" t="s">
        <v>2348</v>
      </c>
      <c r="L57" s="1822">
        <f ca="1">IF(L48&lt;J51,"——",IF(L55="比较法",L49,IF(L55="基准地价",L50,L51)))</f>
        <v>0</v>
      </c>
      <c r="M57" s="3262"/>
      <c r="O57" s="2253" t="s">
        <v>2364</v>
      </c>
      <c r="P57" s="2254" t="s">
        <v>2394</v>
      </c>
      <c r="Q57" s="2255" t="e">
        <f ca="1">C40+J29</f>
        <v>#DIV/0!</v>
      </c>
      <c r="R57" s="2254" t="s">
        <v>2365</v>
      </c>
    </row>
    <row r="58" spans="1:18" s="1942" customFormat="1" ht="28.5" customHeight="1" thickBot="1">
      <c r="A58" s="1577" t="s">
        <v>1815</v>
      </c>
      <c r="B58" s="774" t="s">
        <v>650</v>
      </c>
      <c r="C58" s="3018">
        <f ca="1">ROUND(IF(AND(项目基本情况!B11="自然人",项目基本情况!B10="北京市"),C48*F58/(1+'数据-取费表'!C42),C59+C60+C61),0)</f>
        <v>0</v>
      </c>
      <c r="D58" s="2480" t="s">
        <v>651</v>
      </c>
      <c r="E58" s="2481"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2" t="e">
        <f ca="1">ROUND(POWER(1+L52,L47-L48)*(POWER(1+L52,L48)-1)/(POWER(1+L52,L47)-1),4)</f>
        <v>#DIV/0!</v>
      </c>
      <c r="M58" s="3262"/>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0" t="s">
        <v>2346</v>
      </c>
      <c r="J60" s="2821" t="e">
        <f ca="1">IF(OR(M47="住宅",J51&lt;L48,J56="是"),"0",ROUND(J59/(1+J52)^J53,0))</f>
        <v>#DIV/0!</v>
      </c>
      <c r="K60" s="2822" t="s">
        <v>2351</v>
      </c>
      <c r="L60" s="2821" t="e">
        <f ca="1">IF(OR(M47="住宅",L48&lt;J51),0,ROUND(L57*(L58/L59-1),0))</f>
        <v>#DIV/0!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3" t="s">
        <v>2352</v>
      </c>
      <c r="J62" s="2824" t="s">
        <v>2353</v>
      </c>
      <c r="K62" s="2824" t="s">
        <v>2354</v>
      </c>
      <c r="L62" s="2824" t="s">
        <v>2335</v>
      </c>
      <c r="M62" s="2825" t="s">
        <v>2909</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3" t="s">
        <v>2355</v>
      </c>
      <c r="J63" s="2824">
        <v>70</v>
      </c>
      <c r="K63" s="2824">
        <v>50</v>
      </c>
      <c r="L63" s="2824">
        <v>80</v>
      </c>
      <c r="M63" s="2826">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3" t="s">
        <v>2356</v>
      </c>
      <c r="J64" s="2824">
        <v>50</v>
      </c>
      <c r="K64" s="2824">
        <v>35</v>
      </c>
      <c r="L64" s="2824">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3" t="s">
        <v>2357</v>
      </c>
      <c r="J65" s="2824">
        <v>40</v>
      </c>
      <c r="K65" s="2824">
        <v>30</v>
      </c>
      <c r="L65" s="2824">
        <v>50</v>
      </c>
      <c r="M65" s="2826">
        <v>0.02</v>
      </c>
      <c r="O65" s="2250" t="s">
        <v>2360</v>
      </c>
      <c r="P65" s="2251" t="s">
        <v>2361</v>
      </c>
      <c r="Q65" s="2252" t="s">
        <v>2362</v>
      </c>
      <c r="R65" s="2251" t="s">
        <v>2363</v>
      </c>
    </row>
    <row r="66" spans="1:18" s="1942" customFormat="1" ht="24.75" thickBot="1">
      <c r="A66" s="787" t="s">
        <v>1767</v>
      </c>
      <c r="B66" s="2723" t="s">
        <v>2800</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7" priority="7">
      <formula>$L$48&gt;$J$51</formula>
    </cfRule>
  </conditionalFormatting>
  <conditionalFormatting sqref="I55">
    <cfRule type="expression" dxfId="156" priority="8">
      <formula>$J$51&gt;$L$48</formula>
    </cfRule>
  </conditionalFormatting>
  <conditionalFormatting sqref="I60">
    <cfRule type="expression" dxfId="155" priority="6">
      <formula>$J$51&gt;$L$48</formula>
    </cfRule>
  </conditionalFormatting>
  <conditionalFormatting sqref="K60">
    <cfRule type="expression" dxfId="154" priority="5">
      <formula>$L$48&gt;$J$51</formula>
    </cfRule>
  </conditionalFormatting>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N47" sqref="N47"/>
    </sheetView>
  </sheetViews>
  <sheetFormatPr defaultRowHeight="13.5"/>
  <cols>
    <col min="1" max="1" width="10.5" customWidth="1"/>
    <col min="2" max="2" width="12.875" customWidth="1"/>
    <col min="3" max="3" width="8.75" customWidth="1"/>
  </cols>
  <sheetData>
    <row r="1" spans="1:9" ht="14.25">
      <c r="A1" s="4026" t="s">
        <v>2452</v>
      </c>
      <c r="B1" s="4027"/>
      <c r="C1" s="4028"/>
      <c r="D1" s="4029">
        <f>SUM(I10,I15,I20,I21,I23)</f>
        <v>0</v>
      </c>
      <c r="E1" s="4029"/>
      <c r="F1" s="4029"/>
      <c r="G1" s="4029"/>
      <c r="H1" s="4029"/>
      <c r="I1" s="4030"/>
    </row>
    <row r="2" spans="1:9">
      <c r="A2" s="4031" t="s">
        <v>2453</v>
      </c>
      <c r="B2" s="4032" t="s">
        <v>2454</v>
      </c>
      <c r="C2" s="4032"/>
      <c r="D2" s="2360" t="s">
        <v>2455</v>
      </c>
      <c r="E2" s="2360" t="s">
        <v>2456</v>
      </c>
      <c r="F2" s="2360" t="s">
        <v>2457</v>
      </c>
      <c r="G2" s="2360" t="s">
        <v>2458</v>
      </c>
      <c r="H2" s="2360" t="s">
        <v>2459</v>
      </c>
      <c r="I2" s="2361" t="s">
        <v>2460</v>
      </c>
    </row>
    <row r="3" spans="1:9">
      <c r="A3" s="4031"/>
      <c r="B3" s="4032" t="s">
        <v>2461</v>
      </c>
      <c r="C3" s="4032"/>
      <c r="D3" s="2362"/>
      <c r="E3" s="2360"/>
      <c r="F3" s="2363"/>
      <c r="G3" s="2363"/>
      <c r="H3" s="2364"/>
      <c r="I3" s="2365">
        <f>ROUND(D3*E3*F3*G3*H3/10000,0)</f>
        <v>0</v>
      </c>
    </row>
    <row r="4" spans="1:9">
      <c r="A4" s="4031"/>
      <c r="B4" s="4032" t="s">
        <v>2462</v>
      </c>
      <c r="C4" s="4032"/>
      <c r="D4" s="2362"/>
      <c r="E4" s="2360"/>
      <c r="F4" s="2363"/>
      <c r="G4" s="2363"/>
      <c r="H4" s="2364"/>
      <c r="I4" s="2365">
        <f t="shared" ref="I4:I9" si="0">ROUND(D4*E4*F4*G4*H4/10000,0)</f>
        <v>0</v>
      </c>
    </row>
    <row r="5" spans="1:9">
      <c r="A5" s="4031"/>
      <c r="B5" s="4032" t="s">
        <v>2463</v>
      </c>
      <c r="C5" s="4032"/>
      <c r="D5" s="2362"/>
      <c r="E5" s="2360"/>
      <c r="F5" s="2363"/>
      <c r="G5" s="2363"/>
      <c r="H5" s="2364"/>
      <c r="I5" s="2365">
        <f t="shared" si="0"/>
        <v>0</v>
      </c>
    </row>
    <row r="6" spans="1:9">
      <c r="A6" s="4031"/>
      <c r="B6" s="4032" t="s">
        <v>2464</v>
      </c>
      <c r="C6" s="4032"/>
      <c r="D6" s="2362"/>
      <c r="E6" s="2360"/>
      <c r="F6" s="2363"/>
      <c r="G6" s="2363"/>
      <c r="H6" s="2364"/>
      <c r="I6" s="2365">
        <f t="shared" si="0"/>
        <v>0</v>
      </c>
    </row>
    <row r="7" spans="1:9">
      <c r="A7" s="4031"/>
      <c r="B7" s="4032" t="s">
        <v>2465</v>
      </c>
      <c r="C7" s="4032"/>
      <c r="D7" s="2362"/>
      <c r="E7" s="2360"/>
      <c r="F7" s="2363"/>
      <c r="G7" s="2363"/>
      <c r="H7" s="2364"/>
      <c r="I7" s="2365">
        <f t="shared" si="0"/>
        <v>0</v>
      </c>
    </row>
    <row r="8" spans="1:9">
      <c r="A8" s="4031"/>
      <c r="B8" s="4032" t="s">
        <v>2466</v>
      </c>
      <c r="C8" s="4032"/>
      <c r="D8" s="2362"/>
      <c r="E8" s="2360"/>
      <c r="F8" s="2363"/>
      <c r="G8" s="2363"/>
      <c r="H8" s="2364"/>
      <c r="I8" s="2365">
        <f t="shared" si="0"/>
        <v>0</v>
      </c>
    </row>
    <row r="9" spans="1:9">
      <c r="A9" s="4031"/>
      <c r="B9" s="4032" t="s">
        <v>2467</v>
      </c>
      <c r="C9" s="4032"/>
      <c r="D9" s="2362"/>
      <c r="E9" s="2360"/>
      <c r="F9" s="2363"/>
      <c r="G9" s="2363"/>
      <c r="H9" s="2364"/>
      <c r="I9" s="2365">
        <f t="shared" si="0"/>
        <v>0</v>
      </c>
    </row>
    <row r="10" spans="1:9">
      <c r="A10" s="4031"/>
      <c r="B10" s="4033" t="s">
        <v>2468</v>
      </c>
      <c r="C10" s="4033"/>
      <c r="D10" s="2366">
        <v>527</v>
      </c>
      <c r="E10" s="2366" t="e">
        <f>ROUND(D1*10000/D10/H9,0)</f>
        <v>#DIV/0!</v>
      </c>
      <c r="F10" s="2367"/>
      <c r="G10" s="2367"/>
      <c r="H10" s="2368"/>
      <c r="I10" s="2369">
        <f>SUM(I3:I9)</f>
        <v>0</v>
      </c>
    </row>
    <row r="11" spans="1:9" ht="14.25">
      <c r="A11" s="4031" t="s">
        <v>2469</v>
      </c>
      <c r="B11" s="4032" t="s">
        <v>2470</v>
      </c>
      <c r="C11" s="4032"/>
      <c r="D11" s="2362" t="s">
        <v>2471</v>
      </c>
      <c r="E11" s="2362" t="s">
        <v>2472</v>
      </c>
      <c r="F11" s="2363" t="s">
        <v>2473</v>
      </c>
      <c r="G11" s="2363" t="s">
        <v>2474</v>
      </c>
      <c r="H11" s="2370" t="s">
        <v>2475</v>
      </c>
      <c r="I11" s="2361" t="s">
        <v>2476</v>
      </c>
    </row>
    <row r="12" spans="1:9">
      <c r="A12" s="4031"/>
      <c r="B12" s="4032" t="s">
        <v>2477</v>
      </c>
      <c r="C12" s="4032"/>
      <c r="D12" s="2362"/>
      <c r="E12" s="2362"/>
      <c r="F12" s="2363"/>
      <c r="G12" s="2364"/>
      <c r="H12" s="2371"/>
      <c r="I12" s="2361">
        <f>ROUND(D12*E12*F12*G12/10000,0)</f>
        <v>0</v>
      </c>
    </row>
    <row r="13" spans="1:9">
      <c r="A13" s="4031"/>
      <c r="B13" s="4032" t="s">
        <v>2478</v>
      </c>
      <c r="C13" s="4032"/>
      <c r="D13" s="2362"/>
      <c r="E13" s="2362"/>
      <c r="F13" s="2363"/>
      <c r="G13" s="2364"/>
      <c r="H13" s="2371"/>
      <c r="I13" s="2361">
        <f>ROUND(D13*E13*F13*G13/10000,0)</f>
        <v>0</v>
      </c>
    </row>
    <row r="14" spans="1:9">
      <c r="A14" s="4031"/>
      <c r="B14" s="4032" t="s">
        <v>2479</v>
      </c>
      <c r="C14" s="4032"/>
      <c r="D14" s="2362"/>
      <c r="E14" s="2362"/>
      <c r="F14" s="2363"/>
      <c r="G14" s="2364"/>
      <c r="H14" s="2371"/>
      <c r="I14" s="2361">
        <f>ROUND(D14*E14*F14*G14/10000,0)</f>
        <v>0</v>
      </c>
    </row>
    <row r="15" spans="1:9">
      <c r="A15" s="4031"/>
      <c r="B15" s="4033" t="s">
        <v>2468</v>
      </c>
      <c r="C15" s="4033"/>
      <c r="D15" s="2366"/>
      <c r="E15" s="2366">
        <f>SUM(E12:E14)</f>
        <v>0</v>
      </c>
      <c r="F15" s="2367"/>
      <c r="G15" s="2364"/>
      <c r="H15" s="2371"/>
      <c r="I15" s="2372">
        <f>SUM(I12:I14)</f>
        <v>0</v>
      </c>
    </row>
    <row r="16" spans="1:9" ht="24">
      <c r="A16" s="4031" t="s">
        <v>2480</v>
      </c>
      <c r="B16" s="4032" t="s">
        <v>2481</v>
      </c>
      <c r="C16" s="4032"/>
      <c r="D16" s="2362" t="s">
        <v>2482</v>
      </c>
      <c r="E16" s="2373" t="s">
        <v>2483</v>
      </c>
      <c r="F16" s="2363" t="s">
        <v>2484</v>
      </c>
      <c r="G16" s="2364" t="s">
        <v>2474</v>
      </c>
      <c r="H16" s="2370" t="s">
        <v>2475</v>
      </c>
      <c r="I16" s="2361" t="s">
        <v>2476</v>
      </c>
    </row>
    <row r="17" spans="1:9" ht="14.25">
      <c r="A17" s="4031"/>
      <c r="B17" s="4032" t="s">
        <v>2485</v>
      </c>
      <c r="C17" s="4032"/>
      <c r="D17" s="2362"/>
      <c r="E17" s="2362"/>
      <c r="F17" s="2363"/>
      <c r="G17" s="2364"/>
      <c r="H17" s="2374"/>
      <c r="I17" s="2375">
        <f>ROUND(D17*E17*F17*G17/10000,0)</f>
        <v>0</v>
      </c>
    </row>
    <row r="18" spans="1:9" ht="14.25">
      <c r="A18" s="4031"/>
      <c r="B18" s="4032" t="s">
        <v>2486</v>
      </c>
      <c r="C18" s="4032"/>
      <c r="D18" s="2362"/>
      <c r="E18" s="2362"/>
      <c r="F18" s="2363"/>
      <c r="G18" s="2364"/>
      <c r="H18" s="2374"/>
      <c r="I18" s="2375">
        <f>ROUND(D18*E18*F18*G18/10000,0)</f>
        <v>0</v>
      </c>
    </row>
    <row r="19" spans="1:9" ht="14.25">
      <c r="A19" s="4031"/>
      <c r="B19" s="4032" t="s">
        <v>2487</v>
      </c>
      <c r="C19" s="4032"/>
      <c r="D19" s="2362"/>
      <c r="E19" s="2362"/>
      <c r="F19" s="2363"/>
      <c r="G19" s="2364"/>
      <c r="H19" s="2374"/>
      <c r="I19" s="2375">
        <f>ROUND(D19*E19*F19*G19/10000,0)</f>
        <v>0</v>
      </c>
    </row>
    <row r="20" spans="1:9">
      <c r="A20" s="4031"/>
      <c r="B20" s="4033" t="s">
        <v>2468</v>
      </c>
      <c r="C20" s="4033"/>
      <c r="D20" s="2366">
        <f>SUM(D17:D19)</f>
        <v>0</v>
      </c>
      <c r="E20" s="2366"/>
      <c r="F20" s="2367"/>
      <c r="G20" s="2364"/>
      <c r="H20" s="2371"/>
      <c r="I20" s="2372">
        <f>SUM(I17:I19)</f>
        <v>0</v>
      </c>
    </row>
    <row r="21" spans="1:9">
      <c r="A21" s="4031" t="s">
        <v>2488</v>
      </c>
      <c r="B21" s="4035"/>
      <c r="C21" s="4035"/>
      <c r="D21" s="4035"/>
      <c r="E21" s="4035"/>
      <c r="F21" s="4035"/>
      <c r="G21" s="4035"/>
      <c r="H21" s="2376">
        <v>0.1</v>
      </c>
      <c r="I21" s="2369">
        <f>ROUND(I10*H21,0)</f>
        <v>0</v>
      </c>
    </row>
    <row r="22" spans="1:9" ht="14.25">
      <c r="A22" s="4036" t="s">
        <v>2489</v>
      </c>
      <c r="B22" s="4037"/>
      <c r="C22" s="4038"/>
      <c r="D22" s="2377" t="s">
        <v>2490</v>
      </c>
      <c r="E22" s="2377" t="s">
        <v>2491</v>
      </c>
      <c r="F22" s="2378" t="s">
        <v>2492</v>
      </c>
      <c r="G22" s="2378" t="s">
        <v>2493</v>
      </c>
      <c r="H22" s="2370" t="s">
        <v>2494</v>
      </c>
      <c r="I22" s="2361" t="s">
        <v>2495</v>
      </c>
    </row>
    <row r="23" spans="1:9" ht="14.25" thickBot="1">
      <c r="A23" s="4039"/>
      <c r="B23" s="4040"/>
      <c r="C23" s="4041"/>
      <c r="D23" s="2379"/>
      <c r="E23" s="2379"/>
      <c r="F23" s="2379"/>
      <c r="G23" s="2380"/>
      <c r="H23" s="2381"/>
      <c r="I23" s="2382">
        <f>ROUND(E23*D23*F23*(1-G23)/10000,0)</f>
        <v>0</v>
      </c>
    </row>
    <row r="26" spans="1:9">
      <c r="A26" s="2383" t="s">
        <v>2496</v>
      </c>
      <c r="B26" s="2383"/>
      <c r="C26" s="2383"/>
      <c r="D26" s="2383"/>
      <c r="E26" s="4042">
        <f>C27-C30-C31-C32</f>
        <v>0</v>
      </c>
      <c r="F26" s="4042"/>
      <c r="G26" s="4042"/>
      <c r="H26" s="2755" t="s">
        <v>2821</v>
      </c>
    </row>
    <row r="27" spans="1:9">
      <c r="A27" s="2384">
        <v>1</v>
      </c>
      <c r="B27" s="2385" t="s">
        <v>2497</v>
      </c>
      <c r="C27" s="2385"/>
      <c r="D27" s="2385"/>
      <c r="E27" s="4043"/>
      <c r="F27" s="4043"/>
      <c r="G27" s="4043"/>
    </row>
    <row r="28" spans="1:9">
      <c r="A28" s="2386" t="s">
        <v>2498</v>
      </c>
      <c r="B28" s="2385" t="s">
        <v>2499</v>
      </c>
      <c r="C28" s="2385"/>
      <c r="D28" s="2385"/>
      <c r="E28" s="4043"/>
      <c r="F28" s="4043"/>
      <c r="G28" s="4043"/>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4034"/>
      <c r="F32" s="4034"/>
      <c r="G32" s="4034"/>
    </row>
    <row r="33" spans="1:7" hidden="1">
      <c r="A33" s="4044" t="s">
        <v>2507</v>
      </c>
      <c r="B33" s="4045"/>
      <c r="C33" s="4045"/>
      <c r="D33" s="4046"/>
      <c r="E33" s="4042"/>
      <c r="F33" s="4042"/>
      <c r="G33" s="4042"/>
    </row>
    <row r="34" spans="1:7" hidden="1">
      <c r="A34" s="2388">
        <v>1</v>
      </c>
      <c r="B34" s="2385" t="s">
        <v>2508</v>
      </c>
      <c r="C34" s="2385"/>
      <c r="D34" s="2385"/>
      <c r="E34" s="4043"/>
      <c r="F34" s="4043"/>
      <c r="G34" s="4043"/>
    </row>
    <row r="35" spans="1:7" hidden="1">
      <c r="A35" s="2388">
        <v>2</v>
      </c>
      <c r="B35" s="2385" t="s">
        <v>2509</v>
      </c>
      <c r="C35" s="2385"/>
      <c r="D35" s="2385"/>
      <c r="E35" s="4043"/>
      <c r="F35" s="4043"/>
      <c r="G35" s="4043"/>
    </row>
    <row r="36" spans="1:7" hidden="1">
      <c r="A36" s="2388">
        <v>3</v>
      </c>
      <c r="B36" s="2385" t="s">
        <v>2510</v>
      </c>
      <c r="C36" s="2385"/>
      <c r="D36" s="2385"/>
      <c r="E36" s="4043"/>
      <c r="F36" s="4043"/>
      <c r="G36" s="4043"/>
    </row>
    <row r="37" spans="1:7" hidden="1">
      <c r="A37" s="2388">
        <v>4</v>
      </c>
      <c r="B37" s="2385" t="s">
        <v>2511</v>
      </c>
      <c r="C37" s="2385"/>
      <c r="D37" s="2385"/>
      <c r="E37" s="4043"/>
      <c r="F37" s="4043"/>
      <c r="G37" s="4043"/>
    </row>
    <row r="38" spans="1:7" hidden="1">
      <c r="A38" s="4044" t="s">
        <v>2512</v>
      </c>
      <c r="B38" s="4045"/>
      <c r="C38" s="4045"/>
      <c r="D38" s="4046"/>
      <c r="E38" s="4042"/>
      <c r="F38" s="4042"/>
      <c r="G38" s="40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N47" sqref="N4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2996</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713</v>
      </c>
      <c r="D12" s="3270">
        <f>'数据-汇总表'!E5</f>
        <v>44536</v>
      </c>
      <c r="E12" s="3270">
        <f>'数据-取费表'!B27</f>
        <v>160</v>
      </c>
      <c r="F12" s="746"/>
      <c r="G12" s="749"/>
    </row>
    <row r="13" spans="1:25" s="2064" customFormat="1" ht="13.5" customHeight="1">
      <c r="A13" s="2329" t="s">
        <v>2430</v>
      </c>
      <c r="B13" s="747" t="s">
        <v>606</v>
      </c>
      <c r="C13" s="748">
        <f>ROUND(D13*E13/10000,0)</f>
        <v>786</v>
      </c>
      <c r="D13" s="3270">
        <f>'数据-汇总表'!E6</f>
        <v>39321</v>
      </c>
      <c r="E13" s="3270">
        <f>'数据-取费表'!B28</f>
        <v>200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0.85399999999999998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936" t="s">
        <v>516</v>
      </c>
      <c r="D4" s="3937"/>
      <c r="E4" s="3972" t="s">
        <v>517</v>
      </c>
      <c r="F4" s="3973"/>
      <c r="G4" s="3936" t="s">
        <v>518</v>
      </c>
      <c r="H4" s="3937"/>
      <c r="I4" s="3936" t="s">
        <v>519</v>
      </c>
      <c r="J4" s="3937"/>
      <c r="K4" s="842" t="s">
        <v>520</v>
      </c>
      <c r="L4" s="2015"/>
      <c r="M4" s="2016"/>
      <c r="N4" s="2016"/>
      <c r="O4" s="2016"/>
      <c r="P4" s="3938" t="s">
        <v>521</v>
      </c>
      <c r="Q4" s="3939"/>
      <c r="R4" s="3944" t="s">
        <v>517</v>
      </c>
      <c r="S4" s="3945"/>
      <c r="T4" s="3944" t="s">
        <v>518</v>
      </c>
      <c r="U4" s="3945"/>
      <c r="V4" s="3931" t="s">
        <v>519</v>
      </c>
      <c r="W4" s="3931"/>
      <c r="X4" s="1501"/>
      <c r="Y4" s="3944" t="s">
        <v>521</v>
      </c>
      <c r="Z4" s="3945"/>
      <c r="AA4" s="3933" t="s">
        <v>517</v>
      </c>
      <c r="AB4" s="3933" t="s">
        <v>518</v>
      </c>
      <c r="AC4" s="3933" t="s">
        <v>519</v>
      </c>
    </row>
    <row r="5" spans="1:29" ht="15">
      <c r="A5" s="509"/>
      <c r="B5" s="510"/>
      <c r="C5" s="3952" t="s">
        <v>2896</v>
      </c>
      <c r="D5" s="3953"/>
      <c r="E5" s="3958" t="s">
        <v>2897</v>
      </c>
      <c r="F5" s="3959"/>
      <c r="G5" s="3952" t="s">
        <v>2898</v>
      </c>
      <c r="H5" s="3953"/>
      <c r="I5" s="3952" t="s">
        <v>2899</v>
      </c>
      <c r="J5" s="3953"/>
      <c r="K5" s="843"/>
      <c r="L5" s="2015"/>
      <c r="M5" s="2016"/>
      <c r="N5" s="2016"/>
      <c r="O5" s="2016"/>
      <c r="P5" s="3940"/>
      <c r="Q5" s="3941"/>
      <c r="R5" s="3946"/>
      <c r="S5" s="3947"/>
      <c r="T5" s="3946"/>
      <c r="U5" s="3947"/>
      <c r="V5" s="3931"/>
      <c r="W5" s="3931"/>
      <c r="X5" s="1501"/>
      <c r="Y5" s="3946"/>
      <c r="Z5" s="3947"/>
      <c r="AA5" s="3934"/>
      <c r="AB5" s="3934"/>
      <c r="AC5" s="3934"/>
    </row>
    <row r="6" spans="1:29" ht="15.75" thickBot="1">
      <c r="A6" s="511"/>
      <c r="B6" s="512"/>
      <c r="C6" s="3950" t="s">
        <v>2900</v>
      </c>
      <c r="D6" s="3951"/>
      <c r="E6" s="3956" t="s">
        <v>2900</v>
      </c>
      <c r="F6" s="3957"/>
      <c r="G6" s="3950" t="s">
        <v>2900</v>
      </c>
      <c r="H6" s="3951"/>
      <c r="I6" s="3950" t="s">
        <v>2900</v>
      </c>
      <c r="J6" s="3951"/>
      <c r="K6" s="843" t="s">
        <v>522</v>
      </c>
      <c r="L6" s="2015"/>
      <c r="M6" s="2016"/>
      <c r="N6" s="2016"/>
      <c r="O6" s="2016"/>
      <c r="P6" s="3942"/>
      <c r="Q6" s="3943"/>
      <c r="R6" s="3946"/>
      <c r="S6" s="3947"/>
      <c r="T6" s="3948"/>
      <c r="U6" s="3949"/>
      <c r="V6" s="3931"/>
      <c r="W6" s="3931"/>
      <c r="X6" s="1501"/>
      <c r="Y6" s="3948"/>
      <c r="Z6" s="3949"/>
      <c r="AA6" s="3935"/>
      <c r="AB6" s="3935"/>
      <c r="AC6" s="3935"/>
    </row>
    <row r="7" spans="1:29" s="1203" customFormat="1" ht="15.75" thickBot="1">
      <c r="A7" s="2628"/>
      <c r="B7" s="2635" t="s">
        <v>523</v>
      </c>
      <c r="C7" s="513">
        <f>'数据-取费表'!B2</f>
        <v>44232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965" t="s">
        <v>524</v>
      </c>
      <c r="Q7" s="3967"/>
      <c r="R7" s="1502" t="s">
        <v>13</v>
      </c>
      <c r="S7" s="1503">
        <f t="shared" ref="S7:S15" si="0">F7</f>
        <v>0</v>
      </c>
      <c r="T7" s="1502" t="s">
        <v>13</v>
      </c>
      <c r="U7" s="1503">
        <f t="shared" ref="U7:U15" si="1">H7</f>
        <v>0</v>
      </c>
      <c r="V7" s="1502" t="s">
        <v>13</v>
      </c>
      <c r="W7" s="1503">
        <f t="shared" ref="W7:W15"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965" t="s">
        <v>527</v>
      </c>
      <c r="Q8" s="3966"/>
      <c r="R8" s="1502" t="s">
        <v>13</v>
      </c>
      <c r="S8" s="1503">
        <f t="shared" si="0"/>
        <v>0</v>
      </c>
      <c r="T8" s="1502" t="s">
        <v>13</v>
      </c>
      <c r="U8" s="1503">
        <f t="shared" si="1"/>
        <v>0</v>
      </c>
      <c r="V8" s="1502" t="s">
        <v>13</v>
      </c>
      <c r="W8" s="1503">
        <f t="shared" si="2"/>
        <v>0</v>
      </c>
      <c r="X8" s="1504"/>
      <c r="Y8" s="3965" t="s">
        <v>527</v>
      </c>
      <c r="Z8" s="3966"/>
      <c r="AA8" s="1505" t="e">
        <f t="shared" ref="AA8:AA46" si="3">D8/F8</f>
        <v>#DIV/0!</v>
      </c>
      <c r="AB8" s="1505" t="e">
        <f t="shared" ref="AB8:AB46" si="4">D8/H8</f>
        <v>#DIV/0!</v>
      </c>
      <c r="AC8" s="1505" t="e">
        <f t="shared" ref="AC8:AC46" si="5">D8/J8</f>
        <v>#DIV/0!</v>
      </c>
    </row>
    <row r="9" spans="1:29" s="1203" customFormat="1" ht="15">
      <c r="A9" s="2630"/>
      <c r="B9" s="2637"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930" t="s">
        <v>529</v>
      </c>
      <c r="Q9" s="1134" t="str">
        <f t="shared" ref="Q9:Q15" si="6">B9</f>
        <v>用途</v>
      </c>
      <c r="R9" s="1502" t="s">
        <v>8</v>
      </c>
      <c r="S9" s="1503">
        <f t="shared" si="0"/>
        <v>100</v>
      </c>
      <c r="T9" s="1502" t="s">
        <v>8</v>
      </c>
      <c r="U9" s="1503">
        <f t="shared" si="1"/>
        <v>100</v>
      </c>
      <c r="V9" s="1502" t="s">
        <v>8</v>
      </c>
      <c r="W9" s="1503">
        <f t="shared" si="2"/>
        <v>100</v>
      </c>
      <c r="X9" s="1504"/>
      <c r="Y9" s="3876" t="s">
        <v>530</v>
      </c>
      <c r="Z9" s="1133" t="str">
        <f t="shared" ref="Z9:Z15" si="7">Q9</f>
        <v>用途</v>
      </c>
      <c r="AA9" s="1505">
        <f t="shared" si="3"/>
        <v>1</v>
      </c>
      <c r="AB9" s="1505">
        <f t="shared" si="4"/>
        <v>1</v>
      </c>
      <c r="AC9" s="1505">
        <f t="shared" si="5"/>
        <v>1</v>
      </c>
    </row>
    <row r="10" spans="1:29" s="1292" customFormat="1" ht="27">
      <c r="A10" s="2631"/>
      <c r="B10" s="2636"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2"/>
      <c r="B11" s="2636"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930"/>
      <c r="Q11" s="1134" t="str">
        <f t="shared" si="6"/>
        <v>容积率</v>
      </c>
      <c r="R11" s="1502" t="s">
        <v>11</v>
      </c>
      <c r="S11" s="1503" t="e">
        <f t="shared" si="0"/>
        <v>#N/A</v>
      </c>
      <c r="T11" s="1502" t="s">
        <v>11</v>
      </c>
      <c r="U11" s="1503" t="e">
        <f t="shared" si="1"/>
        <v>#N/A</v>
      </c>
      <c r="V11" s="1502" t="s">
        <v>11</v>
      </c>
      <c r="W11" s="1503" t="e">
        <f t="shared" si="2"/>
        <v>#N/A</v>
      </c>
      <c r="X11" s="1504"/>
      <c r="Y11" s="3876"/>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930"/>
      <c r="Q12" s="1134">
        <f t="shared" si="6"/>
        <v>111</v>
      </c>
      <c r="R12" s="1502" t="s">
        <v>11</v>
      </c>
      <c r="S12" s="1503">
        <f t="shared" si="0"/>
        <v>100</v>
      </c>
      <c r="T12" s="1502" t="s">
        <v>11</v>
      </c>
      <c r="U12" s="1503">
        <f t="shared" si="1"/>
        <v>100</v>
      </c>
      <c r="V12" s="1502" t="s">
        <v>11</v>
      </c>
      <c r="W12" s="1503">
        <f t="shared" si="2"/>
        <v>100</v>
      </c>
      <c r="X12" s="1504"/>
      <c r="Y12" s="3876"/>
      <c r="Z12" s="1133">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930"/>
      <c r="Q13" s="1134">
        <f t="shared" si="6"/>
        <v>111</v>
      </c>
      <c r="R13" s="1502" t="s">
        <v>11</v>
      </c>
      <c r="S13" s="1503">
        <f t="shared" si="0"/>
        <v>100</v>
      </c>
      <c r="T13" s="1502" t="s">
        <v>11</v>
      </c>
      <c r="U13" s="1503">
        <f t="shared" si="1"/>
        <v>100</v>
      </c>
      <c r="V13" s="1502" t="s">
        <v>11</v>
      </c>
      <c r="W13" s="1503">
        <f t="shared" si="2"/>
        <v>100</v>
      </c>
      <c r="X13" s="1504"/>
      <c r="Y13" s="3876"/>
      <c r="Z13" s="1133">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930"/>
      <c r="Q14" s="1134">
        <f t="shared" si="6"/>
        <v>111</v>
      </c>
      <c r="R14" s="1502" t="s">
        <v>11</v>
      </c>
      <c r="S14" s="1503">
        <f t="shared" si="0"/>
        <v>100</v>
      </c>
      <c r="T14" s="1502" t="s">
        <v>11</v>
      </c>
      <c r="U14" s="1503">
        <f t="shared" si="1"/>
        <v>100</v>
      </c>
      <c r="V14" s="1502" t="s">
        <v>11</v>
      </c>
      <c r="W14" s="1503">
        <f t="shared" si="2"/>
        <v>100</v>
      </c>
      <c r="X14" s="1504"/>
      <c r="Y14" s="3876"/>
      <c r="Z14" s="1133">
        <f t="shared" si="7"/>
        <v>111</v>
      </c>
      <c r="AA14" s="1505">
        <f t="shared" si="3"/>
        <v>1</v>
      </c>
      <c r="AB14" s="1505">
        <f t="shared" si="4"/>
        <v>1</v>
      </c>
      <c r="AC14" s="1505">
        <f t="shared" si="5"/>
        <v>1</v>
      </c>
    </row>
    <row r="15" spans="1:29" ht="99.75">
      <c r="A15" s="2626"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968" t="s">
        <v>534</v>
      </c>
      <c r="Q15" s="1506" t="str">
        <f t="shared" si="6"/>
        <v>居住社区成熟度</v>
      </c>
      <c r="R15" s="1507" t="s">
        <v>11</v>
      </c>
      <c r="S15" s="1508">
        <f t="shared" si="0"/>
        <v>100</v>
      </c>
      <c r="T15" s="1507" t="s">
        <v>11</v>
      </c>
      <c r="U15" s="1508">
        <f t="shared" si="1"/>
        <v>100</v>
      </c>
      <c r="V15" s="1507" t="s">
        <v>11</v>
      </c>
      <c r="W15" s="1508">
        <f t="shared" si="2"/>
        <v>100</v>
      </c>
      <c r="X15" s="1501"/>
      <c r="Y15" s="3968"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969"/>
      <c r="Q16" s="1506"/>
      <c r="R16" s="1507"/>
      <c r="S16" s="1508"/>
      <c r="T16" s="1507"/>
      <c r="U16" s="1508"/>
      <c r="V16" s="1507"/>
      <c r="W16" s="1508"/>
      <c r="X16" s="1501"/>
      <c r="Y16" s="3969"/>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969"/>
      <c r="Q17" s="1506" t="str">
        <f>B17</f>
        <v>交通便捷度</v>
      </c>
      <c r="R17" s="1507" t="s">
        <v>11</v>
      </c>
      <c r="S17" s="1508">
        <f>F17</f>
        <v>100</v>
      </c>
      <c r="T17" s="1507" t="s">
        <v>11</v>
      </c>
      <c r="U17" s="1508">
        <f>H17</f>
        <v>100</v>
      </c>
      <c r="V17" s="1507" t="s">
        <v>11</v>
      </c>
      <c r="W17" s="1508">
        <f>J17</f>
        <v>100</v>
      </c>
      <c r="X17" s="1501"/>
      <c r="Y17" s="396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969"/>
      <c r="Q18" s="1506"/>
      <c r="R18" s="1507"/>
      <c r="S18" s="1508"/>
      <c r="T18" s="1507"/>
      <c r="U18" s="1508"/>
      <c r="V18" s="1507"/>
      <c r="W18" s="1508"/>
      <c r="X18" s="1501"/>
      <c r="Y18" s="3969"/>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969"/>
      <c r="Q19" s="1506" t="str">
        <f>B19</f>
        <v>公共配套设施</v>
      </c>
      <c r="R19" s="1507" t="s">
        <v>11</v>
      </c>
      <c r="S19" s="1508">
        <f>F19</f>
        <v>100</v>
      </c>
      <c r="T19" s="1507" t="s">
        <v>11</v>
      </c>
      <c r="U19" s="1508">
        <f>H19</f>
        <v>100</v>
      </c>
      <c r="V19" s="1507" t="s">
        <v>11</v>
      </c>
      <c r="W19" s="1508">
        <f>J19</f>
        <v>100</v>
      </c>
      <c r="X19" s="1501"/>
      <c r="Y19" s="396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969"/>
      <c r="Q20" s="1506"/>
      <c r="R20" s="1507"/>
      <c r="S20" s="1508"/>
      <c r="T20" s="1507"/>
      <c r="U20" s="1508"/>
      <c r="V20" s="1507"/>
      <c r="W20" s="1508"/>
      <c r="X20" s="1501"/>
      <c r="Y20" s="3969"/>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969"/>
      <c r="Q21" s="2429" t="str">
        <f>B21</f>
        <v>基础设施水平</v>
      </c>
      <c r="R21" s="1507" t="s">
        <v>11</v>
      </c>
      <c r="S21" s="1508">
        <f>F21</f>
        <v>100</v>
      </c>
      <c r="T21" s="1507" t="s">
        <v>11</v>
      </c>
      <c r="U21" s="1508">
        <f>H21</f>
        <v>100</v>
      </c>
      <c r="V21" s="1507" t="s">
        <v>11</v>
      </c>
      <c r="W21" s="1508">
        <f>J21</f>
        <v>100</v>
      </c>
      <c r="X21" s="2431"/>
      <c r="Y21" s="396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969"/>
      <c r="Q22" s="2429"/>
      <c r="R22" s="1507"/>
      <c r="S22" s="1508"/>
      <c r="T22" s="1507"/>
      <c r="U22" s="1508"/>
      <c r="V22" s="1507"/>
      <c r="W22" s="1508"/>
      <c r="X22" s="2431"/>
      <c r="Y22" s="3969"/>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969"/>
      <c r="Q23" s="1506" t="str">
        <f>B23</f>
        <v>自然及人文环境</v>
      </c>
      <c r="R23" s="1507" t="s">
        <v>11</v>
      </c>
      <c r="S23" s="1508">
        <f>F23</f>
        <v>100</v>
      </c>
      <c r="T23" s="1507" t="s">
        <v>11</v>
      </c>
      <c r="U23" s="1508">
        <f>H23</f>
        <v>100</v>
      </c>
      <c r="V23" s="1507" t="s">
        <v>11</v>
      </c>
      <c r="W23" s="1508">
        <f>J23</f>
        <v>100</v>
      </c>
      <c r="X23" s="1501"/>
      <c r="Y23" s="396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969"/>
      <c r="Q24" s="1506"/>
      <c r="R24" s="1507"/>
      <c r="S24" s="1508"/>
      <c r="T24" s="1507"/>
      <c r="U24" s="1508"/>
      <c r="V24" s="1507"/>
      <c r="W24" s="1508"/>
      <c r="X24" s="1501"/>
      <c r="Y24" s="3969"/>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969"/>
      <c r="Q25" s="1506" t="str">
        <f t="shared" ref="Q25:Q46" si="11">B25</f>
        <v>楼层-1</v>
      </c>
      <c r="R25" s="1507" t="s">
        <v>11</v>
      </c>
      <c r="S25" s="1508">
        <f>F25</f>
        <v>100</v>
      </c>
      <c r="T25" s="1507" t="s">
        <v>11</v>
      </c>
      <c r="U25" s="1508">
        <f>H25</f>
        <v>100</v>
      </c>
      <c r="V25" s="1507" t="s">
        <v>11</v>
      </c>
      <c r="W25" s="1508">
        <f>J25</f>
        <v>100</v>
      </c>
      <c r="X25" s="1501"/>
      <c r="Y25" s="3969"/>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969"/>
      <c r="Q26" s="1506" t="str">
        <f t="shared" si="11"/>
        <v>朝向</v>
      </c>
      <c r="R26" s="1507" t="s">
        <v>11</v>
      </c>
      <c r="S26" s="1508">
        <f>F26</f>
        <v>100</v>
      </c>
      <c r="T26" s="1507" t="s">
        <v>11</v>
      </c>
      <c r="U26" s="1508">
        <f>H26</f>
        <v>100</v>
      </c>
      <c r="V26" s="1507" t="s">
        <v>11</v>
      </c>
      <c r="W26" s="1508">
        <f>J26</f>
        <v>100</v>
      </c>
      <c r="X26" s="1501"/>
      <c r="Y26" s="3969"/>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969"/>
      <c r="Q27" s="1134" t="str">
        <f t="shared" si="11"/>
        <v>道路级别</v>
      </c>
      <c r="R27" s="1502" t="s">
        <v>11</v>
      </c>
      <c r="S27" s="1503">
        <f>F27</f>
        <v>100</v>
      </c>
      <c r="T27" s="1502" t="s">
        <v>11</v>
      </c>
      <c r="U27" s="1503">
        <f>H27</f>
        <v>100</v>
      </c>
      <c r="V27" s="1502" t="s">
        <v>11</v>
      </c>
      <c r="W27" s="1503">
        <f>J27</f>
        <v>100</v>
      </c>
      <c r="X27" s="1504"/>
      <c r="Y27" s="3969"/>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969"/>
      <c r="Q28" s="1506">
        <f t="shared" si="11"/>
        <v>111</v>
      </c>
      <c r="R28" s="1507" t="s">
        <v>11</v>
      </c>
      <c r="S28" s="1508">
        <f t="shared" ref="S28:S46" si="12">F28</f>
        <v>100</v>
      </c>
      <c r="T28" s="1507" t="s">
        <v>11</v>
      </c>
      <c r="U28" s="1508">
        <f t="shared" ref="U28:U46" si="13">H28</f>
        <v>100</v>
      </c>
      <c r="V28" s="1507" t="s">
        <v>11</v>
      </c>
      <c r="W28" s="1508">
        <f t="shared" ref="W28:W46" si="14">J28</f>
        <v>100</v>
      </c>
      <c r="X28" s="1501"/>
      <c r="Y28" s="3969"/>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969"/>
      <c r="Q29" s="1506">
        <f t="shared" si="11"/>
        <v>111</v>
      </c>
      <c r="R29" s="1507" t="s">
        <v>11</v>
      </c>
      <c r="S29" s="1508">
        <f t="shared" si="12"/>
        <v>100</v>
      </c>
      <c r="T29" s="1507" t="s">
        <v>11</v>
      </c>
      <c r="U29" s="1508">
        <f t="shared" si="13"/>
        <v>100</v>
      </c>
      <c r="V29" s="1507" t="s">
        <v>11</v>
      </c>
      <c r="W29" s="1508">
        <f t="shared" si="14"/>
        <v>100</v>
      </c>
      <c r="X29" s="1501"/>
      <c r="Y29" s="396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969"/>
      <c r="Q30" s="1506">
        <f t="shared" si="11"/>
        <v>111</v>
      </c>
      <c r="R30" s="1507" t="s">
        <v>11</v>
      </c>
      <c r="S30" s="1508">
        <f t="shared" si="12"/>
        <v>100</v>
      </c>
      <c r="T30" s="1507" t="s">
        <v>11</v>
      </c>
      <c r="U30" s="1508">
        <f t="shared" si="13"/>
        <v>100</v>
      </c>
      <c r="V30" s="1507" t="s">
        <v>11</v>
      </c>
      <c r="W30" s="1508">
        <f t="shared" si="14"/>
        <v>100</v>
      </c>
      <c r="X30" s="1501"/>
      <c r="Y30" s="3969"/>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969"/>
      <c r="Q31" s="1506">
        <f t="shared" si="11"/>
        <v>111</v>
      </c>
      <c r="R31" s="1507" t="s">
        <v>11</v>
      </c>
      <c r="S31" s="1508">
        <f t="shared" si="12"/>
        <v>100</v>
      </c>
      <c r="T31" s="1507" t="s">
        <v>11</v>
      </c>
      <c r="U31" s="1508">
        <f t="shared" si="13"/>
        <v>100</v>
      </c>
      <c r="V31" s="1507" t="s">
        <v>11</v>
      </c>
      <c r="W31" s="1508">
        <f t="shared" si="14"/>
        <v>100</v>
      </c>
      <c r="X31" s="1501"/>
      <c r="Y31" s="3969"/>
      <c r="Z31" s="1509">
        <f t="shared" si="15"/>
        <v>111</v>
      </c>
      <c r="AA31" s="1510">
        <f t="shared" si="3"/>
        <v>1</v>
      </c>
      <c r="AB31" s="1510">
        <f t="shared" si="4"/>
        <v>1</v>
      </c>
      <c r="AC31" s="1510">
        <f t="shared" si="5"/>
        <v>1</v>
      </c>
    </row>
    <row r="32" spans="1:29" ht="15">
      <c r="A32" s="2624"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970" t="s">
        <v>544</v>
      </c>
      <c r="Q32" s="1506" t="str">
        <f t="shared" si="11"/>
        <v>建筑类型</v>
      </c>
      <c r="R32" s="1507" t="s">
        <v>11</v>
      </c>
      <c r="S32" s="1508">
        <f t="shared" si="12"/>
        <v>100</v>
      </c>
      <c r="T32" s="1507" t="s">
        <v>11</v>
      </c>
      <c r="U32" s="1508">
        <f t="shared" si="13"/>
        <v>100</v>
      </c>
      <c r="V32" s="1507" t="s">
        <v>11</v>
      </c>
      <c r="W32" s="1508">
        <f t="shared" si="14"/>
        <v>100</v>
      </c>
      <c r="X32" s="1501"/>
      <c r="Y32" s="3971"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971"/>
      <c r="Q33" s="1535" t="str">
        <f t="shared" si="11"/>
        <v>项目建筑规模</v>
      </c>
      <c r="R33" s="1511" t="s">
        <v>11</v>
      </c>
      <c r="S33" s="1512" t="e">
        <f t="shared" si="12"/>
        <v>#N/A</v>
      </c>
      <c r="T33" s="1511" t="s">
        <v>11</v>
      </c>
      <c r="U33" s="1512" t="e">
        <f t="shared" si="13"/>
        <v>#N/A</v>
      </c>
      <c r="V33" s="1511" t="s">
        <v>11</v>
      </c>
      <c r="W33" s="1512" t="e">
        <f t="shared" si="14"/>
        <v>#N/A</v>
      </c>
      <c r="X33" s="1513"/>
      <c r="Y33" s="3971"/>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971"/>
      <c r="Q34" s="1506" t="str">
        <f t="shared" si="11"/>
        <v>建筑结构</v>
      </c>
      <c r="R34" s="1507" t="s">
        <v>11</v>
      </c>
      <c r="S34" s="1508">
        <f t="shared" si="12"/>
        <v>100</v>
      </c>
      <c r="T34" s="1507" t="s">
        <v>11</v>
      </c>
      <c r="U34" s="1508">
        <f t="shared" si="13"/>
        <v>100</v>
      </c>
      <c r="V34" s="1507" t="s">
        <v>11</v>
      </c>
      <c r="W34" s="1508">
        <f t="shared" si="14"/>
        <v>100</v>
      </c>
      <c r="X34" s="1501"/>
      <c r="Y34" s="3971"/>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971"/>
      <c r="Q35" s="1506" t="str">
        <f t="shared" si="11"/>
        <v>建筑品质</v>
      </c>
      <c r="R35" s="1507" t="s">
        <v>11</v>
      </c>
      <c r="S35" s="1508">
        <f t="shared" si="12"/>
        <v>100</v>
      </c>
      <c r="T35" s="1507" t="s">
        <v>11</v>
      </c>
      <c r="U35" s="1508">
        <f t="shared" si="13"/>
        <v>100</v>
      </c>
      <c r="V35" s="1507" t="s">
        <v>11</v>
      </c>
      <c r="W35" s="1508">
        <f t="shared" si="14"/>
        <v>100</v>
      </c>
      <c r="X35" s="1501"/>
      <c r="Y35" s="3971"/>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971"/>
      <c r="Q36" s="1506" t="str">
        <f t="shared" si="11"/>
        <v>公共部分装修</v>
      </c>
      <c r="R36" s="1507" t="s">
        <v>11</v>
      </c>
      <c r="S36" s="1508">
        <f t="shared" si="12"/>
        <v>100</v>
      </c>
      <c r="T36" s="1507" t="s">
        <v>11</v>
      </c>
      <c r="U36" s="1508">
        <f t="shared" si="13"/>
        <v>100</v>
      </c>
      <c r="V36" s="1507" t="s">
        <v>11</v>
      </c>
      <c r="W36" s="1508">
        <f t="shared" si="14"/>
        <v>100</v>
      </c>
      <c r="X36" s="1501"/>
      <c r="Y36" s="3971"/>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971"/>
      <c r="Q37" s="1134" t="str">
        <f t="shared" si="11"/>
        <v>成新度</v>
      </c>
      <c r="R37" s="1502" t="s">
        <v>11</v>
      </c>
      <c r="S37" s="1503" t="e">
        <f t="shared" si="12"/>
        <v>#N/A</v>
      </c>
      <c r="T37" s="1502" t="s">
        <v>11</v>
      </c>
      <c r="U37" s="1503" t="e">
        <f t="shared" si="13"/>
        <v>#N/A</v>
      </c>
      <c r="V37" s="1502" t="s">
        <v>11</v>
      </c>
      <c r="W37" s="1503" t="e">
        <f t="shared" si="14"/>
        <v>#N/A</v>
      </c>
      <c r="X37" s="1504"/>
      <c r="Y37" s="3971"/>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971" t="s">
        <v>544</v>
      </c>
      <c r="Q38" s="1506" t="str">
        <f t="shared" si="11"/>
        <v>物业管理</v>
      </c>
      <c r="R38" s="1507" t="s">
        <v>11</v>
      </c>
      <c r="S38" s="1508">
        <f t="shared" si="12"/>
        <v>100</v>
      </c>
      <c r="T38" s="1507" t="s">
        <v>11</v>
      </c>
      <c r="U38" s="1508">
        <f t="shared" si="13"/>
        <v>100</v>
      </c>
      <c r="V38" s="1507" t="s">
        <v>11</v>
      </c>
      <c r="W38" s="1508">
        <f t="shared" si="14"/>
        <v>100</v>
      </c>
      <c r="X38" s="1501"/>
      <c r="Y38" s="3971"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971"/>
      <c r="Q39" s="1506" t="str">
        <f t="shared" si="11"/>
        <v>市政基础设施</v>
      </c>
      <c r="R39" s="1507" t="s">
        <v>11</v>
      </c>
      <c r="S39" s="1508">
        <f t="shared" si="12"/>
        <v>100</v>
      </c>
      <c r="T39" s="1507" t="s">
        <v>11</v>
      </c>
      <c r="U39" s="1508">
        <f t="shared" si="13"/>
        <v>100</v>
      </c>
      <c r="V39" s="1507" t="s">
        <v>11</v>
      </c>
      <c r="W39" s="1508">
        <f t="shared" si="14"/>
        <v>100</v>
      </c>
      <c r="X39" s="1501"/>
      <c r="Y39" s="3971"/>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971"/>
      <c r="Q40" s="1506" t="str">
        <f t="shared" si="11"/>
        <v>房型</v>
      </c>
      <c r="R40" s="1507" t="s">
        <v>11</v>
      </c>
      <c r="S40" s="1508">
        <f t="shared" si="12"/>
        <v>100</v>
      </c>
      <c r="T40" s="1507" t="s">
        <v>11</v>
      </c>
      <c r="U40" s="1508">
        <f t="shared" si="13"/>
        <v>100</v>
      </c>
      <c r="V40" s="1507" t="s">
        <v>11</v>
      </c>
      <c r="W40" s="1508">
        <f t="shared" si="14"/>
        <v>100</v>
      </c>
      <c r="X40" s="1501"/>
      <c r="Y40" s="3971"/>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971"/>
      <c r="Q41" s="1535" t="str">
        <f t="shared" si="11"/>
        <v>单套/主力户型建筑面积</v>
      </c>
      <c r="R41" s="1511" t="s">
        <v>11</v>
      </c>
      <c r="S41" s="1512">
        <f t="shared" si="12"/>
        <v>100</v>
      </c>
      <c r="T41" s="1511" t="s">
        <v>11</v>
      </c>
      <c r="U41" s="1512">
        <f t="shared" si="13"/>
        <v>100</v>
      </c>
      <c r="V41" s="1511" t="s">
        <v>11</v>
      </c>
      <c r="W41" s="1512">
        <f t="shared" si="14"/>
        <v>100</v>
      </c>
      <c r="X41" s="1513"/>
      <c r="Y41" s="3971"/>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971"/>
      <c r="Q42" s="1506" t="str">
        <f t="shared" si="11"/>
        <v>内部装修</v>
      </c>
      <c r="R42" s="1507" t="s">
        <v>11</v>
      </c>
      <c r="S42" s="1508">
        <f t="shared" si="12"/>
        <v>100</v>
      </c>
      <c r="T42" s="1507" t="s">
        <v>11</v>
      </c>
      <c r="U42" s="1508">
        <f t="shared" si="13"/>
        <v>100</v>
      </c>
      <c r="V42" s="1507" t="s">
        <v>11</v>
      </c>
      <c r="W42" s="1508">
        <f t="shared" si="14"/>
        <v>100</v>
      </c>
      <c r="X42" s="1501"/>
      <c r="Y42" s="3971"/>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971"/>
      <c r="Q43" s="1506" t="str">
        <f t="shared" si="11"/>
        <v>内部装修维护情况</v>
      </c>
      <c r="R43" s="1507" t="s">
        <v>11</v>
      </c>
      <c r="S43" s="1508">
        <f t="shared" si="12"/>
        <v>100</v>
      </c>
      <c r="T43" s="1507" t="s">
        <v>11</v>
      </c>
      <c r="U43" s="1508">
        <f t="shared" si="13"/>
        <v>100</v>
      </c>
      <c r="V43" s="1507" t="s">
        <v>11</v>
      </c>
      <c r="W43" s="1508">
        <f t="shared" si="14"/>
        <v>100</v>
      </c>
      <c r="X43" s="1501"/>
      <c r="Y43" s="397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971"/>
      <c r="Q44" s="1134">
        <f t="shared" si="11"/>
        <v>111</v>
      </c>
      <c r="R44" s="1502" t="s">
        <v>11</v>
      </c>
      <c r="S44" s="1503">
        <f t="shared" si="12"/>
        <v>100</v>
      </c>
      <c r="T44" s="1502" t="s">
        <v>11</v>
      </c>
      <c r="U44" s="1503">
        <f t="shared" si="13"/>
        <v>100</v>
      </c>
      <c r="V44" s="1502" t="s">
        <v>11</v>
      </c>
      <c r="W44" s="1503">
        <f t="shared" si="14"/>
        <v>100</v>
      </c>
      <c r="X44" s="1504"/>
      <c r="Y44" s="397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971"/>
      <c r="Q45" s="1506">
        <f t="shared" si="11"/>
        <v>111</v>
      </c>
      <c r="R45" s="1507" t="s">
        <v>11</v>
      </c>
      <c r="S45" s="1508">
        <f t="shared" si="12"/>
        <v>100</v>
      </c>
      <c r="T45" s="1507" t="s">
        <v>11</v>
      </c>
      <c r="U45" s="1508">
        <f t="shared" si="13"/>
        <v>100</v>
      </c>
      <c r="V45" s="1507" t="s">
        <v>11</v>
      </c>
      <c r="W45" s="1508">
        <f t="shared" si="14"/>
        <v>100</v>
      </c>
      <c r="X45" s="1501"/>
      <c r="Y45" s="3971"/>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049"/>
      <c r="Q46" s="1506">
        <f t="shared" si="11"/>
        <v>111</v>
      </c>
      <c r="R46" s="1507" t="s">
        <v>10</v>
      </c>
      <c r="S46" s="1508">
        <f t="shared" si="12"/>
        <v>100</v>
      </c>
      <c r="T46" s="1507" t="s">
        <v>10</v>
      </c>
      <c r="U46" s="1508">
        <f t="shared" si="13"/>
        <v>100</v>
      </c>
      <c r="V46" s="1507" t="s">
        <v>10</v>
      </c>
      <c r="W46" s="1508">
        <f t="shared" si="14"/>
        <v>100</v>
      </c>
      <c r="X46" s="1501"/>
      <c r="Y46" s="4049"/>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930" t="str">
        <f>A47</f>
        <v>成交单价（元/平方米）</v>
      </c>
      <c r="Q47" s="3930"/>
      <c r="R47" s="4048">
        <f>E47</f>
        <v>0</v>
      </c>
      <c r="S47" s="4048"/>
      <c r="T47" s="4048">
        <f>G47</f>
        <v>0</v>
      </c>
      <c r="U47" s="4048"/>
      <c r="V47" s="4048">
        <f>I47</f>
        <v>0</v>
      </c>
      <c r="W47" s="4048"/>
      <c r="X47" s="1496"/>
      <c r="Y47" s="1515"/>
      <c r="Z47" s="1496"/>
      <c r="AA47" s="1496"/>
      <c r="AB47" s="1496"/>
      <c r="AC47" s="1496"/>
    </row>
    <row r="48" spans="1:29" ht="15.75" thickBot="1">
      <c r="A48" s="609" t="s">
        <v>2739</v>
      </c>
      <c r="B48" s="877"/>
      <c r="C48" s="2476" t="e">
        <f>R49</f>
        <v>#DIV/0!</v>
      </c>
      <c r="D48" s="3013" t="s">
        <v>2970</v>
      </c>
      <c r="E48" s="2477" t="e">
        <f>R48</f>
        <v>#DIV/0!</v>
      </c>
      <c r="F48" s="3014"/>
      <c r="G48" s="2476" t="e">
        <f>T48</f>
        <v>#DIV/0!</v>
      </c>
      <c r="H48" s="3014"/>
      <c r="I48" s="2477" t="e">
        <f>V48</f>
        <v>#DIV/0!</v>
      </c>
      <c r="J48" s="3014"/>
      <c r="K48" s="3022">
        <f>F48+H48+J48</f>
        <v>0</v>
      </c>
      <c r="L48" s="2026"/>
      <c r="M48" s="2027"/>
      <c r="N48" s="2027"/>
      <c r="O48" s="2027"/>
      <c r="P48" s="3930" t="str">
        <f>A48</f>
        <v>比较价格（元/平方米）</v>
      </c>
      <c r="Q48" s="3930"/>
      <c r="R48" s="4048" t="e">
        <f>IF(F1="售价",ROUND(PRODUCT(R47,AA7:AA46),0),ROUND(PRODUCT(R47,AA7:AA46),1))</f>
        <v>#DIV/0!</v>
      </c>
      <c r="S48" s="4048"/>
      <c r="T48" s="4048" t="e">
        <f>IF(F1="售价",ROUND(PRODUCT(T47,AB7:AB46),0),ROUND(PRODUCT(T47,AB7:AB46),1))</f>
        <v>#DIV/0!</v>
      </c>
      <c r="U48" s="4048"/>
      <c r="V48" s="4048" t="e">
        <f>IF(F1="售价",ROUND(PRODUCT(V47,AC7:AC46),0),ROUND(PRODUCT(V47,AC7:AC46),1))</f>
        <v>#DIV/0!</v>
      </c>
      <c r="W48" s="4048"/>
      <c r="X48" s="1496"/>
      <c r="Y48" s="1496"/>
      <c r="Z48" s="1496"/>
      <c r="AA48" s="1496"/>
      <c r="AB48" s="1496"/>
      <c r="AC48" s="1496"/>
    </row>
    <row r="49" spans="1:29" ht="15.75" thickBot="1">
      <c r="A49" s="613" t="s">
        <v>2902</v>
      </c>
      <c r="B49" s="614"/>
      <c r="C49" s="2478" t="e">
        <f>R49</f>
        <v>#DIV/0!</v>
      </c>
      <c r="D49" s="2478"/>
      <c r="E49" s="2478"/>
      <c r="F49" s="2478"/>
      <c r="G49" s="2478"/>
      <c r="H49" s="2478"/>
      <c r="I49" s="2478"/>
      <c r="J49" s="2478"/>
      <c r="K49" s="1537"/>
      <c r="L49" s="2026"/>
      <c r="M49" s="2027"/>
      <c r="N49" s="2027"/>
      <c r="O49" s="2027"/>
      <c r="P49" s="3927" t="str">
        <f>A49</f>
        <v>估价对象XX用房的比较价格（楼面单价，元/平方米）</v>
      </c>
      <c r="Q49" s="3928"/>
      <c r="R49" s="4047" t="e">
        <f>IF(F1="售价",ROUND(IF(D48="简单平均",AVERAGE(R48:V48),R48*F48+T48*H48+V48*J48),0),ROUND(IF(D48="简单平均",AVERAGE(R48:V48),R48*F48+T48*H48+V48*J48),1))</f>
        <v>#DIV/0!</v>
      </c>
      <c r="S49" s="4047"/>
      <c r="T49" s="4047"/>
      <c r="U49" s="4047"/>
      <c r="V49" s="4047"/>
      <c r="W49" s="4047"/>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936" t="s">
        <v>516</v>
      </c>
      <c r="D4" s="3937"/>
      <c r="E4" s="3972" t="s">
        <v>517</v>
      </c>
      <c r="F4" s="3973"/>
      <c r="G4" s="3936" t="s">
        <v>518</v>
      </c>
      <c r="H4" s="3937"/>
      <c r="I4" s="3936" t="s">
        <v>519</v>
      </c>
      <c r="J4" s="3937"/>
      <c r="K4" s="508" t="s">
        <v>520</v>
      </c>
      <c r="L4" s="2015"/>
      <c r="M4" s="2016"/>
      <c r="N4" s="2016"/>
      <c r="O4" s="2016"/>
      <c r="P4" s="3938" t="s">
        <v>521</v>
      </c>
      <c r="Q4" s="3939"/>
      <c r="R4" s="3944" t="s">
        <v>517</v>
      </c>
      <c r="S4" s="3945"/>
      <c r="T4" s="3944" t="s">
        <v>518</v>
      </c>
      <c r="U4" s="3945"/>
      <c r="V4" s="3931" t="s">
        <v>519</v>
      </c>
      <c r="W4" s="3931"/>
      <c r="X4" s="1501"/>
      <c r="Y4" s="3944" t="s">
        <v>521</v>
      </c>
      <c r="Z4" s="3945"/>
      <c r="AA4" s="3933" t="s">
        <v>517</v>
      </c>
      <c r="AB4" s="3931" t="s">
        <v>518</v>
      </c>
      <c r="AC4" s="3933" t="s">
        <v>519</v>
      </c>
    </row>
    <row r="5" spans="1:29" ht="15">
      <c r="A5" s="509"/>
      <c r="B5" s="510"/>
      <c r="C5" s="3952" t="s">
        <v>2896</v>
      </c>
      <c r="D5" s="3953"/>
      <c r="E5" s="3958" t="s">
        <v>2897</v>
      </c>
      <c r="F5" s="3959"/>
      <c r="G5" s="3952" t="s">
        <v>2898</v>
      </c>
      <c r="H5" s="3953"/>
      <c r="I5" s="3952" t="s">
        <v>2899</v>
      </c>
      <c r="J5" s="3953"/>
      <c r="K5" s="508"/>
      <c r="L5" s="2015"/>
      <c r="M5" s="2016"/>
      <c r="N5" s="2016"/>
      <c r="O5" s="2016"/>
      <c r="P5" s="3940"/>
      <c r="Q5" s="3941"/>
      <c r="R5" s="3946"/>
      <c r="S5" s="3947"/>
      <c r="T5" s="3946"/>
      <c r="U5" s="3947"/>
      <c r="V5" s="3931"/>
      <c r="W5" s="3931"/>
      <c r="X5" s="1501"/>
      <c r="Y5" s="3946"/>
      <c r="Z5" s="3947"/>
      <c r="AA5" s="3934"/>
      <c r="AB5" s="3931"/>
      <c r="AC5" s="3934"/>
    </row>
    <row r="6" spans="1:29" ht="15.75" thickBot="1">
      <c r="A6" s="511"/>
      <c r="B6" s="512"/>
      <c r="C6" s="3950" t="s">
        <v>2900</v>
      </c>
      <c r="D6" s="3951"/>
      <c r="E6" s="3956" t="s">
        <v>2900</v>
      </c>
      <c r="F6" s="3957"/>
      <c r="G6" s="3950" t="s">
        <v>2900</v>
      </c>
      <c r="H6" s="3951"/>
      <c r="I6" s="3950" t="s">
        <v>2900</v>
      </c>
      <c r="J6" s="3951"/>
      <c r="K6" s="508" t="s">
        <v>522</v>
      </c>
      <c r="L6" s="2015"/>
      <c r="M6" s="2016"/>
      <c r="N6" s="2016"/>
      <c r="O6" s="2016"/>
      <c r="P6" s="3942"/>
      <c r="Q6" s="3943"/>
      <c r="R6" s="3946"/>
      <c r="S6" s="3947"/>
      <c r="T6" s="3948"/>
      <c r="U6" s="3949"/>
      <c r="V6" s="3931"/>
      <c r="W6" s="3931"/>
      <c r="X6" s="1501"/>
      <c r="Y6" s="3948"/>
      <c r="Z6" s="3949"/>
      <c r="AA6" s="3935"/>
      <c r="AB6" s="3931"/>
      <c r="AC6" s="3935"/>
    </row>
    <row r="7" spans="1:29" s="1203" customFormat="1" ht="15.75" thickBot="1">
      <c r="A7" s="2628"/>
      <c r="B7" s="2635" t="s">
        <v>523</v>
      </c>
      <c r="C7" s="513">
        <f>'数据-取费表'!B2</f>
        <v>44232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965" t="s">
        <v>524</v>
      </c>
      <c r="Q7" s="3967"/>
      <c r="R7" s="1502" t="s">
        <v>8</v>
      </c>
      <c r="S7" s="1503">
        <f t="shared" ref="S7:S15" si="0">F7</f>
        <v>0</v>
      </c>
      <c r="T7" s="1502" t="s">
        <v>8</v>
      </c>
      <c r="U7" s="1503">
        <f t="shared" ref="U7:U15" si="1">H7</f>
        <v>0</v>
      </c>
      <c r="V7" s="1502" t="s">
        <v>8</v>
      </c>
      <c r="W7" s="1503">
        <f t="shared" ref="W7:W15"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965" t="s">
        <v>527</v>
      </c>
      <c r="Q8" s="3966"/>
      <c r="R8" s="1502" t="s">
        <v>8</v>
      </c>
      <c r="S8" s="1503">
        <f t="shared" si="0"/>
        <v>0</v>
      </c>
      <c r="T8" s="1502" t="s">
        <v>8</v>
      </c>
      <c r="U8" s="1503">
        <f t="shared" si="1"/>
        <v>0</v>
      </c>
      <c r="V8" s="1502" t="s">
        <v>8</v>
      </c>
      <c r="W8" s="1503">
        <f t="shared" si="2"/>
        <v>0</v>
      </c>
      <c r="X8" s="1504"/>
      <c r="Y8" s="3965" t="s">
        <v>527</v>
      </c>
      <c r="Z8" s="3966"/>
      <c r="AA8" s="1505" t="e">
        <f t="shared" ref="AA8:AA46" si="3">D8/F8</f>
        <v>#DIV/0!</v>
      </c>
      <c r="AB8" s="1505" t="e">
        <f t="shared" ref="AB8:AB46" si="4">D8/H8</f>
        <v>#DIV/0!</v>
      </c>
      <c r="AC8" s="1505" t="e">
        <f t="shared" ref="AC8:AC46" si="5">D8/J8</f>
        <v>#DIV/0!</v>
      </c>
    </row>
    <row r="9" spans="1:29" s="1203" customFormat="1" ht="15">
      <c r="A9" s="2630"/>
      <c r="B9" s="2637"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930" t="s">
        <v>529</v>
      </c>
      <c r="Q9" s="1134" t="str">
        <f t="shared" ref="Q9:Q15" si="6">B9</f>
        <v>用途</v>
      </c>
      <c r="R9" s="1502" t="s">
        <v>8</v>
      </c>
      <c r="S9" s="1503">
        <f t="shared" si="0"/>
        <v>100</v>
      </c>
      <c r="T9" s="1502" t="s">
        <v>8</v>
      </c>
      <c r="U9" s="1503">
        <f t="shared" si="1"/>
        <v>100</v>
      </c>
      <c r="V9" s="1502" t="s">
        <v>8</v>
      </c>
      <c r="W9" s="1503">
        <f t="shared" si="2"/>
        <v>100</v>
      </c>
      <c r="X9" s="1504"/>
      <c r="Y9" s="3876" t="s">
        <v>530</v>
      </c>
      <c r="Z9" s="1133" t="str">
        <f t="shared" ref="Z9:Z15" si="7">Q9</f>
        <v>用途</v>
      </c>
      <c r="AA9" s="1505">
        <f t="shared" si="3"/>
        <v>1</v>
      </c>
      <c r="AB9" s="1505">
        <f t="shared" si="4"/>
        <v>1</v>
      </c>
      <c r="AC9" s="1505">
        <f t="shared" si="5"/>
        <v>1</v>
      </c>
    </row>
    <row r="10" spans="1:29" s="1292" customFormat="1" ht="27">
      <c r="A10" s="2631"/>
      <c r="B10" s="2636"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2"/>
      <c r="B11" s="2636"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930"/>
      <c r="Q11" s="1134" t="str">
        <f t="shared" si="6"/>
        <v>容积率</v>
      </c>
      <c r="R11" s="1502" t="s">
        <v>8</v>
      </c>
      <c r="S11" s="1503" t="e">
        <f t="shared" si="0"/>
        <v>#N/A</v>
      </c>
      <c r="T11" s="1502" t="s">
        <v>8</v>
      </c>
      <c r="U11" s="1503" t="e">
        <f t="shared" si="1"/>
        <v>#N/A</v>
      </c>
      <c r="V11" s="1502" t="s">
        <v>8</v>
      </c>
      <c r="W11" s="1503" t="e">
        <f t="shared" si="2"/>
        <v>#N/A</v>
      </c>
      <c r="X11" s="1504"/>
      <c r="Y11" s="3876"/>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930"/>
      <c r="Q12" s="1134">
        <f t="shared" si="6"/>
        <v>111</v>
      </c>
      <c r="R12" s="1502" t="s">
        <v>8</v>
      </c>
      <c r="S12" s="1503">
        <f t="shared" si="0"/>
        <v>100</v>
      </c>
      <c r="T12" s="1502" t="s">
        <v>8</v>
      </c>
      <c r="U12" s="1503">
        <f t="shared" si="1"/>
        <v>100</v>
      </c>
      <c r="V12" s="1502" t="s">
        <v>8</v>
      </c>
      <c r="W12" s="1503">
        <f t="shared" si="2"/>
        <v>100</v>
      </c>
      <c r="X12" s="1504"/>
      <c r="Y12" s="3876"/>
      <c r="Z12" s="1133">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930"/>
      <c r="Q13" s="1134">
        <f t="shared" si="6"/>
        <v>111</v>
      </c>
      <c r="R13" s="1502" t="s">
        <v>8</v>
      </c>
      <c r="S13" s="1503">
        <f t="shared" si="0"/>
        <v>100</v>
      </c>
      <c r="T13" s="1502" t="s">
        <v>8</v>
      </c>
      <c r="U13" s="1503">
        <f t="shared" si="1"/>
        <v>100</v>
      </c>
      <c r="V13" s="1502" t="s">
        <v>8</v>
      </c>
      <c r="W13" s="1503">
        <f t="shared" si="2"/>
        <v>100</v>
      </c>
      <c r="X13" s="1504"/>
      <c r="Y13" s="3876"/>
      <c r="Z13" s="1133">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930"/>
      <c r="Q14" s="1134">
        <f t="shared" si="6"/>
        <v>111</v>
      </c>
      <c r="R14" s="1502" t="s">
        <v>8</v>
      </c>
      <c r="S14" s="1503">
        <f t="shared" si="0"/>
        <v>100</v>
      </c>
      <c r="T14" s="1502" t="s">
        <v>8</v>
      </c>
      <c r="U14" s="1503">
        <f t="shared" si="1"/>
        <v>100</v>
      </c>
      <c r="V14" s="1502" t="s">
        <v>8</v>
      </c>
      <c r="W14" s="1503">
        <f t="shared" si="2"/>
        <v>100</v>
      </c>
      <c r="X14" s="1504"/>
      <c r="Y14" s="3876"/>
      <c r="Z14" s="1133">
        <f t="shared" si="7"/>
        <v>111</v>
      </c>
      <c r="AA14" s="1505">
        <f t="shared" si="3"/>
        <v>1</v>
      </c>
      <c r="AB14" s="1505">
        <f t="shared" si="4"/>
        <v>1</v>
      </c>
      <c r="AC14" s="1505">
        <f t="shared" si="5"/>
        <v>1</v>
      </c>
    </row>
    <row r="15" spans="1:29" ht="71.25">
      <c r="A15" s="2626"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968" t="s">
        <v>534</v>
      </c>
      <c r="Q15" s="1506" t="str">
        <f t="shared" si="6"/>
        <v>商业繁华度</v>
      </c>
      <c r="R15" s="1507" t="s">
        <v>8</v>
      </c>
      <c r="S15" s="1508">
        <f t="shared" si="0"/>
        <v>100</v>
      </c>
      <c r="T15" s="1507" t="s">
        <v>8</v>
      </c>
      <c r="U15" s="1508">
        <f t="shared" si="1"/>
        <v>100</v>
      </c>
      <c r="V15" s="1507" t="s">
        <v>8</v>
      </c>
      <c r="W15" s="1508">
        <f t="shared" si="2"/>
        <v>100</v>
      </c>
      <c r="X15" s="1501"/>
      <c r="Y15" s="3968"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969"/>
      <c r="Q16" s="1506"/>
      <c r="R16" s="1507"/>
      <c r="S16" s="1508"/>
      <c r="T16" s="1507"/>
      <c r="U16" s="1508"/>
      <c r="V16" s="1507"/>
      <c r="W16" s="1508"/>
      <c r="X16" s="1501"/>
      <c r="Y16" s="3969"/>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969"/>
      <c r="Q17" s="1506" t="str">
        <f>B17</f>
        <v>交通便捷度</v>
      </c>
      <c r="R17" s="1507" t="s">
        <v>8</v>
      </c>
      <c r="S17" s="1508">
        <f>F17</f>
        <v>100</v>
      </c>
      <c r="T17" s="1507" t="s">
        <v>8</v>
      </c>
      <c r="U17" s="1508">
        <f>H17</f>
        <v>100</v>
      </c>
      <c r="V17" s="1507" t="s">
        <v>8</v>
      </c>
      <c r="W17" s="1508">
        <f>J17</f>
        <v>100</v>
      </c>
      <c r="X17" s="1501"/>
      <c r="Y17" s="396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969"/>
      <c r="Q18" s="1506"/>
      <c r="R18" s="1507"/>
      <c r="S18" s="1508"/>
      <c r="T18" s="1507"/>
      <c r="U18" s="1508"/>
      <c r="V18" s="1507"/>
      <c r="W18" s="1508"/>
      <c r="X18" s="1501"/>
      <c r="Y18" s="3969"/>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969"/>
      <c r="Q19" s="1506" t="str">
        <f>B19</f>
        <v>公共配套设施</v>
      </c>
      <c r="R19" s="1507" t="s">
        <v>8</v>
      </c>
      <c r="S19" s="1508">
        <f>F19</f>
        <v>100</v>
      </c>
      <c r="T19" s="1507" t="s">
        <v>8</v>
      </c>
      <c r="U19" s="1508">
        <f>H19</f>
        <v>100</v>
      </c>
      <c r="V19" s="1507" t="s">
        <v>8</v>
      </c>
      <c r="W19" s="1508">
        <f>J19</f>
        <v>100</v>
      </c>
      <c r="X19" s="1501"/>
      <c r="Y19" s="396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969"/>
      <c r="Q20" s="1506"/>
      <c r="R20" s="1507"/>
      <c r="S20" s="1508"/>
      <c r="T20" s="1507"/>
      <c r="U20" s="1508"/>
      <c r="V20" s="1507"/>
      <c r="W20" s="1508"/>
      <c r="X20" s="1501"/>
      <c r="Y20" s="3969"/>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969"/>
      <c r="Q21" s="2429" t="str">
        <f>B21</f>
        <v>基础设施水平</v>
      </c>
      <c r="R21" s="1507" t="s">
        <v>8</v>
      </c>
      <c r="S21" s="1508">
        <f>F21</f>
        <v>100</v>
      </c>
      <c r="T21" s="1507" t="s">
        <v>8</v>
      </c>
      <c r="U21" s="1508">
        <f>H21</f>
        <v>100</v>
      </c>
      <c r="V21" s="1507" t="s">
        <v>8</v>
      </c>
      <c r="W21" s="1508">
        <f>J21</f>
        <v>100</v>
      </c>
      <c r="X21" s="2431"/>
      <c r="Y21" s="396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969"/>
      <c r="Q22" s="2429"/>
      <c r="R22" s="1507"/>
      <c r="S22" s="1508"/>
      <c r="T22" s="1507"/>
      <c r="U22" s="1508"/>
      <c r="V22" s="1507"/>
      <c r="W22" s="1508"/>
      <c r="X22" s="2431"/>
      <c r="Y22" s="3969"/>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969"/>
      <c r="Q23" s="1506" t="str">
        <f>B23</f>
        <v>自然及人文环境</v>
      </c>
      <c r="R23" s="1507" t="s">
        <v>8</v>
      </c>
      <c r="S23" s="1508">
        <f>F23</f>
        <v>100</v>
      </c>
      <c r="T23" s="1507" t="s">
        <v>8</v>
      </c>
      <c r="U23" s="1508">
        <f>H23</f>
        <v>100</v>
      </c>
      <c r="V23" s="1507" t="s">
        <v>8</v>
      </c>
      <c r="W23" s="1508">
        <f>J23</f>
        <v>100</v>
      </c>
      <c r="X23" s="1501"/>
      <c r="Y23" s="396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969"/>
      <c r="Q24" s="1506"/>
      <c r="R24" s="1507"/>
      <c r="S24" s="1508"/>
      <c r="T24" s="1507"/>
      <c r="U24" s="1508"/>
      <c r="V24" s="1507"/>
      <c r="W24" s="1508"/>
      <c r="X24" s="1501"/>
      <c r="Y24" s="3969"/>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969"/>
      <c r="Q25" s="1506" t="str">
        <f t="shared" ref="Q25:Q46" si="11">B25</f>
        <v>临街状况</v>
      </c>
      <c r="R25" s="1507" t="s">
        <v>8</v>
      </c>
      <c r="S25" s="1508">
        <f>F25</f>
        <v>100</v>
      </c>
      <c r="T25" s="1507" t="s">
        <v>8</v>
      </c>
      <c r="U25" s="1508">
        <f>H25</f>
        <v>100</v>
      </c>
      <c r="V25" s="1507" t="s">
        <v>8</v>
      </c>
      <c r="W25" s="1508">
        <f>J25</f>
        <v>100</v>
      </c>
      <c r="X25" s="1501"/>
      <c r="Y25" s="3969"/>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969"/>
      <c r="Q26" s="1506" t="str">
        <f t="shared" si="11"/>
        <v>平面位置/可视性</v>
      </c>
      <c r="R26" s="1507" t="s">
        <v>8</v>
      </c>
      <c r="S26" s="1508">
        <f>F26</f>
        <v>100</v>
      </c>
      <c r="T26" s="1507" t="s">
        <v>8</v>
      </c>
      <c r="U26" s="1508">
        <f>H26</f>
        <v>100</v>
      </c>
      <c r="V26" s="1507" t="s">
        <v>8</v>
      </c>
      <c r="W26" s="1508">
        <f>J26</f>
        <v>100</v>
      </c>
      <c r="X26" s="1501"/>
      <c r="Y26" s="3969"/>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969"/>
      <c r="Q27" s="1134" t="str">
        <f t="shared" si="11"/>
        <v>人流量</v>
      </c>
      <c r="R27" s="1502" t="s">
        <v>8</v>
      </c>
      <c r="S27" s="1503">
        <f>F27</f>
        <v>100</v>
      </c>
      <c r="T27" s="1502" t="s">
        <v>8</v>
      </c>
      <c r="U27" s="1503">
        <f>H27</f>
        <v>100</v>
      </c>
      <c r="V27" s="1502" t="s">
        <v>8</v>
      </c>
      <c r="W27" s="1503">
        <f>J27</f>
        <v>100</v>
      </c>
      <c r="X27" s="1504"/>
      <c r="Y27" s="3969"/>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969"/>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969"/>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969"/>
      <c r="Q29" s="1506">
        <f t="shared" si="11"/>
        <v>111</v>
      </c>
      <c r="R29" s="1507" t="s">
        <v>8</v>
      </c>
      <c r="S29" s="1508">
        <f t="shared" si="12"/>
        <v>100</v>
      </c>
      <c r="T29" s="1507" t="s">
        <v>8</v>
      </c>
      <c r="U29" s="1508">
        <f t="shared" si="13"/>
        <v>100</v>
      </c>
      <c r="V29" s="1507" t="s">
        <v>8</v>
      </c>
      <c r="W29" s="1508">
        <f t="shared" si="14"/>
        <v>100</v>
      </c>
      <c r="X29" s="1501"/>
      <c r="Y29" s="396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969"/>
      <c r="Q30" s="1506">
        <f t="shared" si="11"/>
        <v>111</v>
      </c>
      <c r="R30" s="1507" t="s">
        <v>8</v>
      </c>
      <c r="S30" s="1508">
        <f t="shared" si="12"/>
        <v>100</v>
      </c>
      <c r="T30" s="1507" t="s">
        <v>8</v>
      </c>
      <c r="U30" s="1508">
        <f t="shared" si="13"/>
        <v>100</v>
      </c>
      <c r="V30" s="1507" t="s">
        <v>8</v>
      </c>
      <c r="W30" s="1508">
        <f t="shared" si="14"/>
        <v>100</v>
      </c>
      <c r="X30" s="1501"/>
      <c r="Y30" s="3969"/>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969"/>
      <c r="Q31" s="1506">
        <f t="shared" si="11"/>
        <v>111</v>
      </c>
      <c r="R31" s="1507" t="s">
        <v>8</v>
      </c>
      <c r="S31" s="1508">
        <f t="shared" si="12"/>
        <v>100</v>
      </c>
      <c r="T31" s="1507" t="s">
        <v>8</v>
      </c>
      <c r="U31" s="1508">
        <f t="shared" si="13"/>
        <v>100</v>
      </c>
      <c r="V31" s="1507" t="s">
        <v>8</v>
      </c>
      <c r="W31" s="1508">
        <f t="shared" si="14"/>
        <v>100</v>
      </c>
      <c r="X31" s="1501"/>
      <c r="Y31" s="3969"/>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970" t="s">
        <v>544</v>
      </c>
      <c r="Q32" s="1506" t="str">
        <f t="shared" si="11"/>
        <v>商业类型</v>
      </c>
      <c r="R32" s="1507" t="s">
        <v>8</v>
      </c>
      <c r="S32" s="1508">
        <f t="shared" si="12"/>
        <v>100</v>
      </c>
      <c r="T32" s="1507" t="s">
        <v>8</v>
      </c>
      <c r="U32" s="1508">
        <f t="shared" si="13"/>
        <v>100</v>
      </c>
      <c r="V32" s="1507" t="s">
        <v>8</v>
      </c>
      <c r="W32" s="1508">
        <f t="shared" si="14"/>
        <v>100</v>
      </c>
      <c r="X32" s="1501"/>
      <c r="Y32" s="3971"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971"/>
      <c r="Q33" s="1535" t="str">
        <f t="shared" si="11"/>
        <v>项目建筑规模</v>
      </c>
      <c r="R33" s="1511" t="s">
        <v>8</v>
      </c>
      <c r="S33" s="1512" t="e">
        <f t="shared" si="12"/>
        <v>#N/A</v>
      </c>
      <c r="T33" s="1511" t="s">
        <v>8</v>
      </c>
      <c r="U33" s="1512" t="e">
        <f t="shared" si="13"/>
        <v>#N/A</v>
      </c>
      <c r="V33" s="1511" t="s">
        <v>8</v>
      </c>
      <c r="W33" s="1512" t="e">
        <f t="shared" si="14"/>
        <v>#N/A</v>
      </c>
      <c r="X33" s="1513"/>
      <c r="Y33" s="3971"/>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971"/>
      <c r="Q34" s="1506" t="str">
        <f t="shared" si="11"/>
        <v>建筑结构</v>
      </c>
      <c r="R34" s="1507" t="s">
        <v>8</v>
      </c>
      <c r="S34" s="1508">
        <f t="shared" si="12"/>
        <v>100</v>
      </c>
      <c r="T34" s="1507" t="s">
        <v>8</v>
      </c>
      <c r="U34" s="1508">
        <f t="shared" si="13"/>
        <v>100</v>
      </c>
      <c r="V34" s="1507" t="s">
        <v>8</v>
      </c>
      <c r="W34" s="1508">
        <f t="shared" si="14"/>
        <v>100</v>
      </c>
      <c r="X34" s="1501"/>
      <c r="Y34" s="3971"/>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971"/>
      <c r="Q35" s="1506" t="str">
        <f t="shared" si="11"/>
        <v>公共部分装修</v>
      </c>
      <c r="R35" s="1507" t="s">
        <v>8</v>
      </c>
      <c r="S35" s="1508">
        <f t="shared" si="12"/>
        <v>100</v>
      </c>
      <c r="T35" s="1507" t="s">
        <v>8</v>
      </c>
      <c r="U35" s="1508">
        <f t="shared" si="13"/>
        <v>100</v>
      </c>
      <c r="V35" s="1507" t="s">
        <v>8</v>
      </c>
      <c r="W35" s="1508">
        <f t="shared" si="14"/>
        <v>100</v>
      </c>
      <c r="X35" s="1501"/>
      <c r="Y35" s="3971"/>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971"/>
      <c r="Q36" s="1506" t="str">
        <f t="shared" si="11"/>
        <v>成新度</v>
      </c>
      <c r="R36" s="1507" t="s">
        <v>8</v>
      </c>
      <c r="S36" s="1508" t="e">
        <f t="shared" si="12"/>
        <v>#N/A</v>
      </c>
      <c r="T36" s="1507" t="s">
        <v>8</v>
      </c>
      <c r="U36" s="1508" t="e">
        <f t="shared" si="13"/>
        <v>#N/A</v>
      </c>
      <c r="V36" s="1507" t="s">
        <v>8</v>
      </c>
      <c r="W36" s="1508" t="e">
        <f t="shared" si="14"/>
        <v>#N/A</v>
      </c>
      <c r="X36" s="1501"/>
      <c r="Y36" s="3971"/>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971"/>
      <c r="Q37" s="1134" t="str">
        <f t="shared" si="11"/>
        <v>市政基础设施</v>
      </c>
      <c r="R37" s="1502" t="s">
        <v>8</v>
      </c>
      <c r="S37" s="1503">
        <f t="shared" si="12"/>
        <v>100</v>
      </c>
      <c r="T37" s="1502" t="s">
        <v>8</v>
      </c>
      <c r="U37" s="1503">
        <f t="shared" si="13"/>
        <v>100</v>
      </c>
      <c r="V37" s="1502" t="s">
        <v>8</v>
      </c>
      <c r="W37" s="1503">
        <f t="shared" si="14"/>
        <v>100</v>
      </c>
      <c r="X37" s="1504"/>
      <c r="Y37" s="3971"/>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971" t="s">
        <v>760</v>
      </c>
      <c r="Q38" s="1506" t="str">
        <f t="shared" si="11"/>
        <v>业态</v>
      </c>
      <c r="R38" s="1507" t="s">
        <v>8</v>
      </c>
      <c r="S38" s="1508">
        <f t="shared" si="12"/>
        <v>100</v>
      </c>
      <c r="T38" s="1507" t="s">
        <v>8</v>
      </c>
      <c r="U38" s="1508">
        <f t="shared" si="13"/>
        <v>100</v>
      </c>
      <c r="V38" s="1507" t="s">
        <v>8</v>
      </c>
      <c r="W38" s="1508">
        <f t="shared" si="14"/>
        <v>100</v>
      </c>
      <c r="X38" s="1501"/>
      <c r="Y38" s="3971"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971"/>
      <c r="Q39" s="1506" t="str">
        <f t="shared" si="11"/>
        <v>层高</v>
      </c>
      <c r="R39" s="1507" t="s">
        <v>8</v>
      </c>
      <c r="S39" s="1508">
        <f t="shared" si="12"/>
        <v>100</v>
      </c>
      <c r="T39" s="1507" t="s">
        <v>8</v>
      </c>
      <c r="U39" s="1508">
        <f t="shared" si="13"/>
        <v>100</v>
      </c>
      <c r="V39" s="1507" t="s">
        <v>8</v>
      </c>
      <c r="W39" s="1508">
        <f t="shared" si="14"/>
        <v>100</v>
      </c>
      <c r="X39" s="1501"/>
      <c r="Y39" s="3971"/>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971"/>
      <c r="Q40" s="1506" t="str">
        <f t="shared" si="11"/>
        <v>单套建筑面积</v>
      </c>
      <c r="R40" s="1507" t="s">
        <v>8</v>
      </c>
      <c r="S40" s="1508">
        <f t="shared" si="12"/>
        <v>100</v>
      </c>
      <c r="T40" s="1507" t="s">
        <v>8</v>
      </c>
      <c r="U40" s="1508">
        <f t="shared" si="13"/>
        <v>100</v>
      </c>
      <c r="V40" s="1507" t="s">
        <v>8</v>
      </c>
      <c r="W40" s="1508">
        <f t="shared" si="14"/>
        <v>100</v>
      </c>
      <c r="X40" s="1501"/>
      <c r="Y40" s="3971"/>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971"/>
      <c r="Q41" s="1535" t="str">
        <f t="shared" si="11"/>
        <v>进深比</v>
      </c>
      <c r="R41" s="1511" t="s">
        <v>8</v>
      </c>
      <c r="S41" s="1512">
        <f t="shared" si="12"/>
        <v>100</v>
      </c>
      <c r="T41" s="1511" t="s">
        <v>8</v>
      </c>
      <c r="U41" s="1512">
        <f t="shared" si="13"/>
        <v>100</v>
      </c>
      <c r="V41" s="1511" t="s">
        <v>8</v>
      </c>
      <c r="W41" s="1512">
        <f t="shared" si="14"/>
        <v>100</v>
      </c>
      <c r="X41" s="1513"/>
      <c r="Y41" s="3971"/>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971"/>
      <c r="Q42" s="1506" t="str">
        <f t="shared" si="11"/>
        <v>内部装修</v>
      </c>
      <c r="R42" s="1507" t="s">
        <v>8</v>
      </c>
      <c r="S42" s="1508">
        <f t="shared" si="12"/>
        <v>100</v>
      </c>
      <c r="T42" s="1507" t="s">
        <v>8</v>
      </c>
      <c r="U42" s="1508">
        <f t="shared" si="13"/>
        <v>100</v>
      </c>
      <c r="V42" s="1507" t="s">
        <v>8</v>
      </c>
      <c r="W42" s="1508">
        <f t="shared" si="14"/>
        <v>100</v>
      </c>
      <c r="X42" s="1501"/>
      <c r="Y42" s="3971"/>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971"/>
      <c r="Q43" s="1506" t="str">
        <f t="shared" si="11"/>
        <v>内部装修维护情况</v>
      </c>
      <c r="R43" s="1507" t="s">
        <v>8</v>
      </c>
      <c r="S43" s="1508">
        <f t="shared" si="12"/>
        <v>100</v>
      </c>
      <c r="T43" s="1507" t="s">
        <v>8</v>
      </c>
      <c r="U43" s="1508">
        <f t="shared" si="13"/>
        <v>100</v>
      </c>
      <c r="V43" s="1507" t="s">
        <v>8</v>
      </c>
      <c r="W43" s="1508">
        <f t="shared" si="14"/>
        <v>100</v>
      </c>
      <c r="X43" s="1501"/>
      <c r="Y43" s="397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971"/>
      <c r="Q44" s="1134">
        <f t="shared" si="11"/>
        <v>111</v>
      </c>
      <c r="R44" s="1502" t="s">
        <v>8</v>
      </c>
      <c r="S44" s="1503">
        <f t="shared" si="12"/>
        <v>100</v>
      </c>
      <c r="T44" s="1502" t="s">
        <v>8</v>
      </c>
      <c r="U44" s="1503">
        <f t="shared" si="13"/>
        <v>100</v>
      </c>
      <c r="V44" s="1502" t="s">
        <v>8</v>
      </c>
      <c r="W44" s="1503">
        <f t="shared" si="14"/>
        <v>100</v>
      </c>
      <c r="X44" s="1504"/>
      <c r="Y44" s="397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971"/>
      <c r="Q45" s="1506">
        <f t="shared" si="11"/>
        <v>111</v>
      </c>
      <c r="R45" s="1507" t="s">
        <v>8</v>
      </c>
      <c r="S45" s="1508">
        <f t="shared" si="12"/>
        <v>100</v>
      </c>
      <c r="T45" s="1507" t="s">
        <v>8</v>
      </c>
      <c r="U45" s="1508">
        <f t="shared" si="13"/>
        <v>100</v>
      </c>
      <c r="V45" s="1507" t="s">
        <v>8</v>
      </c>
      <c r="W45" s="1508">
        <f t="shared" si="14"/>
        <v>100</v>
      </c>
      <c r="X45" s="1501"/>
      <c r="Y45" s="3971"/>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049"/>
      <c r="Q46" s="1506">
        <f t="shared" si="11"/>
        <v>111</v>
      </c>
      <c r="R46" s="1507" t="s">
        <v>8</v>
      </c>
      <c r="S46" s="1508">
        <f t="shared" si="12"/>
        <v>100</v>
      </c>
      <c r="T46" s="1507" t="s">
        <v>8</v>
      </c>
      <c r="U46" s="1508">
        <f t="shared" si="13"/>
        <v>100</v>
      </c>
      <c r="V46" s="1507" t="s">
        <v>8</v>
      </c>
      <c r="W46" s="1508">
        <f t="shared" si="14"/>
        <v>100</v>
      </c>
      <c r="X46" s="1501"/>
      <c r="Y46" s="4049"/>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930" t="str">
        <f>A47</f>
        <v>成交单价（元/平方米）</v>
      </c>
      <c r="Q47" s="3930"/>
      <c r="R47" s="4048">
        <f>E47</f>
        <v>0</v>
      </c>
      <c r="S47" s="4048"/>
      <c r="T47" s="4048">
        <f>G47</f>
        <v>0</v>
      </c>
      <c r="U47" s="4048"/>
      <c r="V47" s="4048">
        <f>I47</f>
        <v>0</v>
      </c>
      <c r="W47" s="4048"/>
      <c r="X47" s="1496"/>
      <c r="Y47" s="1515"/>
      <c r="Z47" s="1496"/>
      <c r="AA47" s="1496"/>
      <c r="AB47" s="1496"/>
      <c r="AC47" s="1496"/>
    </row>
    <row r="48" spans="1:29" ht="15.75" thickBot="1">
      <c r="A48" s="609" t="s">
        <v>2739</v>
      </c>
      <c r="B48" s="877"/>
      <c r="C48" s="2476" t="e">
        <f>R49</f>
        <v>#DIV/0!</v>
      </c>
      <c r="D48" s="3013" t="s">
        <v>2970</v>
      </c>
      <c r="E48" s="2477" t="e">
        <f>R48</f>
        <v>#DIV/0!</v>
      </c>
      <c r="F48" s="3014"/>
      <c r="G48" s="2476" t="e">
        <f>T48</f>
        <v>#DIV/0!</v>
      </c>
      <c r="H48" s="3014"/>
      <c r="I48" s="2477" t="e">
        <f>V48</f>
        <v>#DIV/0!</v>
      </c>
      <c r="J48" s="3014"/>
      <c r="K48" s="3022">
        <f>F48+H48+J48</f>
        <v>0</v>
      </c>
      <c r="L48" s="2026"/>
      <c r="M48" s="2027"/>
      <c r="N48" s="2016"/>
      <c r="O48" s="2027"/>
      <c r="P48" s="3930" t="str">
        <f>A48</f>
        <v>比较价格（元/平方米）</v>
      </c>
      <c r="Q48" s="3930"/>
      <c r="R48" s="4048" t="e">
        <f>IF(F1="售价",ROUND(PRODUCT(R47,AA7:AA46),0),ROUND(PRODUCT(R47,AA7:AA46),1))</f>
        <v>#DIV/0!</v>
      </c>
      <c r="S48" s="4048"/>
      <c r="T48" s="4048" t="e">
        <f>IF(F1="售价",ROUND(PRODUCT(T47,AB7:AB46),0),ROUND(PRODUCT(T47,AB7:AB46),1))</f>
        <v>#DIV/0!</v>
      </c>
      <c r="U48" s="4048"/>
      <c r="V48" s="4048" t="e">
        <f>IF(F1="售价",ROUND(PRODUCT(V47,AC7:AC46),0),ROUND(PRODUCT(V47,AC7:AC46),1))</f>
        <v>#DIV/0!</v>
      </c>
      <c r="W48" s="4048"/>
      <c r="X48" s="1496"/>
      <c r="Y48" s="1496"/>
      <c r="Z48" s="1496"/>
      <c r="AA48" s="1496"/>
      <c r="AB48" s="1496"/>
      <c r="AC48" s="1496"/>
    </row>
    <row r="49" spans="1:29" ht="15.75" thickBot="1">
      <c r="A49" s="613" t="s">
        <v>2902</v>
      </c>
      <c r="B49" s="614"/>
      <c r="C49" s="2478" t="e">
        <f>R49</f>
        <v>#DIV/0!</v>
      </c>
      <c r="D49" s="2478"/>
      <c r="E49" s="2478"/>
      <c r="F49" s="2478"/>
      <c r="G49" s="2478"/>
      <c r="H49" s="2478"/>
      <c r="I49" s="2478"/>
      <c r="J49" s="2478"/>
      <c r="K49" s="1541"/>
      <c r="L49" s="2026"/>
      <c r="M49" s="2027"/>
      <c r="N49" s="2016"/>
      <c r="O49" s="2027"/>
      <c r="P49" s="3927" t="str">
        <f>A49</f>
        <v>估价对象XX用房的比较价格（楼面单价，元/平方米）</v>
      </c>
      <c r="Q49" s="3928"/>
      <c r="R49" s="4047" t="e">
        <f>IF(F1="售价",ROUND(IF(D48="简单平均",AVERAGE(R48:V48),R48*F48+T48*H48+V48*J48),0),ROUND(IF(D48="简单平均",AVERAGE(R48:V48),R48*F48+T48*H48+V48*J48),1))</f>
        <v>#DIV/0!</v>
      </c>
      <c r="S49" s="4047"/>
      <c r="T49" s="4047"/>
      <c r="U49" s="4047"/>
      <c r="V49" s="4047"/>
      <c r="W49" s="4047"/>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936" t="s">
        <v>516</v>
      </c>
      <c r="D4" s="3937"/>
      <c r="E4" s="3972" t="s">
        <v>517</v>
      </c>
      <c r="F4" s="3973"/>
      <c r="G4" s="3936" t="s">
        <v>518</v>
      </c>
      <c r="H4" s="3937"/>
      <c r="I4" s="3936" t="s">
        <v>519</v>
      </c>
      <c r="J4" s="3937"/>
      <c r="K4" s="508" t="s">
        <v>520</v>
      </c>
      <c r="L4" s="2015"/>
      <c r="M4" s="2016"/>
      <c r="N4" s="2016"/>
      <c r="O4" s="2016"/>
      <c r="P4" s="4051" t="s">
        <v>521</v>
      </c>
      <c r="Q4" s="3939"/>
      <c r="R4" s="3944" t="s">
        <v>517</v>
      </c>
      <c r="S4" s="3945"/>
      <c r="T4" s="3944" t="s">
        <v>518</v>
      </c>
      <c r="U4" s="3945"/>
      <c r="V4" s="3931" t="s">
        <v>519</v>
      </c>
      <c r="W4" s="3931"/>
      <c r="X4" s="1501"/>
      <c r="Y4" s="3944" t="s">
        <v>521</v>
      </c>
      <c r="Z4" s="3945"/>
      <c r="AA4" s="3933" t="s">
        <v>517</v>
      </c>
      <c r="AB4" s="3933" t="s">
        <v>518</v>
      </c>
      <c r="AC4" s="3933" t="s">
        <v>519</v>
      </c>
    </row>
    <row r="5" spans="1:29" ht="15">
      <c r="A5" s="509"/>
      <c r="B5" s="510"/>
      <c r="C5" s="3952" t="s">
        <v>2896</v>
      </c>
      <c r="D5" s="3953"/>
      <c r="E5" s="3958" t="s">
        <v>2897</v>
      </c>
      <c r="F5" s="3959"/>
      <c r="G5" s="3952" t="s">
        <v>2898</v>
      </c>
      <c r="H5" s="3953"/>
      <c r="I5" s="3952" t="s">
        <v>2899</v>
      </c>
      <c r="J5" s="3953"/>
      <c r="K5" s="508"/>
      <c r="L5" s="2015"/>
      <c r="M5" s="2016"/>
      <c r="N5" s="2016"/>
      <c r="O5" s="2016"/>
      <c r="P5" s="4052"/>
      <c r="Q5" s="3941"/>
      <c r="R5" s="3946"/>
      <c r="S5" s="3947"/>
      <c r="T5" s="3946"/>
      <c r="U5" s="3947"/>
      <c r="V5" s="3931"/>
      <c r="W5" s="3931"/>
      <c r="X5" s="1501"/>
      <c r="Y5" s="3946"/>
      <c r="Z5" s="3947"/>
      <c r="AA5" s="3934"/>
      <c r="AB5" s="3934"/>
      <c r="AC5" s="3934"/>
    </row>
    <row r="6" spans="1:29" ht="15.75" thickBot="1">
      <c r="A6" s="511"/>
      <c r="B6" s="512"/>
      <c r="C6" s="3950" t="s">
        <v>2900</v>
      </c>
      <c r="D6" s="3951"/>
      <c r="E6" s="3956" t="s">
        <v>2900</v>
      </c>
      <c r="F6" s="3957"/>
      <c r="G6" s="3950" t="s">
        <v>2900</v>
      </c>
      <c r="H6" s="3951"/>
      <c r="I6" s="3950" t="s">
        <v>2900</v>
      </c>
      <c r="J6" s="3951"/>
      <c r="K6" s="508" t="s">
        <v>522</v>
      </c>
      <c r="L6" s="2015"/>
      <c r="M6" s="2016"/>
      <c r="N6" s="2016"/>
      <c r="O6" s="2016"/>
      <c r="P6" s="4053"/>
      <c r="Q6" s="3943"/>
      <c r="R6" s="3946"/>
      <c r="S6" s="3947"/>
      <c r="T6" s="3948"/>
      <c r="U6" s="3949"/>
      <c r="V6" s="3931"/>
      <c r="W6" s="3931"/>
      <c r="X6" s="1501"/>
      <c r="Y6" s="3948"/>
      <c r="Z6" s="3949"/>
      <c r="AA6" s="3935"/>
      <c r="AB6" s="3935"/>
      <c r="AC6" s="3935"/>
    </row>
    <row r="7" spans="1:29" s="1203" customFormat="1" ht="15.75" thickBot="1">
      <c r="A7" s="2628"/>
      <c r="B7" s="2635" t="s">
        <v>523</v>
      </c>
      <c r="C7" s="513">
        <f>'数据-取费表'!B2</f>
        <v>44232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967" t="s">
        <v>524</v>
      </c>
      <c r="Q7" s="3967"/>
      <c r="R7" s="1502" t="s">
        <v>8</v>
      </c>
      <c r="S7" s="1503">
        <f t="shared" ref="S7:S15" si="0">F7</f>
        <v>0</v>
      </c>
      <c r="T7" s="1502" t="s">
        <v>8</v>
      </c>
      <c r="U7" s="1503">
        <f t="shared" ref="U7:U15" si="1">H7</f>
        <v>0</v>
      </c>
      <c r="V7" s="1502" t="s">
        <v>8</v>
      </c>
      <c r="W7" s="1503">
        <f t="shared" ref="W7:W15"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967" t="s">
        <v>527</v>
      </c>
      <c r="Q8" s="3966"/>
      <c r="R8" s="1502" t="s">
        <v>8</v>
      </c>
      <c r="S8" s="1503">
        <f t="shared" si="0"/>
        <v>0</v>
      </c>
      <c r="T8" s="1502" t="s">
        <v>8</v>
      </c>
      <c r="U8" s="1503">
        <f t="shared" si="1"/>
        <v>0</v>
      </c>
      <c r="V8" s="1502" t="s">
        <v>8</v>
      </c>
      <c r="W8" s="1503">
        <f t="shared" si="2"/>
        <v>0</v>
      </c>
      <c r="X8" s="1504"/>
      <c r="Y8" s="3965" t="s">
        <v>527</v>
      </c>
      <c r="Z8" s="3966"/>
      <c r="AA8" s="1505" t="e">
        <f t="shared" ref="AA8:AA47" si="3">D8/F8</f>
        <v>#DIV/0!</v>
      </c>
      <c r="AB8" s="1505" t="e">
        <f t="shared" ref="AB8:AB47" si="4">D8/H8</f>
        <v>#DIV/0!</v>
      </c>
      <c r="AC8" s="1505" t="e">
        <f t="shared" ref="AC8:AC47" si="5">D8/J8</f>
        <v>#DIV/0!</v>
      </c>
    </row>
    <row r="9" spans="1:29" s="1203" customFormat="1" ht="15">
      <c r="A9" s="2630"/>
      <c r="B9" s="2637"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930" t="s">
        <v>529</v>
      </c>
      <c r="Q9" s="1134" t="str">
        <f t="shared" ref="Q9:Q15" si="6">B9</f>
        <v>用途</v>
      </c>
      <c r="R9" s="1502" t="s">
        <v>8</v>
      </c>
      <c r="S9" s="1503">
        <f t="shared" si="0"/>
        <v>100</v>
      </c>
      <c r="T9" s="1502" t="s">
        <v>8</v>
      </c>
      <c r="U9" s="1503">
        <f t="shared" si="1"/>
        <v>100</v>
      </c>
      <c r="V9" s="1502" t="s">
        <v>8</v>
      </c>
      <c r="W9" s="1503">
        <f t="shared" si="2"/>
        <v>100</v>
      </c>
      <c r="X9" s="1504"/>
      <c r="Y9" s="3876" t="s">
        <v>530</v>
      </c>
      <c r="Z9" s="1133" t="str">
        <f t="shared" ref="Z9:Z15" si="7">Q9</f>
        <v>用途</v>
      </c>
      <c r="AA9" s="1505">
        <f t="shared" si="3"/>
        <v>1</v>
      </c>
      <c r="AB9" s="1505">
        <f t="shared" si="4"/>
        <v>1</v>
      </c>
      <c r="AC9" s="1505">
        <f t="shared" si="5"/>
        <v>1</v>
      </c>
    </row>
    <row r="10" spans="1:29" s="1292" customFormat="1" ht="27">
      <c r="A10" s="2631"/>
      <c r="B10" s="2636"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2"/>
      <c r="B11" s="2636"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930"/>
      <c r="Q11" s="1134" t="str">
        <f t="shared" si="6"/>
        <v>容积率</v>
      </c>
      <c r="R11" s="1502" t="s">
        <v>8</v>
      </c>
      <c r="S11" s="1503" t="e">
        <f t="shared" si="0"/>
        <v>#N/A</v>
      </c>
      <c r="T11" s="1502" t="s">
        <v>8</v>
      </c>
      <c r="U11" s="1503" t="e">
        <f t="shared" si="1"/>
        <v>#N/A</v>
      </c>
      <c r="V11" s="1502" t="s">
        <v>8</v>
      </c>
      <c r="W11" s="1503" t="e">
        <f t="shared" si="2"/>
        <v>#N/A</v>
      </c>
      <c r="X11" s="1504"/>
      <c r="Y11" s="3876"/>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930"/>
      <c r="Q12" s="1134">
        <f t="shared" si="6"/>
        <v>111</v>
      </c>
      <c r="R12" s="1502" t="s">
        <v>8</v>
      </c>
      <c r="S12" s="1503">
        <f t="shared" si="0"/>
        <v>100</v>
      </c>
      <c r="T12" s="1502" t="s">
        <v>8</v>
      </c>
      <c r="U12" s="1503">
        <f t="shared" si="1"/>
        <v>100</v>
      </c>
      <c r="V12" s="1502" t="s">
        <v>8</v>
      </c>
      <c r="W12" s="1503">
        <f t="shared" si="2"/>
        <v>100</v>
      </c>
      <c r="X12" s="1504"/>
      <c r="Y12" s="3876"/>
      <c r="Z12" s="1133">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930"/>
      <c r="Q13" s="1134">
        <f t="shared" si="6"/>
        <v>111</v>
      </c>
      <c r="R13" s="1502" t="s">
        <v>8</v>
      </c>
      <c r="S13" s="1503">
        <f t="shared" si="0"/>
        <v>100</v>
      </c>
      <c r="T13" s="1502" t="s">
        <v>8</v>
      </c>
      <c r="U13" s="1503">
        <f t="shared" si="1"/>
        <v>100</v>
      </c>
      <c r="V13" s="1502" t="s">
        <v>8</v>
      </c>
      <c r="W13" s="1503">
        <f t="shared" si="2"/>
        <v>100</v>
      </c>
      <c r="X13" s="1504"/>
      <c r="Y13" s="3876"/>
      <c r="Z13" s="1133">
        <f t="shared" si="7"/>
        <v>111</v>
      </c>
      <c r="AA13" s="1505">
        <f t="shared" si="3"/>
        <v>1</v>
      </c>
      <c r="AB13" s="1505">
        <f t="shared" si="4"/>
        <v>1</v>
      </c>
      <c r="AC13" s="1505">
        <f t="shared" si="5"/>
        <v>1</v>
      </c>
    </row>
    <row r="14" spans="1:29" ht="15.75" thickBot="1">
      <c r="A14" s="2634"/>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930"/>
      <c r="Q14" s="1134">
        <f t="shared" si="6"/>
        <v>111</v>
      </c>
      <c r="R14" s="1502" t="s">
        <v>8</v>
      </c>
      <c r="S14" s="1503">
        <f t="shared" si="0"/>
        <v>100</v>
      </c>
      <c r="T14" s="1502" t="s">
        <v>8</v>
      </c>
      <c r="U14" s="1503">
        <f t="shared" si="1"/>
        <v>100</v>
      </c>
      <c r="V14" s="1502" t="s">
        <v>8</v>
      </c>
      <c r="W14" s="1503">
        <f t="shared" si="2"/>
        <v>100</v>
      </c>
      <c r="X14" s="1504"/>
      <c r="Y14" s="3876"/>
      <c r="Z14" s="1133">
        <f t="shared" si="7"/>
        <v>111</v>
      </c>
      <c r="AA14" s="1505">
        <f t="shared" si="3"/>
        <v>1</v>
      </c>
      <c r="AB14" s="1505">
        <f t="shared" si="4"/>
        <v>1</v>
      </c>
      <c r="AC14" s="1505">
        <f t="shared" si="5"/>
        <v>1</v>
      </c>
    </row>
    <row r="15" spans="1:29" ht="71.25">
      <c r="A15" s="2626"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968" t="s">
        <v>534</v>
      </c>
      <c r="Q15" s="1506" t="str">
        <f t="shared" si="6"/>
        <v>办公集聚程度</v>
      </c>
      <c r="R15" s="1507" t="s">
        <v>8</v>
      </c>
      <c r="S15" s="1508">
        <f t="shared" si="0"/>
        <v>100</v>
      </c>
      <c r="T15" s="1507" t="s">
        <v>8</v>
      </c>
      <c r="U15" s="1508">
        <f t="shared" si="1"/>
        <v>100</v>
      </c>
      <c r="V15" s="1507" t="s">
        <v>8</v>
      </c>
      <c r="W15" s="1508">
        <f t="shared" si="2"/>
        <v>100</v>
      </c>
      <c r="X15" s="1501"/>
      <c r="Y15" s="3968"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969"/>
      <c r="Q16" s="1506"/>
      <c r="R16" s="1507"/>
      <c r="S16" s="1508"/>
      <c r="T16" s="1507"/>
      <c r="U16" s="1508"/>
      <c r="V16" s="1507"/>
      <c r="W16" s="1508"/>
      <c r="X16" s="1501"/>
      <c r="Y16" s="3969"/>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969"/>
      <c r="Q17" s="1506" t="str">
        <f>B17</f>
        <v>交通便捷度</v>
      </c>
      <c r="R17" s="1507" t="s">
        <v>8</v>
      </c>
      <c r="S17" s="1508">
        <f>F17</f>
        <v>100</v>
      </c>
      <c r="T17" s="1507" t="s">
        <v>8</v>
      </c>
      <c r="U17" s="1508">
        <f>H17</f>
        <v>100</v>
      </c>
      <c r="V17" s="1507" t="s">
        <v>8</v>
      </c>
      <c r="W17" s="1508">
        <f>J17</f>
        <v>100</v>
      </c>
      <c r="X17" s="1501"/>
      <c r="Y17" s="3969"/>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969"/>
      <c r="Q18" s="1506"/>
      <c r="R18" s="1507"/>
      <c r="S18" s="1508"/>
      <c r="T18" s="1507"/>
      <c r="U18" s="1508"/>
      <c r="V18" s="1507"/>
      <c r="W18" s="1508"/>
      <c r="X18" s="1501"/>
      <c r="Y18" s="3969"/>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969"/>
      <c r="Q19" s="1506" t="str">
        <f>B19</f>
        <v>公共配套设施</v>
      </c>
      <c r="R19" s="1507" t="s">
        <v>8</v>
      </c>
      <c r="S19" s="1508">
        <f>F19</f>
        <v>100</v>
      </c>
      <c r="T19" s="1507" t="s">
        <v>8</v>
      </c>
      <c r="U19" s="1508">
        <f>H19</f>
        <v>100</v>
      </c>
      <c r="V19" s="1507" t="s">
        <v>8</v>
      </c>
      <c r="W19" s="1508">
        <f>J19</f>
        <v>100</v>
      </c>
      <c r="X19" s="1501"/>
      <c r="Y19" s="3969"/>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969"/>
      <c r="Q20" s="1506"/>
      <c r="R20" s="1507"/>
      <c r="S20" s="1508"/>
      <c r="T20" s="1507"/>
      <c r="U20" s="1508"/>
      <c r="V20" s="1507"/>
      <c r="W20" s="1508"/>
      <c r="X20" s="1501"/>
      <c r="Y20" s="3969"/>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969"/>
      <c r="Q21" s="2429" t="str">
        <f>B21</f>
        <v>基础设施水平</v>
      </c>
      <c r="R21" s="1507" t="s">
        <v>8</v>
      </c>
      <c r="S21" s="1508">
        <f>F21</f>
        <v>100</v>
      </c>
      <c r="T21" s="1507" t="s">
        <v>8</v>
      </c>
      <c r="U21" s="1508">
        <f>H21</f>
        <v>100</v>
      </c>
      <c r="V21" s="1507" t="s">
        <v>8</v>
      </c>
      <c r="W21" s="1508">
        <f>J21</f>
        <v>100</v>
      </c>
      <c r="X21" s="2431"/>
      <c r="Y21" s="3969"/>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969"/>
      <c r="Q22" s="2429"/>
      <c r="R22" s="1507"/>
      <c r="S22" s="1508"/>
      <c r="T22" s="1507"/>
      <c r="U22" s="1508"/>
      <c r="V22" s="1507"/>
      <c r="W22" s="1508"/>
      <c r="X22" s="2431"/>
      <c r="Y22" s="3969"/>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969"/>
      <c r="Q23" s="1506" t="str">
        <f>B23</f>
        <v>环境质量</v>
      </c>
      <c r="R23" s="1507" t="s">
        <v>8</v>
      </c>
      <c r="S23" s="1508">
        <f>F23</f>
        <v>100</v>
      </c>
      <c r="T23" s="1507" t="s">
        <v>8</v>
      </c>
      <c r="U23" s="1508">
        <f>H23</f>
        <v>100</v>
      </c>
      <c r="V23" s="1507" t="s">
        <v>8</v>
      </c>
      <c r="W23" s="1508">
        <f>J23</f>
        <v>100</v>
      </c>
      <c r="X23" s="1501"/>
      <c r="Y23" s="3969"/>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969"/>
      <c r="Q24" s="1506"/>
      <c r="R24" s="1507"/>
      <c r="S24" s="1508"/>
      <c r="T24" s="1507"/>
      <c r="U24" s="1508"/>
      <c r="V24" s="1507"/>
      <c r="W24" s="1508"/>
      <c r="X24" s="1501"/>
      <c r="Y24" s="3969"/>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969"/>
      <c r="Q25" s="1506" t="str">
        <f>B25</f>
        <v>毗邻道路的类型与等级</v>
      </c>
      <c r="R25" s="1507" t="s">
        <v>8</v>
      </c>
      <c r="S25" s="1508">
        <f>F25</f>
        <v>100</v>
      </c>
      <c r="T25" s="1507" t="s">
        <v>8</v>
      </c>
      <c r="U25" s="1508">
        <f>H25</f>
        <v>100</v>
      </c>
      <c r="V25" s="1507" t="s">
        <v>8</v>
      </c>
      <c r="W25" s="1508">
        <f>J25</f>
        <v>100</v>
      </c>
      <c r="X25" s="1501"/>
      <c r="Y25" s="3969"/>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969"/>
      <c r="Q26" s="1506"/>
      <c r="R26" s="1507"/>
      <c r="S26" s="1508"/>
      <c r="T26" s="1507"/>
      <c r="U26" s="1508"/>
      <c r="V26" s="1507"/>
      <c r="W26" s="1508"/>
      <c r="X26" s="1501"/>
      <c r="Y26" s="3969"/>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969"/>
      <c r="Q27" s="1506" t="str">
        <f t="shared" ref="Q27:Q47" si="11">B27</f>
        <v>楼层</v>
      </c>
      <c r="R27" s="1507" t="s">
        <v>8</v>
      </c>
      <c r="S27" s="1508">
        <f>F27</f>
        <v>100</v>
      </c>
      <c r="T27" s="1507" t="s">
        <v>8</v>
      </c>
      <c r="U27" s="1508">
        <f>H27</f>
        <v>100</v>
      </c>
      <c r="V27" s="1507" t="s">
        <v>8</v>
      </c>
      <c r="W27" s="1508">
        <f>J27</f>
        <v>100</v>
      </c>
      <c r="X27" s="1501"/>
      <c r="Y27" s="3969"/>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969"/>
      <c r="Q28" s="1134" t="str">
        <f t="shared" si="11"/>
        <v>朝向</v>
      </c>
      <c r="R28" s="1502" t="s">
        <v>8</v>
      </c>
      <c r="S28" s="1503">
        <f>F28</f>
        <v>100</v>
      </c>
      <c r="T28" s="1502" t="s">
        <v>8</v>
      </c>
      <c r="U28" s="1503">
        <f>H28</f>
        <v>100</v>
      </c>
      <c r="V28" s="1502" t="s">
        <v>8</v>
      </c>
      <c r="W28" s="1503">
        <f>J28</f>
        <v>100</v>
      </c>
      <c r="X28" s="1504"/>
      <c r="Y28" s="3969"/>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969"/>
      <c r="Q29" s="1506">
        <f t="shared" si="11"/>
        <v>111</v>
      </c>
      <c r="R29" s="1507" t="s">
        <v>8</v>
      </c>
      <c r="S29" s="1508">
        <f t="shared" ref="S29:S47" si="12">F29</f>
        <v>100</v>
      </c>
      <c r="T29" s="1507" t="s">
        <v>8</v>
      </c>
      <c r="U29" s="1508">
        <f t="shared" ref="U29:U47" si="13">H29</f>
        <v>100</v>
      </c>
      <c r="V29" s="1507" t="s">
        <v>8</v>
      </c>
      <c r="W29" s="1508">
        <f t="shared" ref="W29:W47" si="14">J29</f>
        <v>100</v>
      </c>
      <c r="X29" s="1501"/>
      <c r="Y29" s="3969"/>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969"/>
      <c r="Q30" s="1506">
        <f t="shared" si="11"/>
        <v>111</v>
      </c>
      <c r="R30" s="1507" t="s">
        <v>8</v>
      </c>
      <c r="S30" s="1508">
        <f t="shared" si="12"/>
        <v>100</v>
      </c>
      <c r="T30" s="1507" t="s">
        <v>8</v>
      </c>
      <c r="U30" s="1508">
        <f t="shared" si="13"/>
        <v>100</v>
      </c>
      <c r="V30" s="1507" t="s">
        <v>8</v>
      </c>
      <c r="W30" s="1508">
        <f t="shared" si="14"/>
        <v>100</v>
      </c>
      <c r="X30" s="1501"/>
      <c r="Y30" s="3969"/>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969"/>
      <c r="Q31" s="1506">
        <f t="shared" si="11"/>
        <v>111</v>
      </c>
      <c r="R31" s="1507" t="s">
        <v>8</v>
      </c>
      <c r="S31" s="1508">
        <f t="shared" si="12"/>
        <v>100</v>
      </c>
      <c r="T31" s="1507" t="s">
        <v>8</v>
      </c>
      <c r="U31" s="1508">
        <f t="shared" si="13"/>
        <v>100</v>
      </c>
      <c r="V31" s="1507" t="s">
        <v>8</v>
      </c>
      <c r="W31" s="1508">
        <f t="shared" si="14"/>
        <v>100</v>
      </c>
      <c r="X31" s="1501"/>
      <c r="Y31" s="3969"/>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969"/>
      <c r="Q32" s="1506">
        <f t="shared" si="11"/>
        <v>111</v>
      </c>
      <c r="R32" s="1507" t="s">
        <v>8</v>
      </c>
      <c r="S32" s="1508">
        <f t="shared" si="12"/>
        <v>100</v>
      </c>
      <c r="T32" s="1507" t="s">
        <v>8</v>
      </c>
      <c r="U32" s="1508">
        <f t="shared" si="13"/>
        <v>100</v>
      </c>
      <c r="V32" s="1507" t="s">
        <v>8</v>
      </c>
      <c r="W32" s="1508">
        <f t="shared" si="14"/>
        <v>100</v>
      </c>
      <c r="X32" s="1501"/>
      <c r="Y32" s="3969"/>
      <c r="Z32" s="1509">
        <f t="shared" si="15"/>
        <v>111</v>
      </c>
      <c r="AA32" s="1510">
        <f t="shared" si="3"/>
        <v>1</v>
      </c>
      <c r="AB32" s="1510">
        <f t="shared" si="4"/>
        <v>1</v>
      </c>
      <c r="AC32" s="1510">
        <f t="shared" si="5"/>
        <v>1</v>
      </c>
    </row>
    <row r="33" spans="1:29" ht="15">
      <c r="A33" s="2624"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970" t="s">
        <v>544</v>
      </c>
      <c r="Q33" s="1506" t="str">
        <f t="shared" si="11"/>
        <v>建筑类型</v>
      </c>
      <c r="R33" s="1507" t="s">
        <v>8</v>
      </c>
      <c r="S33" s="1508">
        <f t="shared" si="12"/>
        <v>100</v>
      </c>
      <c r="T33" s="1507" t="s">
        <v>8</v>
      </c>
      <c r="U33" s="1508">
        <f t="shared" si="13"/>
        <v>100</v>
      </c>
      <c r="V33" s="1507" t="s">
        <v>8</v>
      </c>
      <c r="W33" s="1508">
        <f t="shared" si="14"/>
        <v>100</v>
      </c>
      <c r="X33" s="1501"/>
      <c r="Y33" s="3971"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971"/>
      <c r="Q34" s="1535" t="str">
        <f t="shared" si="11"/>
        <v>项目建筑规模</v>
      </c>
      <c r="R34" s="1511" t="s">
        <v>8</v>
      </c>
      <c r="S34" s="1512" t="e">
        <f t="shared" si="12"/>
        <v>#N/A</v>
      </c>
      <c r="T34" s="1511" t="s">
        <v>8</v>
      </c>
      <c r="U34" s="1512" t="e">
        <f t="shared" si="13"/>
        <v>#N/A</v>
      </c>
      <c r="V34" s="1511" t="s">
        <v>8</v>
      </c>
      <c r="W34" s="1512" t="e">
        <f t="shared" si="14"/>
        <v>#N/A</v>
      </c>
      <c r="X34" s="1513"/>
      <c r="Y34" s="3971"/>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971"/>
      <c r="Q35" s="1506" t="str">
        <f t="shared" si="11"/>
        <v>建筑结构</v>
      </c>
      <c r="R35" s="1507" t="s">
        <v>8</v>
      </c>
      <c r="S35" s="1508">
        <f t="shared" si="12"/>
        <v>100</v>
      </c>
      <c r="T35" s="1507" t="s">
        <v>8</v>
      </c>
      <c r="U35" s="1508">
        <f t="shared" si="13"/>
        <v>100</v>
      </c>
      <c r="V35" s="1507" t="s">
        <v>8</v>
      </c>
      <c r="W35" s="1508">
        <f t="shared" si="14"/>
        <v>100</v>
      </c>
      <c r="X35" s="1501"/>
      <c r="Y35" s="3971"/>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971"/>
      <c r="Q36" s="1506" t="str">
        <f t="shared" si="11"/>
        <v>公共部分装修</v>
      </c>
      <c r="R36" s="1507" t="s">
        <v>8</v>
      </c>
      <c r="S36" s="1508">
        <f t="shared" si="12"/>
        <v>100</v>
      </c>
      <c r="T36" s="1507" t="s">
        <v>8</v>
      </c>
      <c r="U36" s="1508">
        <f t="shared" si="13"/>
        <v>100</v>
      </c>
      <c r="V36" s="1507" t="s">
        <v>8</v>
      </c>
      <c r="W36" s="1508">
        <f t="shared" si="14"/>
        <v>100</v>
      </c>
      <c r="X36" s="1501"/>
      <c r="Y36" s="3971"/>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971"/>
      <c r="Q37" s="1506" t="str">
        <f t="shared" si="11"/>
        <v>成新度</v>
      </c>
      <c r="R37" s="1507" t="s">
        <v>8</v>
      </c>
      <c r="S37" s="1508" t="e">
        <f t="shared" si="12"/>
        <v>#N/A</v>
      </c>
      <c r="T37" s="1507" t="s">
        <v>8</v>
      </c>
      <c r="U37" s="1508" t="e">
        <f t="shared" si="13"/>
        <v>#N/A</v>
      </c>
      <c r="V37" s="1507" t="s">
        <v>8</v>
      </c>
      <c r="W37" s="1508" t="e">
        <f t="shared" si="14"/>
        <v>#N/A</v>
      </c>
      <c r="X37" s="1501"/>
      <c r="Y37" s="3971"/>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971"/>
      <c r="Q38" s="1134" t="str">
        <f t="shared" si="11"/>
        <v>写字楼等级</v>
      </c>
      <c r="R38" s="1502" t="s">
        <v>8</v>
      </c>
      <c r="S38" s="1503">
        <f t="shared" si="12"/>
        <v>100</v>
      </c>
      <c r="T38" s="1502" t="s">
        <v>8</v>
      </c>
      <c r="U38" s="1503">
        <f t="shared" si="13"/>
        <v>100</v>
      </c>
      <c r="V38" s="1502" t="s">
        <v>8</v>
      </c>
      <c r="W38" s="1503">
        <f t="shared" si="14"/>
        <v>100</v>
      </c>
      <c r="X38" s="1504"/>
      <c r="Y38" s="3971"/>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971" t="s">
        <v>544</v>
      </c>
      <c r="Q39" s="1506" t="str">
        <f t="shared" si="11"/>
        <v>物业管理</v>
      </c>
      <c r="R39" s="1507" t="s">
        <v>8</v>
      </c>
      <c r="S39" s="1508">
        <f t="shared" si="12"/>
        <v>100</v>
      </c>
      <c r="T39" s="1507" t="s">
        <v>8</v>
      </c>
      <c r="U39" s="1508">
        <f t="shared" si="13"/>
        <v>100</v>
      </c>
      <c r="V39" s="1507" t="s">
        <v>8</v>
      </c>
      <c r="W39" s="1508">
        <f t="shared" si="14"/>
        <v>100</v>
      </c>
      <c r="X39" s="1501"/>
      <c r="Y39" s="3971"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971"/>
      <c r="Q40" s="1506" t="str">
        <f t="shared" si="11"/>
        <v>市政基础设施</v>
      </c>
      <c r="R40" s="1507" t="s">
        <v>8</v>
      </c>
      <c r="S40" s="1508">
        <f t="shared" si="12"/>
        <v>100</v>
      </c>
      <c r="T40" s="1507" t="s">
        <v>8</v>
      </c>
      <c r="U40" s="1508">
        <f t="shared" si="13"/>
        <v>100</v>
      </c>
      <c r="V40" s="1507" t="s">
        <v>8</v>
      </c>
      <c r="W40" s="1508">
        <f t="shared" si="14"/>
        <v>100</v>
      </c>
      <c r="X40" s="1501"/>
      <c r="Y40" s="3971"/>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971"/>
      <c r="Q41" s="1506" t="str">
        <f t="shared" si="11"/>
        <v>层高</v>
      </c>
      <c r="R41" s="1507" t="s">
        <v>8</v>
      </c>
      <c r="S41" s="1508">
        <f t="shared" si="12"/>
        <v>100</v>
      </c>
      <c r="T41" s="1507" t="s">
        <v>8</v>
      </c>
      <c r="U41" s="1508">
        <f t="shared" si="13"/>
        <v>100</v>
      </c>
      <c r="V41" s="1507" t="s">
        <v>8</v>
      </c>
      <c r="W41" s="1508">
        <f t="shared" si="14"/>
        <v>100</v>
      </c>
      <c r="X41" s="1501"/>
      <c r="Y41" s="3971"/>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971"/>
      <c r="Q42" s="1535" t="str">
        <f t="shared" si="11"/>
        <v>单套建筑面积</v>
      </c>
      <c r="R42" s="1511" t="s">
        <v>8</v>
      </c>
      <c r="S42" s="1512">
        <f t="shared" si="12"/>
        <v>100</v>
      </c>
      <c r="T42" s="1511" t="s">
        <v>8</v>
      </c>
      <c r="U42" s="1512">
        <f t="shared" si="13"/>
        <v>100</v>
      </c>
      <c r="V42" s="1511" t="s">
        <v>8</v>
      </c>
      <c r="W42" s="1512">
        <f t="shared" si="14"/>
        <v>100</v>
      </c>
      <c r="X42" s="1513"/>
      <c r="Y42" s="3971"/>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971"/>
      <c r="Q43" s="1506" t="str">
        <f t="shared" si="11"/>
        <v>内部装修</v>
      </c>
      <c r="R43" s="1507" t="s">
        <v>8</v>
      </c>
      <c r="S43" s="1508">
        <f t="shared" si="12"/>
        <v>100</v>
      </c>
      <c r="T43" s="1507" t="s">
        <v>8</v>
      </c>
      <c r="U43" s="1508">
        <f t="shared" si="13"/>
        <v>100</v>
      </c>
      <c r="V43" s="1507" t="s">
        <v>8</v>
      </c>
      <c r="W43" s="1508">
        <f t="shared" si="14"/>
        <v>100</v>
      </c>
      <c r="X43" s="1501"/>
      <c r="Y43" s="3971"/>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971"/>
      <c r="Q44" s="1506" t="str">
        <f t="shared" si="11"/>
        <v>内部装修维护情况</v>
      </c>
      <c r="R44" s="1507" t="s">
        <v>8</v>
      </c>
      <c r="S44" s="1508">
        <f t="shared" si="12"/>
        <v>100</v>
      </c>
      <c r="T44" s="1507" t="s">
        <v>8</v>
      </c>
      <c r="U44" s="1508">
        <f t="shared" si="13"/>
        <v>100</v>
      </c>
      <c r="V44" s="1507" t="s">
        <v>8</v>
      </c>
      <c r="W44" s="1508">
        <f t="shared" si="14"/>
        <v>100</v>
      </c>
      <c r="X44" s="1501"/>
      <c r="Y44" s="3971"/>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971"/>
      <c r="Q45" s="1134">
        <f t="shared" si="11"/>
        <v>111</v>
      </c>
      <c r="R45" s="1502" t="s">
        <v>8</v>
      </c>
      <c r="S45" s="1503">
        <f t="shared" si="12"/>
        <v>100</v>
      </c>
      <c r="T45" s="1502" t="s">
        <v>8</v>
      </c>
      <c r="U45" s="1503">
        <f t="shared" si="13"/>
        <v>100</v>
      </c>
      <c r="V45" s="1502" t="s">
        <v>8</v>
      </c>
      <c r="W45" s="1503">
        <f t="shared" si="14"/>
        <v>100</v>
      </c>
      <c r="X45" s="1504"/>
      <c r="Y45" s="3971"/>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971"/>
      <c r="Q46" s="1506">
        <f t="shared" si="11"/>
        <v>111</v>
      </c>
      <c r="R46" s="1507" t="s">
        <v>8</v>
      </c>
      <c r="S46" s="1508">
        <f t="shared" si="12"/>
        <v>100</v>
      </c>
      <c r="T46" s="1507" t="s">
        <v>8</v>
      </c>
      <c r="U46" s="1508">
        <f t="shared" si="13"/>
        <v>100</v>
      </c>
      <c r="V46" s="1507" t="s">
        <v>8</v>
      </c>
      <c r="W46" s="1508">
        <f t="shared" si="14"/>
        <v>100</v>
      </c>
      <c r="X46" s="1501"/>
      <c r="Y46" s="3971"/>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049"/>
      <c r="Q47" s="1506">
        <f t="shared" si="11"/>
        <v>111</v>
      </c>
      <c r="R47" s="1507" t="s">
        <v>8</v>
      </c>
      <c r="S47" s="1508">
        <f t="shared" si="12"/>
        <v>100</v>
      </c>
      <c r="T47" s="1507" t="s">
        <v>8</v>
      </c>
      <c r="U47" s="1508">
        <f t="shared" si="13"/>
        <v>100</v>
      </c>
      <c r="V47" s="1507" t="s">
        <v>8</v>
      </c>
      <c r="W47" s="1508">
        <f t="shared" si="14"/>
        <v>100</v>
      </c>
      <c r="X47" s="1501"/>
      <c r="Y47" s="4049"/>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928" t="str">
        <f>A48</f>
        <v>成交单价（元/平方米）</v>
      </c>
      <c r="Q48" s="3930"/>
      <c r="R48" s="4048">
        <f>E48</f>
        <v>0</v>
      </c>
      <c r="S48" s="4048"/>
      <c r="T48" s="4048">
        <f>G48</f>
        <v>0</v>
      </c>
      <c r="U48" s="4048"/>
      <c r="V48" s="4048">
        <f>I48</f>
        <v>0</v>
      </c>
      <c r="W48" s="4048"/>
      <c r="X48" s="1496"/>
      <c r="Y48" s="1515"/>
      <c r="Z48" s="1496"/>
      <c r="AA48" s="1496"/>
      <c r="AB48" s="1496"/>
      <c r="AC48" s="1496"/>
    </row>
    <row r="49" spans="1:29" ht="15.75" thickBot="1">
      <c r="A49" s="609" t="s">
        <v>2739</v>
      </c>
      <c r="B49" s="877"/>
      <c r="C49" s="2476" t="e">
        <f>R50</f>
        <v>#DIV/0!</v>
      </c>
      <c r="D49" s="3013" t="s">
        <v>2970</v>
      </c>
      <c r="E49" s="2477" t="e">
        <f>R49</f>
        <v>#DIV/0!</v>
      </c>
      <c r="F49" s="3014"/>
      <c r="G49" s="2476" t="e">
        <f>T49</f>
        <v>#DIV/0!</v>
      </c>
      <c r="H49" s="3014"/>
      <c r="I49" s="2477" t="e">
        <f>V49</f>
        <v>#DIV/0!</v>
      </c>
      <c r="J49" s="3014"/>
      <c r="K49" s="3022">
        <f>F49+H49+J49</f>
        <v>0</v>
      </c>
      <c r="L49" s="2026"/>
      <c r="M49" s="2016"/>
      <c r="N49" s="2016"/>
      <c r="O49" s="2016"/>
      <c r="P49" s="3928" t="str">
        <f>A49</f>
        <v>比较价格（元/平方米）</v>
      </c>
      <c r="Q49" s="3930"/>
      <c r="R49" s="4048" t="e">
        <f>IF(F1="售价",ROUND(PRODUCT(R48,AA7:AA47),0),ROUND(PRODUCT(R48,AA7:AA47),1))</f>
        <v>#DIV/0!</v>
      </c>
      <c r="S49" s="4048"/>
      <c r="T49" s="4048" t="e">
        <f>IF(F1="售价",ROUND(PRODUCT(T48,AB7:AB47),0),ROUND(PRODUCT(T48,AB7:AB47),1))</f>
        <v>#DIV/0!</v>
      </c>
      <c r="U49" s="4048"/>
      <c r="V49" s="4048" t="e">
        <f>IF(F1="售价",ROUND(PRODUCT(V48,AC7:AC47),0),ROUND(PRODUCT(V48,AC7:AC47),1))</f>
        <v>#DIV/0!</v>
      </c>
      <c r="W49" s="4048"/>
      <c r="X49" s="1496"/>
      <c r="Y49" s="1496"/>
      <c r="Z49" s="1496"/>
      <c r="AA49" s="1496"/>
      <c r="AB49" s="1496"/>
      <c r="AC49" s="1496"/>
    </row>
    <row r="50" spans="1:29" ht="15.75" thickBot="1">
      <c r="A50" s="613" t="s">
        <v>2902</v>
      </c>
      <c r="B50" s="614"/>
      <c r="C50" s="2478" t="e">
        <f>R50</f>
        <v>#DIV/0!</v>
      </c>
      <c r="D50" s="2478"/>
      <c r="E50" s="2478"/>
      <c r="F50" s="2478"/>
      <c r="G50" s="2478"/>
      <c r="H50" s="2478"/>
      <c r="I50" s="2478"/>
      <c r="J50" s="2478"/>
      <c r="K50" s="1541"/>
      <c r="L50" s="2026"/>
      <c r="M50" s="2016"/>
      <c r="N50" s="2016"/>
      <c r="O50" s="2016"/>
      <c r="P50" s="4050" t="str">
        <f>A50</f>
        <v>估价对象XX用房的比较价格（楼面单价，元/平方米）</v>
      </c>
      <c r="Q50" s="3928"/>
      <c r="R50" s="4047" t="e">
        <f>IF(F1="售价",ROUND(IF(D49="简单平均",AVERAGE(R49:V49),R49*F49+T49*H49+V49*J49),0),ROUND(IF(D49="简单平均",AVERAGE(R49:V49),R49*F49+T49*H49+V49*J49),1))</f>
        <v>#DIV/0!</v>
      </c>
      <c r="S50" s="4047"/>
      <c r="T50" s="4047"/>
      <c r="U50" s="4047"/>
      <c r="V50" s="4047"/>
      <c r="W50" s="4047"/>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936" t="s">
        <v>516</v>
      </c>
      <c r="D4" s="3937"/>
      <c r="E4" s="3972" t="s">
        <v>517</v>
      </c>
      <c r="F4" s="3973"/>
      <c r="G4" s="3936" t="s">
        <v>518</v>
      </c>
      <c r="H4" s="3937"/>
      <c r="I4" s="3936" t="s">
        <v>519</v>
      </c>
      <c r="J4" s="3937"/>
      <c r="K4" s="508" t="s">
        <v>520</v>
      </c>
      <c r="L4" s="2015"/>
      <c r="M4" s="2016"/>
      <c r="N4" s="2016"/>
      <c r="O4" s="2016"/>
      <c r="P4" s="3938" t="s">
        <v>521</v>
      </c>
      <c r="Q4" s="3939"/>
      <c r="R4" s="3944" t="s">
        <v>517</v>
      </c>
      <c r="S4" s="3945"/>
      <c r="T4" s="3944" t="s">
        <v>518</v>
      </c>
      <c r="U4" s="3945"/>
      <c r="V4" s="3931" t="s">
        <v>519</v>
      </c>
      <c r="W4" s="3931"/>
      <c r="X4" s="1501"/>
      <c r="Y4" s="3944" t="s">
        <v>521</v>
      </c>
      <c r="Z4" s="3945"/>
      <c r="AA4" s="3933" t="s">
        <v>517</v>
      </c>
      <c r="AB4" s="3934" t="s">
        <v>518</v>
      </c>
      <c r="AC4" s="3933" t="s">
        <v>519</v>
      </c>
    </row>
    <row r="5" spans="1:29" ht="15">
      <c r="A5" s="509"/>
      <c r="B5" s="510"/>
      <c r="C5" s="3952" t="s">
        <v>2896</v>
      </c>
      <c r="D5" s="3953"/>
      <c r="E5" s="3958" t="s">
        <v>2897</v>
      </c>
      <c r="F5" s="3959"/>
      <c r="G5" s="3952" t="s">
        <v>2898</v>
      </c>
      <c r="H5" s="3953"/>
      <c r="I5" s="3952" t="s">
        <v>2899</v>
      </c>
      <c r="J5" s="3953"/>
      <c r="K5" s="508"/>
      <c r="L5" s="2015"/>
      <c r="M5" s="2016"/>
      <c r="N5" s="2016"/>
      <c r="O5" s="2016"/>
      <c r="P5" s="3940"/>
      <c r="Q5" s="3941"/>
      <c r="R5" s="3946"/>
      <c r="S5" s="3947"/>
      <c r="T5" s="3946"/>
      <c r="U5" s="3947"/>
      <c r="V5" s="3931"/>
      <c r="W5" s="3931"/>
      <c r="X5" s="1501"/>
      <c r="Y5" s="3946"/>
      <c r="Z5" s="3947"/>
      <c r="AA5" s="3934"/>
      <c r="AB5" s="3934"/>
      <c r="AC5" s="3934"/>
    </row>
    <row r="6" spans="1:29" ht="15.75" thickBot="1">
      <c r="A6" s="511"/>
      <c r="B6" s="512"/>
      <c r="C6" s="3950" t="s">
        <v>2900</v>
      </c>
      <c r="D6" s="3951"/>
      <c r="E6" s="3956" t="s">
        <v>2900</v>
      </c>
      <c r="F6" s="3957"/>
      <c r="G6" s="3950" t="s">
        <v>2900</v>
      </c>
      <c r="H6" s="3951"/>
      <c r="I6" s="3950" t="s">
        <v>2900</v>
      </c>
      <c r="J6" s="3951"/>
      <c r="K6" s="508" t="s">
        <v>522</v>
      </c>
      <c r="L6" s="2015"/>
      <c r="M6" s="2016"/>
      <c r="N6" s="2016"/>
      <c r="O6" s="2016"/>
      <c r="P6" s="3942"/>
      <c r="Q6" s="3943"/>
      <c r="R6" s="3946"/>
      <c r="S6" s="3947"/>
      <c r="T6" s="3948"/>
      <c r="U6" s="3949"/>
      <c r="V6" s="3931"/>
      <c r="W6" s="3931"/>
      <c r="X6" s="1501"/>
      <c r="Y6" s="3948"/>
      <c r="Z6" s="3949"/>
      <c r="AA6" s="3935"/>
      <c r="AB6" s="3935"/>
      <c r="AC6" s="3935"/>
    </row>
    <row r="7" spans="1:29" s="1203" customFormat="1" ht="15.75" thickBot="1">
      <c r="A7" s="2628"/>
      <c r="B7" s="2635" t="s">
        <v>523</v>
      </c>
      <c r="C7" s="513">
        <f>'数据-取费表'!B2</f>
        <v>44232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965" t="s">
        <v>524</v>
      </c>
      <c r="Q7" s="3967"/>
      <c r="R7" s="1502" t="s">
        <v>8</v>
      </c>
      <c r="S7" s="1503">
        <f t="shared" ref="S7:S15" si="0">F7</f>
        <v>0</v>
      </c>
      <c r="T7" s="1502" t="s">
        <v>8</v>
      </c>
      <c r="U7" s="1503">
        <f t="shared" ref="U7:U15" si="1">H7</f>
        <v>0</v>
      </c>
      <c r="V7" s="1502" t="s">
        <v>8</v>
      </c>
      <c r="W7" s="1503">
        <f t="shared" ref="W7:W15"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965" t="s">
        <v>527</v>
      </c>
      <c r="Q8" s="3966"/>
      <c r="R8" s="1502" t="s">
        <v>8</v>
      </c>
      <c r="S8" s="1503">
        <f t="shared" si="0"/>
        <v>0</v>
      </c>
      <c r="T8" s="1502" t="s">
        <v>8</v>
      </c>
      <c r="U8" s="1503">
        <f t="shared" si="1"/>
        <v>0</v>
      </c>
      <c r="V8" s="1502" t="s">
        <v>8</v>
      </c>
      <c r="W8" s="1503">
        <f t="shared" si="2"/>
        <v>0</v>
      </c>
      <c r="X8" s="1504"/>
      <c r="Y8" s="3965" t="s">
        <v>527</v>
      </c>
      <c r="Z8" s="3966"/>
      <c r="AA8" s="1505" t="e">
        <f t="shared" ref="AA8:AA40" si="3">D8/F8</f>
        <v>#DIV/0!</v>
      </c>
      <c r="AB8" s="1505" t="e">
        <f t="shared" ref="AB8:AB40" si="4">D8/H8</f>
        <v>#DIV/0!</v>
      </c>
      <c r="AC8" s="1505" t="e">
        <f t="shared" ref="AC8:AC40" si="5">D8/J8</f>
        <v>#DIV/0!</v>
      </c>
    </row>
    <row r="9" spans="1:29" s="1203" customFormat="1" ht="15">
      <c r="A9" s="2630"/>
      <c r="B9" s="2637"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930" t="s">
        <v>529</v>
      </c>
      <c r="Q9" s="1134" t="str">
        <f t="shared" ref="Q9:Q15" si="6">B9</f>
        <v>用途</v>
      </c>
      <c r="R9" s="1502" t="s">
        <v>8</v>
      </c>
      <c r="S9" s="1503">
        <f t="shared" si="0"/>
        <v>100</v>
      </c>
      <c r="T9" s="1502" t="s">
        <v>8</v>
      </c>
      <c r="U9" s="1503">
        <f t="shared" si="1"/>
        <v>100</v>
      </c>
      <c r="V9" s="1502" t="s">
        <v>8</v>
      </c>
      <c r="W9" s="1503">
        <f t="shared" si="2"/>
        <v>100</v>
      </c>
      <c r="X9" s="1504"/>
      <c r="Y9" s="3876" t="s">
        <v>530</v>
      </c>
      <c r="Z9" s="1133" t="str">
        <f t="shared" ref="Z9:Z15" si="7">Q9</f>
        <v>用途</v>
      </c>
      <c r="AA9" s="1505">
        <f t="shared" si="3"/>
        <v>1</v>
      </c>
      <c r="AB9" s="1505">
        <f t="shared" si="4"/>
        <v>1</v>
      </c>
      <c r="AC9" s="1505">
        <f t="shared" si="5"/>
        <v>1</v>
      </c>
    </row>
    <row r="10" spans="1:29" s="1292" customFormat="1" ht="27">
      <c r="A10" s="2631"/>
      <c r="B10" s="2636"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2"/>
      <c r="B11" s="2636"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930"/>
      <c r="Q11" s="1134" t="str">
        <f t="shared" si="6"/>
        <v>容积率</v>
      </c>
      <c r="R11" s="1502" t="s">
        <v>8</v>
      </c>
      <c r="S11" s="1503" t="e">
        <f t="shared" si="0"/>
        <v>#N/A</v>
      </c>
      <c r="T11" s="1502" t="s">
        <v>8</v>
      </c>
      <c r="U11" s="1503" t="e">
        <f t="shared" si="1"/>
        <v>#N/A</v>
      </c>
      <c r="V11" s="1502" t="s">
        <v>8</v>
      </c>
      <c r="W11" s="1503" t="e">
        <f t="shared" si="2"/>
        <v>#N/A</v>
      </c>
      <c r="X11" s="1504"/>
      <c r="Y11" s="3876"/>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930"/>
      <c r="Q12" s="1134">
        <f t="shared" si="6"/>
        <v>111</v>
      </c>
      <c r="R12" s="1502" t="s">
        <v>8</v>
      </c>
      <c r="S12" s="1503">
        <f t="shared" si="0"/>
        <v>100</v>
      </c>
      <c r="T12" s="1502" t="s">
        <v>8</v>
      </c>
      <c r="U12" s="1503">
        <f t="shared" si="1"/>
        <v>100</v>
      </c>
      <c r="V12" s="1502" t="s">
        <v>8</v>
      </c>
      <c r="W12" s="1503">
        <f t="shared" si="2"/>
        <v>100</v>
      </c>
      <c r="X12" s="1504"/>
      <c r="Y12" s="3876"/>
      <c r="Z12" s="1133">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930"/>
      <c r="Q13" s="1134">
        <f t="shared" si="6"/>
        <v>111</v>
      </c>
      <c r="R13" s="1502" t="s">
        <v>8</v>
      </c>
      <c r="S13" s="1503">
        <f t="shared" si="0"/>
        <v>100</v>
      </c>
      <c r="T13" s="1502" t="s">
        <v>8</v>
      </c>
      <c r="U13" s="1503">
        <f t="shared" si="1"/>
        <v>100</v>
      </c>
      <c r="V13" s="1502" t="s">
        <v>8</v>
      </c>
      <c r="W13" s="1503">
        <f t="shared" si="2"/>
        <v>100</v>
      </c>
      <c r="X13" s="1504"/>
      <c r="Y13" s="3876"/>
      <c r="Z13" s="1133">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930"/>
      <c r="Q14" s="1134">
        <f t="shared" si="6"/>
        <v>111</v>
      </c>
      <c r="R14" s="1502" t="s">
        <v>8</v>
      </c>
      <c r="S14" s="1503">
        <f t="shared" si="0"/>
        <v>100</v>
      </c>
      <c r="T14" s="1502" t="s">
        <v>8</v>
      </c>
      <c r="U14" s="1503">
        <f t="shared" si="1"/>
        <v>100</v>
      </c>
      <c r="V14" s="1502" t="s">
        <v>8</v>
      </c>
      <c r="W14" s="1503">
        <f t="shared" si="2"/>
        <v>100</v>
      </c>
      <c r="X14" s="1504"/>
      <c r="Y14" s="3876"/>
      <c r="Z14" s="1133">
        <f t="shared" si="7"/>
        <v>111</v>
      </c>
      <c r="AA14" s="1505">
        <f t="shared" si="3"/>
        <v>1</v>
      </c>
      <c r="AB14" s="1505">
        <f t="shared" si="4"/>
        <v>1</v>
      </c>
      <c r="AC14" s="1505">
        <f t="shared" si="5"/>
        <v>1</v>
      </c>
    </row>
    <row r="15" spans="1:29" ht="57">
      <c r="A15" s="2626" t="s">
        <v>2733</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968" t="s">
        <v>534</v>
      </c>
      <c r="Q15" s="1506" t="str">
        <f t="shared" si="6"/>
        <v>产业集聚程度</v>
      </c>
      <c r="R15" s="1507" t="s">
        <v>8</v>
      </c>
      <c r="S15" s="1508">
        <f t="shared" si="0"/>
        <v>100</v>
      </c>
      <c r="T15" s="1507" t="s">
        <v>8</v>
      </c>
      <c r="U15" s="1508">
        <f t="shared" si="1"/>
        <v>100</v>
      </c>
      <c r="V15" s="1507" t="s">
        <v>8</v>
      </c>
      <c r="W15" s="1508">
        <f t="shared" si="2"/>
        <v>100</v>
      </c>
      <c r="X15" s="1501"/>
      <c r="Y15" s="3968"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969"/>
      <c r="Q16" s="1506"/>
      <c r="R16" s="1507"/>
      <c r="S16" s="1508"/>
      <c r="T16" s="1507"/>
      <c r="U16" s="1508"/>
      <c r="V16" s="1507"/>
      <c r="W16" s="1508"/>
      <c r="X16" s="1501"/>
      <c r="Y16" s="3969"/>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969"/>
      <c r="Q17" s="1506" t="str">
        <f>B17</f>
        <v>交通便捷度</v>
      </c>
      <c r="R17" s="1507" t="s">
        <v>8</v>
      </c>
      <c r="S17" s="1508">
        <f>F17</f>
        <v>100</v>
      </c>
      <c r="T17" s="1507" t="s">
        <v>8</v>
      </c>
      <c r="U17" s="1508">
        <f>H17</f>
        <v>100</v>
      </c>
      <c r="V17" s="1507" t="s">
        <v>8</v>
      </c>
      <c r="W17" s="1508">
        <f>J17</f>
        <v>100</v>
      </c>
      <c r="X17" s="1501"/>
      <c r="Y17" s="396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969"/>
      <c r="Q18" s="1506"/>
      <c r="R18" s="1507"/>
      <c r="S18" s="1508"/>
      <c r="T18" s="1507"/>
      <c r="U18" s="1508"/>
      <c r="V18" s="1507"/>
      <c r="W18" s="1508"/>
      <c r="X18" s="1501"/>
      <c r="Y18" s="3969"/>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969"/>
      <c r="Q19" s="1506" t="str">
        <f>B19</f>
        <v>公共配套设施</v>
      </c>
      <c r="R19" s="1507" t="s">
        <v>8</v>
      </c>
      <c r="S19" s="1508">
        <f>F19</f>
        <v>100</v>
      </c>
      <c r="T19" s="1507" t="s">
        <v>8</v>
      </c>
      <c r="U19" s="1508">
        <f>H19</f>
        <v>100</v>
      </c>
      <c r="V19" s="1507" t="s">
        <v>8</v>
      </c>
      <c r="W19" s="1508">
        <f>J19</f>
        <v>100</v>
      </c>
      <c r="X19" s="1501"/>
      <c r="Y19" s="3969"/>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969"/>
      <c r="Q20" s="1506"/>
      <c r="R20" s="1507"/>
      <c r="S20" s="1508"/>
      <c r="T20" s="1507"/>
      <c r="U20" s="1508"/>
      <c r="V20" s="1507"/>
      <c r="W20" s="1508"/>
      <c r="X20" s="1501"/>
      <c r="Y20" s="3969"/>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969"/>
      <c r="Q21" s="2429" t="str">
        <f>B21</f>
        <v>基础设施水平</v>
      </c>
      <c r="R21" s="1507" t="s">
        <v>8</v>
      </c>
      <c r="S21" s="1508">
        <f>F21</f>
        <v>100</v>
      </c>
      <c r="T21" s="1507" t="s">
        <v>8</v>
      </c>
      <c r="U21" s="1508">
        <f>H21</f>
        <v>100</v>
      </c>
      <c r="V21" s="1507" t="s">
        <v>8</v>
      </c>
      <c r="W21" s="1508">
        <f>J21</f>
        <v>100</v>
      </c>
      <c r="X21" s="2431"/>
      <c r="Y21" s="3969"/>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969"/>
      <c r="Q22" s="2429"/>
      <c r="R22" s="1507"/>
      <c r="S22" s="1508"/>
      <c r="T22" s="1507"/>
      <c r="U22" s="1508"/>
      <c r="V22" s="1507"/>
      <c r="W22" s="1508"/>
      <c r="X22" s="2431"/>
      <c r="Y22" s="3969"/>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969"/>
      <c r="Q23" s="1506" t="str">
        <f>B23</f>
        <v>环境质量</v>
      </c>
      <c r="R23" s="1507" t="s">
        <v>8</v>
      </c>
      <c r="S23" s="1508">
        <f>F23</f>
        <v>100</v>
      </c>
      <c r="T23" s="1507" t="s">
        <v>8</v>
      </c>
      <c r="U23" s="1508">
        <f>H23</f>
        <v>100</v>
      </c>
      <c r="V23" s="1507" t="s">
        <v>8</v>
      </c>
      <c r="W23" s="1508">
        <f>J23</f>
        <v>100</v>
      </c>
      <c r="X23" s="1501"/>
      <c r="Y23" s="3969"/>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969"/>
      <c r="Q24" s="1506"/>
      <c r="R24" s="1507"/>
      <c r="S24" s="1508"/>
      <c r="T24" s="1507"/>
      <c r="U24" s="1508"/>
      <c r="V24" s="1507"/>
      <c r="W24" s="1508"/>
      <c r="X24" s="1501"/>
      <c r="Y24" s="3969"/>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969"/>
      <c r="Q25" s="1506">
        <f>B25</f>
        <v>111</v>
      </c>
      <c r="R25" s="1507" t="s">
        <v>8</v>
      </c>
      <c r="S25" s="1508">
        <f>F25</f>
        <v>100</v>
      </c>
      <c r="T25" s="1507" t="s">
        <v>8</v>
      </c>
      <c r="U25" s="1508">
        <f>H25</f>
        <v>100</v>
      </c>
      <c r="V25" s="1507" t="s">
        <v>8</v>
      </c>
      <c r="W25" s="1508">
        <f>J25</f>
        <v>100</v>
      </c>
      <c r="X25" s="1501"/>
      <c r="Y25" s="3969"/>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969"/>
      <c r="Q26" s="1506">
        <f t="shared" ref="Q26:Q40" si="11">B26</f>
        <v>111</v>
      </c>
      <c r="R26" s="1507" t="s">
        <v>8</v>
      </c>
      <c r="S26" s="1508">
        <f>F26</f>
        <v>100</v>
      </c>
      <c r="T26" s="1507" t="s">
        <v>8</v>
      </c>
      <c r="U26" s="1508">
        <f>H26</f>
        <v>100</v>
      </c>
      <c r="V26" s="1507" t="s">
        <v>8</v>
      </c>
      <c r="W26" s="1508">
        <f>J26</f>
        <v>100</v>
      </c>
      <c r="X26" s="1501"/>
      <c r="Y26" s="3969"/>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969"/>
      <c r="Q27" s="1134">
        <f t="shared" si="11"/>
        <v>111</v>
      </c>
      <c r="R27" s="1502" t="s">
        <v>8</v>
      </c>
      <c r="S27" s="1503">
        <f>F27</f>
        <v>100</v>
      </c>
      <c r="T27" s="1502" t="s">
        <v>8</v>
      </c>
      <c r="U27" s="1503">
        <f>H27</f>
        <v>100</v>
      </c>
      <c r="V27" s="1502" t="s">
        <v>8</v>
      </c>
      <c r="W27" s="1503">
        <f>J27</f>
        <v>100</v>
      </c>
      <c r="X27" s="1504"/>
      <c r="Y27" s="3969"/>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969"/>
      <c r="Q28" s="1506">
        <f t="shared" si="11"/>
        <v>111</v>
      </c>
      <c r="R28" s="1507" t="s">
        <v>8</v>
      </c>
      <c r="S28" s="1508">
        <f t="shared" ref="S28:S40" si="12">F28</f>
        <v>100</v>
      </c>
      <c r="T28" s="1507" t="s">
        <v>8</v>
      </c>
      <c r="U28" s="1508">
        <f t="shared" ref="U28:U40" si="13">H28</f>
        <v>100</v>
      </c>
      <c r="V28" s="1507" t="s">
        <v>8</v>
      </c>
      <c r="W28" s="1508">
        <f t="shared" ref="W28:W40" si="14">J28</f>
        <v>100</v>
      </c>
      <c r="X28" s="1501"/>
      <c r="Y28" s="3969"/>
      <c r="Z28" s="1509">
        <f t="shared" ref="Z28:Z40" si="15">Q28</f>
        <v>111</v>
      </c>
      <c r="AA28" s="1510">
        <f t="shared" si="3"/>
        <v>1</v>
      </c>
      <c r="AB28" s="1510">
        <f t="shared" si="4"/>
        <v>1</v>
      </c>
      <c r="AC28" s="1510">
        <f t="shared" si="5"/>
        <v>1</v>
      </c>
    </row>
    <row r="29" spans="1:29" ht="15">
      <c r="A29" s="2624"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970" t="s">
        <v>544</v>
      </c>
      <c r="Q29" s="1506" t="str">
        <f t="shared" si="11"/>
        <v>建筑类型</v>
      </c>
      <c r="R29" s="1507" t="s">
        <v>8</v>
      </c>
      <c r="S29" s="1508">
        <f t="shared" si="12"/>
        <v>100</v>
      </c>
      <c r="T29" s="1507" t="s">
        <v>8</v>
      </c>
      <c r="U29" s="1508">
        <f t="shared" si="13"/>
        <v>100</v>
      </c>
      <c r="V29" s="1507" t="s">
        <v>8</v>
      </c>
      <c r="W29" s="1508">
        <f t="shared" si="14"/>
        <v>100</v>
      </c>
      <c r="X29" s="1501"/>
      <c r="Y29" s="3971"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971"/>
      <c r="Q30" s="1535" t="str">
        <f t="shared" si="11"/>
        <v>项目建筑规模</v>
      </c>
      <c r="R30" s="1511" t="s">
        <v>8</v>
      </c>
      <c r="S30" s="1512" t="e">
        <f t="shared" si="12"/>
        <v>#N/A</v>
      </c>
      <c r="T30" s="1511" t="s">
        <v>8</v>
      </c>
      <c r="U30" s="1512" t="e">
        <f t="shared" si="13"/>
        <v>#N/A</v>
      </c>
      <c r="V30" s="1511" t="s">
        <v>8</v>
      </c>
      <c r="W30" s="1512" t="e">
        <f t="shared" si="14"/>
        <v>#N/A</v>
      </c>
      <c r="X30" s="1513"/>
      <c r="Y30" s="3971"/>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971"/>
      <c r="Q31" s="1506" t="str">
        <f t="shared" si="11"/>
        <v>建筑结构</v>
      </c>
      <c r="R31" s="1507" t="s">
        <v>8</v>
      </c>
      <c r="S31" s="1508">
        <f t="shared" si="12"/>
        <v>100</v>
      </c>
      <c r="T31" s="1507" t="s">
        <v>8</v>
      </c>
      <c r="U31" s="1508">
        <f t="shared" si="13"/>
        <v>100</v>
      </c>
      <c r="V31" s="1507" t="s">
        <v>8</v>
      </c>
      <c r="W31" s="1508">
        <f t="shared" si="14"/>
        <v>100</v>
      </c>
      <c r="X31" s="1501"/>
      <c r="Y31" s="3971"/>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971"/>
      <c r="Q32" s="1506" t="str">
        <f t="shared" si="11"/>
        <v>公共部分装修</v>
      </c>
      <c r="R32" s="1507" t="s">
        <v>8</v>
      </c>
      <c r="S32" s="1508">
        <f t="shared" si="12"/>
        <v>100</v>
      </c>
      <c r="T32" s="1507" t="s">
        <v>8</v>
      </c>
      <c r="U32" s="1508">
        <f t="shared" si="13"/>
        <v>100</v>
      </c>
      <c r="V32" s="1507" t="s">
        <v>8</v>
      </c>
      <c r="W32" s="1508">
        <f t="shared" si="14"/>
        <v>100</v>
      </c>
      <c r="X32" s="1501"/>
      <c r="Y32" s="3971"/>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971"/>
      <c r="Q33" s="1506" t="str">
        <f t="shared" si="11"/>
        <v>成新度</v>
      </c>
      <c r="R33" s="1507" t="s">
        <v>8</v>
      </c>
      <c r="S33" s="1508" t="e">
        <f t="shared" si="12"/>
        <v>#N/A</v>
      </c>
      <c r="T33" s="1507" t="s">
        <v>8</v>
      </c>
      <c r="U33" s="1508" t="e">
        <f t="shared" si="13"/>
        <v>#N/A</v>
      </c>
      <c r="V33" s="1507" t="s">
        <v>8</v>
      </c>
      <c r="W33" s="1508" t="e">
        <f t="shared" si="14"/>
        <v>#N/A</v>
      </c>
      <c r="X33" s="1501"/>
      <c r="Y33" s="3971"/>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971"/>
      <c r="Q34" s="1134" t="str">
        <f t="shared" si="11"/>
        <v>物业管理</v>
      </c>
      <c r="R34" s="1502" t="s">
        <v>8</v>
      </c>
      <c r="S34" s="1503">
        <f t="shared" si="12"/>
        <v>100</v>
      </c>
      <c r="T34" s="1502" t="s">
        <v>8</v>
      </c>
      <c r="U34" s="1503">
        <f t="shared" si="13"/>
        <v>100</v>
      </c>
      <c r="V34" s="1502" t="s">
        <v>8</v>
      </c>
      <c r="W34" s="1503">
        <f t="shared" si="14"/>
        <v>100</v>
      </c>
      <c r="X34" s="1504"/>
      <c r="Y34" s="3971"/>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971" t="s">
        <v>544</v>
      </c>
      <c r="Q35" s="1506" t="str">
        <f t="shared" si="11"/>
        <v>市政基础设施</v>
      </c>
      <c r="R35" s="1507" t="s">
        <v>8</v>
      </c>
      <c r="S35" s="1508">
        <f t="shared" si="12"/>
        <v>100</v>
      </c>
      <c r="T35" s="1507" t="s">
        <v>8</v>
      </c>
      <c r="U35" s="1508">
        <f t="shared" si="13"/>
        <v>100</v>
      </c>
      <c r="V35" s="1507" t="s">
        <v>8</v>
      </c>
      <c r="W35" s="1508">
        <f t="shared" si="14"/>
        <v>100</v>
      </c>
      <c r="X35" s="1501"/>
      <c r="Y35" s="3971"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971"/>
      <c r="Q36" s="1506" t="str">
        <f t="shared" si="11"/>
        <v>内部装修</v>
      </c>
      <c r="R36" s="1507" t="s">
        <v>8</v>
      </c>
      <c r="S36" s="1508">
        <f t="shared" si="12"/>
        <v>100</v>
      </c>
      <c r="T36" s="1507" t="s">
        <v>8</v>
      </c>
      <c r="U36" s="1508">
        <f t="shared" si="13"/>
        <v>100</v>
      </c>
      <c r="V36" s="1507" t="s">
        <v>8</v>
      </c>
      <c r="W36" s="1508">
        <f t="shared" si="14"/>
        <v>100</v>
      </c>
      <c r="X36" s="1501"/>
      <c r="Y36" s="3971"/>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971"/>
      <c r="Q37" s="1506" t="str">
        <f t="shared" si="11"/>
        <v>内部装修状况</v>
      </c>
      <c r="R37" s="1507" t="s">
        <v>8</v>
      </c>
      <c r="S37" s="1508">
        <f t="shared" si="12"/>
        <v>100</v>
      </c>
      <c r="T37" s="1507" t="s">
        <v>8</v>
      </c>
      <c r="U37" s="1508">
        <f t="shared" si="13"/>
        <v>100</v>
      </c>
      <c r="V37" s="1507" t="s">
        <v>8</v>
      </c>
      <c r="W37" s="1508">
        <f t="shared" si="14"/>
        <v>100</v>
      </c>
      <c r="X37" s="1501"/>
      <c r="Y37" s="3971"/>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971"/>
      <c r="Q38" s="1535">
        <f t="shared" si="11"/>
        <v>111</v>
      </c>
      <c r="R38" s="1511" t="s">
        <v>8</v>
      </c>
      <c r="S38" s="1512">
        <f t="shared" si="12"/>
        <v>100</v>
      </c>
      <c r="T38" s="1511" t="s">
        <v>8</v>
      </c>
      <c r="U38" s="1512">
        <f t="shared" si="13"/>
        <v>100</v>
      </c>
      <c r="V38" s="1511" t="s">
        <v>8</v>
      </c>
      <c r="W38" s="1512">
        <f t="shared" si="14"/>
        <v>100</v>
      </c>
      <c r="X38" s="1513"/>
      <c r="Y38" s="3971"/>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971"/>
      <c r="Q39" s="1506">
        <f t="shared" si="11"/>
        <v>111</v>
      </c>
      <c r="R39" s="1507" t="s">
        <v>8</v>
      </c>
      <c r="S39" s="1508">
        <f t="shared" si="12"/>
        <v>100</v>
      </c>
      <c r="T39" s="1507" t="s">
        <v>8</v>
      </c>
      <c r="U39" s="1508">
        <f t="shared" si="13"/>
        <v>100</v>
      </c>
      <c r="V39" s="1507" t="s">
        <v>8</v>
      </c>
      <c r="W39" s="1508">
        <f t="shared" si="14"/>
        <v>100</v>
      </c>
      <c r="X39" s="1501"/>
      <c r="Y39" s="3971"/>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049"/>
      <c r="Q40" s="1506">
        <f t="shared" si="11"/>
        <v>111</v>
      </c>
      <c r="R40" s="1507" t="s">
        <v>8</v>
      </c>
      <c r="S40" s="1508">
        <f t="shared" si="12"/>
        <v>100</v>
      </c>
      <c r="T40" s="1507" t="s">
        <v>8</v>
      </c>
      <c r="U40" s="1508">
        <f t="shared" si="13"/>
        <v>100</v>
      </c>
      <c r="V40" s="1507" t="s">
        <v>8</v>
      </c>
      <c r="W40" s="1508">
        <f t="shared" si="14"/>
        <v>100</v>
      </c>
      <c r="X40" s="1501"/>
      <c r="Y40" s="4049"/>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930" t="str">
        <f>A41</f>
        <v>成交单价（元/平方米）</v>
      </c>
      <c r="Q41" s="3930"/>
      <c r="R41" s="4048">
        <f>E41</f>
        <v>0</v>
      </c>
      <c r="S41" s="4048"/>
      <c r="T41" s="4048">
        <f>G41</f>
        <v>0</v>
      </c>
      <c r="U41" s="4048"/>
      <c r="V41" s="4048">
        <f>I41</f>
        <v>0</v>
      </c>
      <c r="W41" s="4048"/>
      <c r="X41" s="1496"/>
      <c r="Y41" s="1515"/>
      <c r="Z41" s="1496"/>
      <c r="AA41" s="1496"/>
      <c r="AB41" s="1496"/>
      <c r="AC41" s="1496"/>
    </row>
    <row r="42" spans="1:29" ht="15.75" thickBot="1">
      <c r="A42" s="609" t="s">
        <v>2739</v>
      </c>
      <c r="B42" s="877"/>
      <c r="C42" s="2476" t="e">
        <f>R43</f>
        <v>#DIV/0!</v>
      </c>
      <c r="D42" s="3013" t="s">
        <v>2970</v>
      </c>
      <c r="E42" s="2477" t="e">
        <f>R42</f>
        <v>#DIV/0!</v>
      </c>
      <c r="F42" s="3014"/>
      <c r="G42" s="2476" t="e">
        <f>T42</f>
        <v>#DIV/0!</v>
      </c>
      <c r="H42" s="3014"/>
      <c r="I42" s="2477" t="e">
        <f>V42</f>
        <v>#DIV/0!</v>
      </c>
      <c r="J42" s="3014"/>
      <c r="K42" s="3022">
        <f>F42+H42+J42</f>
        <v>0</v>
      </c>
      <c r="L42" s="2026"/>
      <c r="M42" s="2027"/>
      <c r="N42" s="2016"/>
      <c r="O42" s="2027"/>
      <c r="P42" s="3930" t="str">
        <f>A42</f>
        <v>比较价格（元/平方米）</v>
      </c>
      <c r="Q42" s="3930"/>
      <c r="R42" s="4048" t="e">
        <f>IF(F1="售价",ROUND(PRODUCT(R41,AA7:AA40),0),ROUND(PRODUCT(R41,AA7:AA40),1))</f>
        <v>#DIV/0!</v>
      </c>
      <c r="S42" s="4048"/>
      <c r="T42" s="4048" t="e">
        <f>IF(F1="售价",ROUND(PRODUCT(T41,AB7:AB40),0),ROUND(PRODUCT(T41,AB7:AB40),1))</f>
        <v>#DIV/0!</v>
      </c>
      <c r="U42" s="4048"/>
      <c r="V42" s="4048" t="e">
        <f>IF(F1="售价",ROUND(PRODUCT(V41,AC7:AC40),0),ROUND(PRODUCT(V41,AC7:AC40),1))</f>
        <v>#DIV/0!</v>
      </c>
      <c r="W42" s="4048"/>
      <c r="X42" s="1496"/>
      <c r="Y42" s="1496"/>
      <c r="Z42" s="1496"/>
      <c r="AA42" s="1496"/>
      <c r="AB42" s="1496"/>
      <c r="AC42" s="1496"/>
    </row>
    <row r="43" spans="1:29" ht="15.75" thickBot="1">
      <c r="A43" s="613" t="s">
        <v>2902</v>
      </c>
      <c r="B43" s="614"/>
      <c r="C43" s="2478" t="e">
        <f>R43</f>
        <v>#DIV/0!</v>
      </c>
      <c r="D43" s="2478"/>
      <c r="E43" s="2478"/>
      <c r="F43" s="2478"/>
      <c r="G43" s="2478"/>
      <c r="H43" s="2478"/>
      <c r="I43" s="2478"/>
      <c r="J43" s="2478"/>
      <c r="K43" s="1541"/>
      <c r="L43" s="2026"/>
      <c r="M43" s="2027"/>
      <c r="N43" s="2027"/>
      <c r="O43" s="2027"/>
      <c r="P43" s="3927" t="str">
        <f>A43</f>
        <v>估价对象XX用房的比较价格（楼面单价，元/平方米）</v>
      </c>
      <c r="Q43" s="3928"/>
      <c r="R43" s="4047" t="e">
        <f>IF(F1="售价",ROUND(IF(D42="简单平均",AVERAGE(R42:V42),R42*F42+T42*H42+V42*J42),0),ROUND(IF(D42="简单平均",AVERAGE(R42:V42),R42*F42+T42*H42+V42*J42),1))</f>
        <v>#DIV/0!</v>
      </c>
      <c r="S43" s="4047"/>
      <c r="T43" s="4047"/>
      <c r="U43" s="4047"/>
      <c r="V43" s="4047"/>
      <c r="W43" s="4047"/>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S5" sqref="S5:V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936" t="s">
        <v>792</v>
      </c>
      <c r="D4" s="3937"/>
      <c r="E4" s="3936" t="s">
        <v>793</v>
      </c>
      <c r="F4" s="3937"/>
      <c r="G4" s="3936" t="s">
        <v>794</v>
      </c>
      <c r="H4" s="3937"/>
      <c r="I4" s="3936" t="s">
        <v>795</v>
      </c>
      <c r="J4" s="3937"/>
      <c r="K4" s="508" t="s">
        <v>796</v>
      </c>
      <c r="L4" s="2015"/>
      <c r="M4" s="2016"/>
      <c r="N4" s="2016"/>
      <c r="O4" s="2016"/>
      <c r="P4" s="3938" t="s">
        <v>797</v>
      </c>
      <c r="Q4" s="3939"/>
      <c r="R4" s="3944" t="s">
        <v>793</v>
      </c>
      <c r="S4" s="3945"/>
      <c r="T4" s="3944" t="s">
        <v>794</v>
      </c>
      <c r="U4" s="3945"/>
      <c r="V4" s="3931" t="s">
        <v>795</v>
      </c>
      <c r="W4" s="3931"/>
      <c r="X4" s="1501"/>
      <c r="Y4" s="3944" t="s">
        <v>797</v>
      </c>
      <c r="Z4" s="3945"/>
      <c r="AA4" s="3933" t="s">
        <v>793</v>
      </c>
      <c r="AB4" s="3934" t="s">
        <v>794</v>
      </c>
      <c r="AC4" s="3933" t="s">
        <v>795</v>
      </c>
    </row>
    <row r="5" spans="1:29" ht="15">
      <c r="A5" s="509"/>
      <c r="B5" s="510"/>
      <c r="C5" s="3952" t="s">
        <v>2896</v>
      </c>
      <c r="D5" s="3953"/>
      <c r="E5" s="3952" t="s">
        <v>2897</v>
      </c>
      <c r="F5" s="3953"/>
      <c r="G5" s="3952" t="s">
        <v>2898</v>
      </c>
      <c r="H5" s="3953"/>
      <c r="I5" s="3952" t="s">
        <v>2899</v>
      </c>
      <c r="J5" s="3953"/>
      <c r="K5" s="508"/>
      <c r="L5" s="2015"/>
      <c r="M5" s="2016"/>
      <c r="N5" s="2016"/>
      <c r="O5" s="2016"/>
      <c r="P5" s="3940"/>
      <c r="Q5" s="3941"/>
      <c r="R5" s="3946"/>
      <c r="S5" s="3947"/>
      <c r="T5" s="3946"/>
      <c r="U5" s="3947"/>
      <c r="V5" s="3931"/>
      <c r="W5" s="3931"/>
      <c r="X5" s="1501"/>
      <c r="Y5" s="3946"/>
      <c r="Z5" s="3947"/>
      <c r="AA5" s="3934"/>
      <c r="AB5" s="3934"/>
      <c r="AC5" s="3934"/>
    </row>
    <row r="6" spans="1:29" ht="15.75" thickBot="1">
      <c r="A6" s="511"/>
      <c r="B6" s="512"/>
      <c r="C6" s="3950" t="s">
        <v>2900</v>
      </c>
      <c r="D6" s="3951"/>
      <c r="E6" s="3954" t="s">
        <v>2900</v>
      </c>
      <c r="F6" s="3955"/>
      <c r="G6" s="3950" t="s">
        <v>2900</v>
      </c>
      <c r="H6" s="3951"/>
      <c r="I6" s="3950" t="s">
        <v>2900</v>
      </c>
      <c r="J6" s="3951"/>
      <c r="K6" s="508" t="s">
        <v>522</v>
      </c>
      <c r="L6" s="2015"/>
      <c r="M6" s="2016"/>
      <c r="N6" s="2016"/>
      <c r="O6" s="2016"/>
      <c r="P6" s="3942"/>
      <c r="Q6" s="3943"/>
      <c r="R6" s="3946"/>
      <c r="S6" s="3947"/>
      <c r="T6" s="3948"/>
      <c r="U6" s="3949"/>
      <c r="V6" s="3931"/>
      <c r="W6" s="3931"/>
      <c r="X6" s="1501"/>
      <c r="Y6" s="3948"/>
      <c r="Z6" s="3949"/>
      <c r="AA6" s="3935"/>
      <c r="AB6" s="3935"/>
      <c r="AC6" s="3935"/>
    </row>
    <row r="7" spans="1:29" s="1203" customFormat="1" ht="15.75" thickBot="1">
      <c r="A7" s="2628"/>
      <c r="B7" s="2635" t="s">
        <v>523</v>
      </c>
      <c r="C7" s="513">
        <f>'数据-取费表'!B2</f>
        <v>44232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965" t="s">
        <v>524</v>
      </c>
      <c r="Q7" s="3967"/>
      <c r="R7" s="1502" t="s">
        <v>8</v>
      </c>
      <c r="S7" s="1503">
        <f t="shared" ref="S7:S14" si="0">F7</f>
        <v>0</v>
      </c>
      <c r="T7" s="1502" t="s">
        <v>8</v>
      </c>
      <c r="U7" s="1503">
        <f t="shared" ref="U7:U14" si="1">H7</f>
        <v>0</v>
      </c>
      <c r="V7" s="1502" t="s">
        <v>8</v>
      </c>
      <c r="W7" s="1503">
        <f t="shared" ref="W7:W14"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965" t="s">
        <v>527</v>
      </c>
      <c r="Q8" s="3966"/>
      <c r="R8" s="1502" t="s">
        <v>8</v>
      </c>
      <c r="S8" s="1503">
        <f t="shared" si="0"/>
        <v>0</v>
      </c>
      <c r="T8" s="1502" t="s">
        <v>8</v>
      </c>
      <c r="U8" s="1503">
        <f t="shared" si="1"/>
        <v>0</v>
      </c>
      <c r="V8" s="1502" t="s">
        <v>8</v>
      </c>
      <c r="W8" s="1503">
        <f t="shared" si="2"/>
        <v>0</v>
      </c>
      <c r="X8" s="1504"/>
      <c r="Y8" s="3965" t="s">
        <v>527</v>
      </c>
      <c r="Z8" s="3966"/>
      <c r="AA8" s="1505" t="e">
        <f t="shared" ref="AA8:AA36" si="3">D8/F8</f>
        <v>#DIV/0!</v>
      </c>
      <c r="AB8" s="1505" t="e">
        <f t="shared" ref="AB8:AB36" si="4">D8/H8</f>
        <v>#DIV/0!</v>
      </c>
      <c r="AC8" s="1505" t="e">
        <f t="shared" ref="AC8:AC36" si="5">D8/J8</f>
        <v>#DIV/0!</v>
      </c>
    </row>
    <row r="9" spans="1:29" s="1203" customFormat="1" ht="15">
      <c r="A9" s="2630"/>
      <c r="B9" s="2637"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930" t="s">
        <v>529</v>
      </c>
      <c r="Q9" s="1134" t="str">
        <f t="shared" ref="Q9:Q14" si="6">B9</f>
        <v>用途</v>
      </c>
      <c r="R9" s="1502" t="s">
        <v>8</v>
      </c>
      <c r="S9" s="1503">
        <f t="shared" si="0"/>
        <v>100</v>
      </c>
      <c r="T9" s="1502" t="s">
        <v>8</v>
      </c>
      <c r="U9" s="1503">
        <f t="shared" si="1"/>
        <v>100</v>
      </c>
      <c r="V9" s="1502" t="s">
        <v>8</v>
      </c>
      <c r="W9" s="1503">
        <f t="shared" si="2"/>
        <v>100</v>
      </c>
      <c r="X9" s="1504"/>
      <c r="Y9" s="3876" t="s">
        <v>530</v>
      </c>
      <c r="Z9" s="1133" t="str">
        <f t="shared" ref="Z9:Z14" si="7">Q9</f>
        <v>用途</v>
      </c>
      <c r="AA9" s="1505">
        <f t="shared" si="3"/>
        <v>1</v>
      </c>
      <c r="AB9" s="1505">
        <f t="shared" si="4"/>
        <v>1</v>
      </c>
      <c r="AC9" s="1505">
        <f t="shared" si="5"/>
        <v>1</v>
      </c>
    </row>
    <row r="10" spans="1:29" s="1292" customFormat="1" ht="27">
      <c r="A10" s="2631"/>
      <c r="B10" s="2636"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930"/>
      <c r="Q11" s="1134">
        <f t="shared" si="6"/>
        <v>111</v>
      </c>
      <c r="R11" s="1502" t="s">
        <v>8</v>
      </c>
      <c r="S11" s="1503">
        <f t="shared" si="0"/>
        <v>100</v>
      </c>
      <c r="T11" s="1502" t="s">
        <v>8</v>
      </c>
      <c r="U11" s="1503">
        <f t="shared" si="1"/>
        <v>100</v>
      </c>
      <c r="V11" s="1502" t="s">
        <v>8</v>
      </c>
      <c r="W11" s="1503">
        <f t="shared" si="2"/>
        <v>100</v>
      </c>
      <c r="X11" s="1504"/>
      <c r="Y11" s="3876"/>
      <c r="Z11" s="1133">
        <f t="shared" si="7"/>
        <v>111</v>
      </c>
      <c r="AA11" s="1505">
        <f t="shared" si="3"/>
        <v>1</v>
      </c>
      <c r="AB11" s="1505">
        <f t="shared" si="4"/>
        <v>1</v>
      </c>
      <c r="AC11" s="1505">
        <f t="shared" si="5"/>
        <v>1</v>
      </c>
    </row>
    <row r="12" spans="1:29" s="1203"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930"/>
      <c r="Q12" s="1134">
        <f t="shared" si="6"/>
        <v>111</v>
      </c>
      <c r="R12" s="1502" t="s">
        <v>8</v>
      </c>
      <c r="S12" s="1503">
        <f t="shared" si="0"/>
        <v>100</v>
      </c>
      <c r="T12" s="1502" t="s">
        <v>8</v>
      </c>
      <c r="U12" s="1503">
        <f t="shared" si="1"/>
        <v>100</v>
      </c>
      <c r="V12" s="1502" t="s">
        <v>8</v>
      </c>
      <c r="W12" s="1503">
        <f t="shared" si="2"/>
        <v>100</v>
      </c>
      <c r="X12" s="1504"/>
      <c r="Y12" s="3876"/>
      <c r="Z12" s="1133">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930"/>
      <c r="Q13" s="1134">
        <f t="shared" si="6"/>
        <v>111</v>
      </c>
      <c r="R13" s="1502" t="s">
        <v>8</v>
      </c>
      <c r="S13" s="1503">
        <f t="shared" si="0"/>
        <v>100</v>
      </c>
      <c r="T13" s="1502" t="s">
        <v>8</v>
      </c>
      <c r="U13" s="1503">
        <f t="shared" si="1"/>
        <v>100</v>
      </c>
      <c r="V13" s="1502" t="s">
        <v>8</v>
      </c>
      <c r="W13" s="1503">
        <f t="shared" si="2"/>
        <v>100</v>
      </c>
      <c r="X13" s="1504"/>
      <c r="Y13" s="3876"/>
      <c r="Z13" s="1133">
        <f t="shared" si="7"/>
        <v>111</v>
      </c>
      <c r="AA13" s="1505">
        <f t="shared" si="3"/>
        <v>1</v>
      </c>
      <c r="AB13" s="1505">
        <f t="shared" si="4"/>
        <v>1</v>
      </c>
      <c r="AC13" s="1505">
        <f t="shared" si="5"/>
        <v>1</v>
      </c>
    </row>
    <row r="14" spans="1:29" ht="85.5">
      <c r="A14" s="2626" t="s">
        <v>2733</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968" t="s">
        <v>534</v>
      </c>
      <c r="Q14" s="1506" t="str">
        <f t="shared" si="6"/>
        <v>交通便捷度</v>
      </c>
      <c r="R14" s="1507" t="s">
        <v>8</v>
      </c>
      <c r="S14" s="1508">
        <f t="shared" si="0"/>
        <v>100</v>
      </c>
      <c r="T14" s="1507" t="s">
        <v>8</v>
      </c>
      <c r="U14" s="1508">
        <f t="shared" si="1"/>
        <v>100</v>
      </c>
      <c r="V14" s="1507" t="s">
        <v>8</v>
      </c>
      <c r="W14" s="1508">
        <f t="shared" si="2"/>
        <v>100</v>
      </c>
      <c r="X14" s="1501"/>
      <c r="Y14" s="3968"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969"/>
      <c r="Q15" s="1506"/>
      <c r="R15" s="1507"/>
      <c r="S15" s="1508"/>
      <c r="T15" s="1507"/>
      <c r="U15" s="1508"/>
      <c r="V15" s="1507"/>
      <c r="W15" s="1508"/>
      <c r="X15" s="1501"/>
      <c r="Y15" s="3969"/>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969"/>
      <c r="Q16" s="1506" t="str">
        <f>B16</f>
        <v>公共配套设施</v>
      </c>
      <c r="R16" s="1507" t="s">
        <v>8</v>
      </c>
      <c r="S16" s="1508">
        <f>F16</f>
        <v>100</v>
      </c>
      <c r="T16" s="1507" t="s">
        <v>8</v>
      </c>
      <c r="U16" s="1508">
        <f>H16</f>
        <v>100</v>
      </c>
      <c r="V16" s="1507" t="s">
        <v>8</v>
      </c>
      <c r="W16" s="1508">
        <f>J16</f>
        <v>100</v>
      </c>
      <c r="X16" s="1501"/>
      <c r="Y16" s="3969"/>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969"/>
      <c r="Q17" s="1506"/>
      <c r="R17" s="1507"/>
      <c r="S17" s="1508"/>
      <c r="T17" s="1507"/>
      <c r="U17" s="1508"/>
      <c r="V17" s="1507"/>
      <c r="W17" s="1508"/>
      <c r="X17" s="1501"/>
      <c r="Y17" s="3969"/>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969"/>
      <c r="Q18" s="2429" t="str">
        <f>B18</f>
        <v>基础设施水平</v>
      </c>
      <c r="R18" s="1507" t="s">
        <v>8</v>
      </c>
      <c r="S18" s="1508">
        <f>F18</f>
        <v>100</v>
      </c>
      <c r="T18" s="1507" t="s">
        <v>8</v>
      </c>
      <c r="U18" s="1508">
        <f>H18</f>
        <v>100</v>
      </c>
      <c r="V18" s="1507" t="s">
        <v>8</v>
      </c>
      <c r="W18" s="1508">
        <f>J18</f>
        <v>100</v>
      </c>
      <c r="X18" s="2431"/>
      <c r="Y18" s="3969"/>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969"/>
      <c r="Q19" s="2429"/>
      <c r="R19" s="1507"/>
      <c r="S19" s="1508"/>
      <c r="T19" s="1507"/>
      <c r="U19" s="1508"/>
      <c r="V19" s="1507"/>
      <c r="W19" s="1508"/>
      <c r="X19" s="2431"/>
      <c r="Y19" s="3969"/>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969"/>
      <c r="Q20" s="1506" t="str">
        <f>B20</f>
        <v>自然及人文环境</v>
      </c>
      <c r="R20" s="1507" t="s">
        <v>8</v>
      </c>
      <c r="S20" s="1508">
        <f>F20</f>
        <v>100</v>
      </c>
      <c r="T20" s="1507" t="s">
        <v>8</v>
      </c>
      <c r="U20" s="1508">
        <f>H20</f>
        <v>100</v>
      </c>
      <c r="V20" s="1507" t="s">
        <v>8</v>
      </c>
      <c r="W20" s="1508">
        <f>J20</f>
        <v>100</v>
      </c>
      <c r="X20" s="1501"/>
      <c r="Y20" s="3969"/>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969"/>
      <c r="Q21" s="1506"/>
      <c r="R21" s="1507"/>
      <c r="S21" s="1508"/>
      <c r="T21" s="1507"/>
      <c r="U21" s="1508"/>
      <c r="V21" s="1507"/>
      <c r="W21" s="1508"/>
      <c r="X21" s="1501"/>
      <c r="Y21" s="3969"/>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969"/>
      <c r="Q22" s="1506" t="str">
        <f>B22</f>
        <v>楼层</v>
      </c>
      <c r="R22" s="1507" t="s">
        <v>8</v>
      </c>
      <c r="S22" s="1508">
        <f>F22</f>
        <v>100</v>
      </c>
      <c r="T22" s="1507" t="s">
        <v>8</v>
      </c>
      <c r="U22" s="1508">
        <f>H22</f>
        <v>100</v>
      </c>
      <c r="V22" s="1507" t="s">
        <v>8</v>
      </c>
      <c r="W22" s="1508">
        <f>J22</f>
        <v>100</v>
      </c>
      <c r="X22" s="1501"/>
      <c r="Y22" s="3969"/>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969"/>
      <c r="Q23" s="1506">
        <f>B23</f>
        <v>111</v>
      </c>
      <c r="R23" s="1507" t="s">
        <v>8</v>
      </c>
      <c r="S23" s="1508">
        <f>F23</f>
        <v>100</v>
      </c>
      <c r="T23" s="1507" t="s">
        <v>8</v>
      </c>
      <c r="U23" s="1508">
        <f>H23</f>
        <v>100</v>
      </c>
      <c r="V23" s="1507" t="s">
        <v>8</v>
      </c>
      <c r="W23" s="1508">
        <f>J23</f>
        <v>100</v>
      </c>
      <c r="X23" s="1501"/>
      <c r="Y23" s="3969"/>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969"/>
      <c r="Q24" s="1506">
        <f t="shared" ref="Q24:Q36" si="11">B24</f>
        <v>111</v>
      </c>
      <c r="R24" s="1507" t="s">
        <v>8</v>
      </c>
      <c r="S24" s="1508">
        <f>F24</f>
        <v>100</v>
      </c>
      <c r="T24" s="1507" t="s">
        <v>8</v>
      </c>
      <c r="U24" s="1508">
        <f>H24</f>
        <v>100</v>
      </c>
      <c r="V24" s="1507" t="s">
        <v>8</v>
      </c>
      <c r="W24" s="1508">
        <f>J24</f>
        <v>100</v>
      </c>
      <c r="X24" s="1501"/>
      <c r="Y24" s="3969"/>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969"/>
      <c r="Q25" s="1134">
        <f t="shared" si="11"/>
        <v>111</v>
      </c>
      <c r="R25" s="1502" t="s">
        <v>8</v>
      </c>
      <c r="S25" s="1503">
        <f>F25</f>
        <v>100</v>
      </c>
      <c r="T25" s="1502" t="s">
        <v>8</v>
      </c>
      <c r="U25" s="1503">
        <f>H25</f>
        <v>100</v>
      </c>
      <c r="V25" s="1502" t="s">
        <v>8</v>
      </c>
      <c r="W25" s="1503">
        <f>J25</f>
        <v>100</v>
      </c>
      <c r="X25" s="1504"/>
      <c r="Y25" s="3969"/>
      <c r="Z25" s="1133">
        <f>Q25</f>
        <v>111</v>
      </c>
      <c r="AA25" s="1510">
        <f>D25/F25</f>
        <v>1</v>
      </c>
      <c r="AB25" s="1510">
        <f>D25/H25</f>
        <v>1</v>
      </c>
      <c r="AC25" s="1510">
        <f>D25/J25</f>
        <v>1</v>
      </c>
    </row>
    <row r="26" spans="1:29" ht="15">
      <c r="A26" s="2624"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970"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971"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971"/>
      <c r="Q27" s="1535" t="str">
        <f t="shared" si="11"/>
        <v>项目停车位配比</v>
      </c>
      <c r="R27" s="1511" t="s">
        <v>8</v>
      </c>
      <c r="S27" s="1512">
        <f t="shared" si="12"/>
        <v>100</v>
      </c>
      <c r="T27" s="1511" t="s">
        <v>8</v>
      </c>
      <c r="U27" s="1512">
        <f t="shared" si="13"/>
        <v>100</v>
      </c>
      <c r="V27" s="1511" t="s">
        <v>8</v>
      </c>
      <c r="W27" s="1512">
        <f t="shared" si="14"/>
        <v>100</v>
      </c>
      <c r="X27" s="1513"/>
      <c r="Y27" s="3971"/>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971"/>
      <c r="Q28" s="1506" t="str">
        <f t="shared" si="11"/>
        <v>公共部分装修</v>
      </c>
      <c r="R28" s="1507" t="s">
        <v>8</v>
      </c>
      <c r="S28" s="1508">
        <f t="shared" si="12"/>
        <v>100</v>
      </c>
      <c r="T28" s="1507" t="s">
        <v>8</v>
      </c>
      <c r="U28" s="1508">
        <f t="shared" si="13"/>
        <v>100</v>
      </c>
      <c r="V28" s="1507" t="s">
        <v>8</v>
      </c>
      <c r="W28" s="1508">
        <f t="shared" si="14"/>
        <v>100</v>
      </c>
      <c r="X28" s="1501"/>
      <c r="Y28" s="3971"/>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971"/>
      <c r="Q29" s="1506" t="str">
        <f t="shared" si="11"/>
        <v>成新率</v>
      </c>
      <c r="R29" s="1507" t="s">
        <v>8</v>
      </c>
      <c r="S29" s="1508" t="e">
        <f t="shared" si="12"/>
        <v>#N/A</v>
      </c>
      <c r="T29" s="1507" t="s">
        <v>8</v>
      </c>
      <c r="U29" s="1508" t="e">
        <f t="shared" si="13"/>
        <v>#N/A</v>
      </c>
      <c r="V29" s="1507" t="s">
        <v>8</v>
      </c>
      <c r="W29" s="1508" t="e">
        <f t="shared" si="14"/>
        <v>#N/A</v>
      </c>
      <c r="X29" s="1501"/>
      <c r="Y29" s="3971"/>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971"/>
      <c r="Q30" s="1506" t="str">
        <f t="shared" si="11"/>
        <v>物业等级</v>
      </c>
      <c r="R30" s="1507" t="s">
        <v>8</v>
      </c>
      <c r="S30" s="1508">
        <f t="shared" si="12"/>
        <v>100</v>
      </c>
      <c r="T30" s="1507" t="s">
        <v>8</v>
      </c>
      <c r="U30" s="1508">
        <f t="shared" si="13"/>
        <v>100</v>
      </c>
      <c r="V30" s="1507" t="s">
        <v>8</v>
      </c>
      <c r="W30" s="1508">
        <f t="shared" si="14"/>
        <v>100</v>
      </c>
      <c r="X30" s="1501"/>
      <c r="Y30" s="3971"/>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971"/>
      <c r="Q31" s="1134" t="str">
        <f t="shared" si="11"/>
        <v>停车位面积</v>
      </c>
      <c r="R31" s="1502" t="s">
        <v>8</v>
      </c>
      <c r="S31" s="1503" t="e">
        <f t="shared" si="12"/>
        <v>#N/A</v>
      </c>
      <c r="T31" s="1502" t="s">
        <v>8</v>
      </c>
      <c r="U31" s="1503" t="e">
        <f t="shared" si="13"/>
        <v>#N/A</v>
      </c>
      <c r="V31" s="1502" t="s">
        <v>8</v>
      </c>
      <c r="W31" s="1503" t="e">
        <f t="shared" si="14"/>
        <v>#N/A</v>
      </c>
      <c r="X31" s="1504"/>
      <c r="Y31" s="3971"/>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971" t="s">
        <v>544</v>
      </c>
      <c r="Q32" s="1506" t="str">
        <f t="shared" si="11"/>
        <v>车位类型</v>
      </c>
      <c r="R32" s="1507" t="s">
        <v>8</v>
      </c>
      <c r="S32" s="1508">
        <f t="shared" si="12"/>
        <v>100</v>
      </c>
      <c r="T32" s="1507" t="s">
        <v>8</v>
      </c>
      <c r="U32" s="1508">
        <f t="shared" si="13"/>
        <v>100</v>
      </c>
      <c r="V32" s="1507" t="s">
        <v>8</v>
      </c>
      <c r="W32" s="1508">
        <f t="shared" si="14"/>
        <v>100</v>
      </c>
      <c r="X32" s="1501"/>
      <c r="Y32" s="3971"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971"/>
      <c r="Q33" s="1506" t="str">
        <f t="shared" si="11"/>
        <v>是否直接入户</v>
      </c>
      <c r="R33" s="1507" t="s">
        <v>8</v>
      </c>
      <c r="S33" s="1508">
        <f t="shared" si="12"/>
        <v>100</v>
      </c>
      <c r="T33" s="1507" t="s">
        <v>8</v>
      </c>
      <c r="U33" s="1508">
        <f t="shared" si="13"/>
        <v>100</v>
      </c>
      <c r="V33" s="1507" t="s">
        <v>8</v>
      </c>
      <c r="W33" s="1508">
        <f t="shared" si="14"/>
        <v>100</v>
      </c>
      <c r="X33" s="1501"/>
      <c r="Y33" s="3971"/>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971"/>
      <c r="Q34" s="1506">
        <f t="shared" si="11"/>
        <v>111</v>
      </c>
      <c r="R34" s="1507" t="s">
        <v>8</v>
      </c>
      <c r="S34" s="1508">
        <f t="shared" si="12"/>
        <v>100</v>
      </c>
      <c r="T34" s="1507" t="s">
        <v>8</v>
      </c>
      <c r="U34" s="1508">
        <f t="shared" si="13"/>
        <v>100</v>
      </c>
      <c r="V34" s="1507" t="s">
        <v>8</v>
      </c>
      <c r="W34" s="1508">
        <f t="shared" si="14"/>
        <v>100</v>
      </c>
      <c r="X34" s="1501"/>
      <c r="Y34" s="3971"/>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971"/>
      <c r="Q35" s="1535">
        <f t="shared" si="11"/>
        <v>111</v>
      </c>
      <c r="R35" s="1511" t="s">
        <v>8</v>
      </c>
      <c r="S35" s="1512">
        <f t="shared" si="12"/>
        <v>100</v>
      </c>
      <c r="T35" s="1511" t="s">
        <v>8</v>
      </c>
      <c r="U35" s="1512">
        <f t="shared" si="13"/>
        <v>100</v>
      </c>
      <c r="V35" s="1511" t="s">
        <v>8</v>
      </c>
      <c r="W35" s="1512">
        <f t="shared" si="14"/>
        <v>100</v>
      </c>
      <c r="X35" s="1513"/>
      <c r="Y35" s="3971"/>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971"/>
      <c r="Q36" s="1506">
        <f t="shared" si="11"/>
        <v>111</v>
      </c>
      <c r="R36" s="1507" t="s">
        <v>8</v>
      </c>
      <c r="S36" s="1508">
        <f t="shared" si="12"/>
        <v>100</v>
      </c>
      <c r="T36" s="1507" t="s">
        <v>8</v>
      </c>
      <c r="U36" s="1508">
        <f t="shared" si="13"/>
        <v>100</v>
      </c>
      <c r="V36" s="1507" t="s">
        <v>8</v>
      </c>
      <c r="W36" s="1508">
        <f t="shared" si="14"/>
        <v>100</v>
      </c>
      <c r="X36" s="1501"/>
      <c r="Y36" s="3971"/>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930" t="str">
        <f>A37</f>
        <v>成交单价</v>
      </c>
      <c r="Q37" s="3930"/>
      <c r="R37" s="4048">
        <f>E37</f>
        <v>0</v>
      </c>
      <c r="S37" s="4048"/>
      <c r="T37" s="4048">
        <f>G37</f>
        <v>0</v>
      </c>
      <c r="U37" s="4048"/>
      <c r="V37" s="4048">
        <f>I37</f>
        <v>0</v>
      </c>
      <c r="W37" s="4048"/>
      <c r="X37" s="1496"/>
      <c r="Y37" s="1515"/>
      <c r="Z37" s="1496"/>
      <c r="AA37" s="1496"/>
      <c r="AB37" s="1496"/>
      <c r="AC37" s="1496"/>
    </row>
    <row r="38" spans="1:29" ht="15.75" thickBot="1">
      <c r="A38" s="609" t="s">
        <v>2739</v>
      </c>
      <c r="B38" s="877"/>
      <c r="C38" s="2476" t="e">
        <f>R39</f>
        <v>#DIV/0!</v>
      </c>
      <c r="D38" s="3013" t="s">
        <v>2970</v>
      </c>
      <c r="E38" s="2477" t="e">
        <f>R38</f>
        <v>#DIV/0!</v>
      </c>
      <c r="F38" s="3014"/>
      <c r="G38" s="2476" t="e">
        <f>T38</f>
        <v>#DIV/0!</v>
      </c>
      <c r="H38" s="3014"/>
      <c r="I38" s="2477" t="e">
        <f>V38</f>
        <v>#DIV/0!</v>
      </c>
      <c r="J38" s="3014"/>
      <c r="K38" s="3022">
        <f>F38+H38+J38</f>
        <v>0</v>
      </c>
      <c r="L38" s="2026"/>
      <c r="M38" s="2027"/>
      <c r="N38" s="2027"/>
      <c r="O38" s="2027"/>
      <c r="P38" s="3930" t="str">
        <f>A38</f>
        <v>比较价格（元/平方米）</v>
      </c>
      <c r="Q38" s="3930"/>
      <c r="R38" s="4048" t="e">
        <f>IF(F1="售价",ROUND(PRODUCT(R37,AA7:AA36),0),ROUND(PRODUCT(R37,AA7:AA36),1))</f>
        <v>#DIV/0!</v>
      </c>
      <c r="S38" s="4048"/>
      <c r="T38" s="4048" t="e">
        <f>IF(F1="售价",ROUND(PRODUCT(T37,AB7:AB36),0),ROUND(PRODUCT(T37,AB7:AB36),1))</f>
        <v>#DIV/0!</v>
      </c>
      <c r="U38" s="4048"/>
      <c r="V38" s="4048" t="e">
        <f>IF(F1="售价",ROUND(PRODUCT(V37,AC7:AC36),0),ROUND(PRODUCT(V37,AC7:AC36),1))</f>
        <v>#DIV/0!</v>
      </c>
      <c r="W38" s="4048"/>
      <c r="X38" s="1496"/>
      <c r="Y38" s="1496"/>
      <c r="Z38" s="1496"/>
      <c r="AA38" s="1496"/>
      <c r="AB38" s="1496"/>
      <c r="AC38" s="1496"/>
    </row>
    <row r="39" spans="1:29" ht="15.75" thickBot="1">
      <c r="A39" s="613" t="s">
        <v>2902</v>
      </c>
      <c r="B39" s="614"/>
      <c r="C39" s="2478" t="e">
        <f>R39</f>
        <v>#DIV/0!</v>
      </c>
      <c r="D39" s="2478"/>
      <c r="E39" s="2478"/>
      <c r="F39" s="2478"/>
      <c r="G39" s="2478"/>
      <c r="H39" s="2478"/>
      <c r="I39" s="2478"/>
      <c r="J39" s="2478"/>
      <c r="K39" s="1541"/>
      <c r="L39" s="2026"/>
      <c r="M39" s="2027"/>
      <c r="N39" s="2027"/>
      <c r="O39" s="2027"/>
      <c r="P39" s="3927" t="str">
        <f>A39</f>
        <v>估价对象XX用房的比较价格（楼面单价，元/平方米）</v>
      </c>
      <c r="Q39" s="3928"/>
      <c r="R39" s="4047" t="e">
        <f>IF(F1="售价",ROUND(IF(D38="简单平均",AVERAGE(R38:W38),R38*F38+T38*H38+V38*J38),0),ROUND(IF(D38="简单平均",AVERAGE(R38:V38),R38*F38+T38*H38+V38*J38),1))</f>
        <v>#DIV/0!</v>
      </c>
      <c r="S39" s="4047"/>
      <c r="T39" s="4047"/>
      <c r="U39" s="4047"/>
      <c r="V39" s="4047"/>
      <c r="W39" s="4047"/>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S5" sqref="S5:V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936" t="s">
        <v>792</v>
      </c>
      <c r="D4" s="3937"/>
      <c r="E4" s="3972" t="s">
        <v>793</v>
      </c>
      <c r="F4" s="3973"/>
      <c r="G4" s="3936" t="s">
        <v>794</v>
      </c>
      <c r="H4" s="3937"/>
      <c r="I4" s="3936" t="s">
        <v>795</v>
      </c>
      <c r="J4" s="3937"/>
      <c r="K4" s="508" t="s">
        <v>796</v>
      </c>
      <c r="L4" s="2015"/>
      <c r="M4" s="2016"/>
      <c r="N4" s="2016"/>
      <c r="O4" s="2016"/>
      <c r="P4" s="3938" t="s">
        <v>797</v>
      </c>
      <c r="Q4" s="3939"/>
      <c r="R4" s="3944" t="s">
        <v>793</v>
      </c>
      <c r="S4" s="3945"/>
      <c r="T4" s="3944" t="s">
        <v>794</v>
      </c>
      <c r="U4" s="3945"/>
      <c r="V4" s="3931" t="s">
        <v>795</v>
      </c>
      <c r="W4" s="3931"/>
      <c r="X4" s="1501"/>
      <c r="Y4" s="3944" t="s">
        <v>797</v>
      </c>
      <c r="Z4" s="3945"/>
      <c r="AA4" s="3933" t="s">
        <v>793</v>
      </c>
      <c r="AB4" s="3934" t="s">
        <v>794</v>
      </c>
      <c r="AC4" s="3933" t="s">
        <v>795</v>
      </c>
    </row>
    <row r="5" spans="1:29" ht="15">
      <c r="A5" s="509"/>
      <c r="B5" s="510"/>
      <c r="C5" s="3952" t="s">
        <v>2896</v>
      </c>
      <c r="D5" s="3953"/>
      <c r="E5" s="3958" t="s">
        <v>2897</v>
      </c>
      <c r="F5" s="3959"/>
      <c r="G5" s="3952" t="s">
        <v>2898</v>
      </c>
      <c r="H5" s="3953"/>
      <c r="I5" s="3952" t="s">
        <v>2899</v>
      </c>
      <c r="J5" s="3953"/>
      <c r="K5" s="508"/>
      <c r="L5" s="2015"/>
      <c r="M5" s="2016"/>
      <c r="N5" s="2016"/>
      <c r="O5" s="2016"/>
      <c r="P5" s="3940"/>
      <c r="Q5" s="3941"/>
      <c r="R5" s="3946"/>
      <c r="S5" s="3947"/>
      <c r="T5" s="3946"/>
      <c r="U5" s="3947"/>
      <c r="V5" s="3931"/>
      <c r="W5" s="3931"/>
      <c r="X5" s="1501"/>
      <c r="Y5" s="3946"/>
      <c r="Z5" s="3947"/>
      <c r="AA5" s="3934"/>
      <c r="AB5" s="3934"/>
      <c r="AC5" s="3934"/>
    </row>
    <row r="6" spans="1:29" ht="15.75" thickBot="1">
      <c r="A6" s="511"/>
      <c r="B6" s="512"/>
      <c r="C6" s="3950" t="s">
        <v>2900</v>
      </c>
      <c r="D6" s="3951"/>
      <c r="E6" s="3956" t="s">
        <v>2900</v>
      </c>
      <c r="F6" s="3957"/>
      <c r="G6" s="3950" t="s">
        <v>2900</v>
      </c>
      <c r="H6" s="3951"/>
      <c r="I6" s="3950" t="s">
        <v>2900</v>
      </c>
      <c r="J6" s="3951"/>
      <c r="K6" s="508" t="s">
        <v>522</v>
      </c>
      <c r="L6" s="2015"/>
      <c r="M6" s="2016"/>
      <c r="N6" s="2016"/>
      <c r="O6" s="2016"/>
      <c r="P6" s="3942"/>
      <c r="Q6" s="3943"/>
      <c r="R6" s="3946"/>
      <c r="S6" s="3947"/>
      <c r="T6" s="3948"/>
      <c r="U6" s="3949"/>
      <c r="V6" s="3931"/>
      <c r="W6" s="3931"/>
      <c r="X6" s="1501"/>
      <c r="Y6" s="3948"/>
      <c r="Z6" s="3949"/>
      <c r="AA6" s="3935"/>
      <c r="AB6" s="3935"/>
      <c r="AC6" s="3935"/>
    </row>
    <row r="7" spans="1:29" s="1203" customFormat="1" ht="15.75" thickBot="1">
      <c r="A7" s="2628"/>
      <c r="B7" s="2635" t="s">
        <v>523</v>
      </c>
      <c r="C7" s="513">
        <f>'数据-取费表'!B2</f>
        <v>44232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965" t="s">
        <v>524</v>
      </c>
      <c r="Q7" s="3967"/>
      <c r="R7" s="1502" t="s">
        <v>8</v>
      </c>
      <c r="S7" s="1503">
        <f t="shared" ref="S7:S14" si="0">F7</f>
        <v>0</v>
      </c>
      <c r="T7" s="1502" t="s">
        <v>8</v>
      </c>
      <c r="U7" s="1503">
        <f t="shared" ref="U7:U14" si="1">H7</f>
        <v>0</v>
      </c>
      <c r="V7" s="1502" t="s">
        <v>8</v>
      </c>
      <c r="W7" s="1503">
        <f t="shared" ref="W7:W14" si="2">J7</f>
        <v>0</v>
      </c>
      <c r="X7" s="1504"/>
      <c r="Y7" s="3965" t="s">
        <v>524</v>
      </c>
      <c r="Z7" s="3966"/>
      <c r="AA7" s="1505" t="e">
        <f>D7/F7</f>
        <v>#DIV/0!</v>
      </c>
      <c r="AB7" s="1505" t="e">
        <f>D7/H7</f>
        <v>#DIV/0!</v>
      </c>
      <c r="AC7" s="1505" t="e">
        <f>D7/J7</f>
        <v>#DIV/0!</v>
      </c>
    </row>
    <row r="8" spans="1:29" s="1203"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965" t="s">
        <v>527</v>
      </c>
      <c r="Q8" s="3966"/>
      <c r="R8" s="1502" t="s">
        <v>8</v>
      </c>
      <c r="S8" s="1503">
        <f t="shared" si="0"/>
        <v>0</v>
      </c>
      <c r="T8" s="1502" t="s">
        <v>8</v>
      </c>
      <c r="U8" s="1503">
        <f t="shared" si="1"/>
        <v>0</v>
      </c>
      <c r="V8" s="1502" t="s">
        <v>8</v>
      </c>
      <c r="W8" s="1503">
        <f t="shared" si="2"/>
        <v>0</v>
      </c>
      <c r="X8" s="1504"/>
      <c r="Y8" s="3965" t="s">
        <v>527</v>
      </c>
      <c r="Z8" s="3966"/>
      <c r="AA8" s="1505" t="e">
        <f t="shared" ref="AA8:AA34" si="3">D8/F8</f>
        <v>#DIV/0!</v>
      </c>
      <c r="AB8" s="1505" t="e">
        <f t="shared" ref="AB8:AB34" si="4">D8/H8</f>
        <v>#DIV/0!</v>
      </c>
      <c r="AC8" s="1505" t="e">
        <f t="shared" ref="AC8:AC34" si="5">D8/J8</f>
        <v>#DIV/0!</v>
      </c>
    </row>
    <row r="9" spans="1:29" s="1203" customFormat="1" ht="15">
      <c r="A9" s="2630"/>
      <c r="B9" s="2637"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930" t="s">
        <v>529</v>
      </c>
      <c r="Q9" s="1134" t="str">
        <f t="shared" ref="Q9:Q14" si="6">B9</f>
        <v>用途</v>
      </c>
      <c r="R9" s="1502" t="s">
        <v>8</v>
      </c>
      <c r="S9" s="1503">
        <f t="shared" si="0"/>
        <v>100</v>
      </c>
      <c r="T9" s="1502" t="s">
        <v>8</v>
      </c>
      <c r="U9" s="1503">
        <f t="shared" si="1"/>
        <v>100</v>
      </c>
      <c r="V9" s="1502" t="s">
        <v>8</v>
      </c>
      <c r="W9" s="1503">
        <f t="shared" si="2"/>
        <v>100</v>
      </c>
      <c r="X9" s="1504"/>
      <c r="Y9" s="3876" t="s">
        <v>530</v>
      </c>
      <c r="Z9" s="1133" t="str">
        <f t="shared" ref="Z9:Z14" si="7">Q9</f>
        <v>用途</v>
      </c>
      <c r="AA9" s="1505">
        <f t="shared" si="3"/>
        <v>1</v>
      </c>
      <c r="AB9" s="1505">
        <f t="shared" si="4"/>
        <v>1</v>
      </c>
      <c r="AC9" s="1505">
        <f t="shared" si="5"/>
        <v>1</v>
      </c>
    </row>
    <row r="10" spans="1:29" s="1292" customFormat="1" ht="27">
      <c r="A10" s="2631"/>
      <c r="B10" s="2636"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930"/>
      <c r="Q10" s="1134" t="str">
        <f t="shared" si="6"/>
        <v>土地使用年限（年）</v>
      </c>
      <c r="R10" s="1502" t="s">
        <v>8</v>
      </c>
      <c r="S10" s="1503">
        <f t="shared" si="0"/>
        <v>100</v>
      </c>
      <c r="T10" s="1502" t="s">
        <v>8</v>
      </c>
      <c r="U10" s="1503">
        <f t="shared" si="1"/>
        <v>100</v>
      </c>
      <c r="V10" s="1502" t="s">
        <v>8</v>
      </c>
      <c r="W10" s="1503">
        <f t="shared" si="2"/>
        <v>100</v>
      </c>
      <c r="X10" s="1504"/>
      <c r="Y10" s="3876"/>
      <c r="Z10" s="1133" t="str">
        <f t="shared" si="7"/>
        <v>土地使用年限（年）</v>
      </c>
      <c r="AA10" s="1505">
        <f t="shared" si="3"/>
        <v>1</v>
      </c>
      <c r="AB10" s="1505">
        <f t="shared" si="4"/>
        <v>1</v>
      </c>
      <c r="AC10" s="1505">
        <f t="shared" si="5"/>
        <v>1</v>
      </c>
    </row>
    <row r="11" spans="1:29" ht="15">
      <c r="A11" s="2633"/>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930"/>
      <c r="Q11" s="1134">
        <f t="shared" si="6"/>
        <v>111</v>
      </c>
      <c r="R11" s="1502" t="s">
        <v>8</v>
      </c>
      <c r="S11" s="1503">
        <f t="shared" si="0"/>
        <v>100</v>
      </c>
      <c r="T11" s="1502" t="s">
        <v>8</v>
      </c>
      <c r="U11" s="1503">
        <f t="shared" si="1"/>
        <v>100</v>
      </c>
      <c r="V11" s="1502" t="s">
        <v>8</v>
      </c>
      <c r="W11" s="1503">
        <f t="shared" si="2"/>
        <v>100</v>
      </c>
      <c r="X11" s="1504"/>
      <c r="Y11" s="3876"/>
      <c r="Z11" s="1133">
        <f t="shared" si="7"/>
        <v>111</v>
      </c>
      <c r="AA11" s="1505">
        <f t="shared" si="3"/>
        <v>1</v>
      </c>
      <c r="AB11" s="1505">
        <f t="shared" si="4"/>
        <v>1</v>
      </c>
      <c r="AC11" s="1505">
        <f t="shared" si="5"/>
        <v>1</v>
      </c>
    </row>
    <row r="12" spans="1:29" s="1203" customFormat="1" ht="15">
      <c r="A12" s="2633"/>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930"/>
      <c r="Q12" s="1134">
        <f t="shared" si="6"/>
        <v>111</v>
      </c>
      <c r="R12" s="1502" t="s">
        <v>8</v>
      </c>
      <c r="S12" s="1503">
        <f t="shared" si="0"/>
        <v>100</v>
      </c>
      <c r="T12" s="1502" t="s">
        <v>8</v>
      </c>
      <c r="U12" s="1503">
        <f t="shared" si="1"/>
        <v>100</v>
      </c>
      <c r="V12" s="1502" t="s">
        <v>8</v>
      </c>
      <c r="W12" s="1503">
        <f t="shared" si="2"/>
        <v>100</v>
      </c>
      <c r="X12" s="1504"/>
      <c r="Y12" s="3876"/>
      <c r="Z12" s="1133">
        <f t="shared" si="7"/>
        <v>111</v>
      </c>
      <c r="AA12" s="1505">
        <f>D12/F12</f>
        <v>1</v>
      </c>
      <c r="AB12" s="1505">
        <f>D12/H12</f>
        <v>1</v>
      </c>
      <c r="AC12" s="1505">
        <f>D12/J12</f>
        <v>1</v>
      </c>
    </row>
    <row r="13" spans="1:29" ht="15.75" thickBot="1">
      <c r="A13" s="2634"/>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930"/>
      <c r="Q13" s="1134">
        <f t="shared" si="6"/>
        <v>111</v>
      </c>
      <c r="R13" s="1502" t="s">
        <v>8</v>
      </c>
      <c r="S13" s="1503">
        <f t="shared" si="0"/>
        <v>100</v>
      </c>
      <c r="T13" s="1502" t="s">
        <v>8</v>
      </c>
      <c r="U13" s="1503">
        <f t="shared" si="1"/>
        <v>100</v>
      </c>
      <c r="V13" s="1502" t="s">
        <v>8</v>
      </c>
      <c r="W13" s="1503">
        <f t="shared" si="2"/>
        <v>100</v>
      </c>
      <c r="X13" s="1504"/>
      <c r="Y13" s="3876"/>
      <c r="Z13" s="1133">
        <f t="shared" si="7"/>
        <v>111</v>
      </c>
      <c r="AA13" s="1505">
        <f t="shared" si="3"/>
        <v>1</v>
      </c>
      <c r="AB13" s="1505">
        <f t="shared" si="4"/>
        <v>1</v>
      </c>
      <c r="AC13" s="1505">
        <f t="shared" si="5"/>
        <v>1</v>
      </c>
    </row>
    <row r="14" spans="1:29" ht="85.5">
      <c r="A14" s="2626" t="s">
        <v>2733</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968" t="s">
        <v>534</v>
      </c>
      <c r="Q14" s="1506" t="str">
        <f t="shared" si="6"/>
        <v>交通便捷度</v>
      </c>
      <c r="R14" s="1507" t="s">
        <v>8</v>
      </c>
      <c r="S14" s="1508">
        <f t="shared" si="0"/>
        <v>100</v>
      </c>
      <c r="T14" s="1507" t="s">
        <v>8</v>
      </c>
      <c r="U14" s="1508">
        <f t="shared" si="1"/>
        <v>100</v>
      </c>
      <c r="V14" s="1507" t="s">
        <v>8</v>
      </c>
      <c r="W14" s="1508">
        <f t="shared" si="2"/>
        <v>100</v>
      </c>
      <c r="X14" s="1501"/>
      <c r="Y14" s="3968"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969"/>
      <c r="Q15" s="1506"/>
      <c r="R15" s="1507"/>
      <c r="S15" s="1508"/>
      <c r="T15" s="1507"/>
      <c r="U15" s="1508"/>
      <c r="V15" s="1507"/>
      <c r="W15" s="1508"/>
      <c r="X15" s="1501"/>
      <c r="Y15" s="3969"/>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969"/>
      <c r="Q16" s="1506" t="str">
        <f>B16</f>
        <v>公共配套设施</v>
      </c>
      <c r="R16" s="1507" t="s">
        <v>8</v>
      </c>
      <c r="S16" s="1508">
        <f>F16</f>
        <v>100</v>
      </c>
      <c r="T16" s="1507" t="s">
        <v>8</v>
      </c>
      <c r="U16" s="1508">
        <f>H16</f>
        <v>100</v>
      </c>
      <c r="V16" s="1507" t="s">
        <v>8</v>
      </c>
      <c r="W16" s="1508">
        <f>J16</f>
        <v>100</v>
      </c>
      <c r="X16" s="1501"/>
      <c r="Y16" s="3969"/>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969"/>
      <c r="Q17" s="1506"/>
      <c r="R17" s="1507"/>
      <c r="S17" s="1508"/>
      <c r="T17" s="1507"/>
      <c r="U17" s="1508"/>
      <c r="V17" s="1507"/>
      <c r="W17" s="1508"/>
      <c r="X17" s="1501"/>
      <c r="Y17" s="3969"/>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969"/>
      <c r="Q18" s="2429" t="str">
        <f>B18</f>
        <v>基础设施水平</v>
      </c>
      <c r="R18" s="1507" t="s">
        <v>8</v>
      </c>
      <c r="S18" s="1508">
        <f>F18</f>
        <v>100</v>
      </c>
      <c r="T18" s="1507" t="s">
        <v>8</v>
      </c>
      <c r="U18" s="1508">
        <f>H18</f>
        <v>100</v>
      </c>
      <c r="V18" s="1507" t="s">
        <v>8</v>
      </c>
      <c r="W18" s="1508">
        <f>J18</f>
        <v>100</v>
      </c>
      <c r="X18" s="2431"/>
      <c r="Y18" s="3969"/>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969"/>
      <c r="Q19" s="2429"/>
      <c r="R19" s="1507"/>
      <c r="S19" s="1508"/>
      <c r="T19" s="1507"/>
      <c r="U19" s="1508"/>
      <c r="V19" s="1507"/>
      <c r="W19" s="1508"/>
      <c r="X19" s="2431"/>
      <c r="Y19" s="3969"/>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969"/>
      <c r="Q20" s="1506" t="str">
        <f>B20</f>
        <v>自然及人文环境</v>
      </c>
      <c r="R20" s="1507" t="s">
        <v>8</v>
      </c>
      <c r="S20" s="1508">
        <f>F20</f>
        <v>100</v>
      </c>
      <c r="T20" s="1507" t="s">
        <v>8</v>
      </c>
      <c r="U20" s="1508">
        <f>H20</f>
        <v>100</v>
      </c>
      <c r="V20" s="1507" t="s">
        <v>8</v>
      </c>
      <c r="W20" s="1508">
        <f>J20</f>
        <v>100</v>
      </c>
      <c r="X20" s="1501"/>
      <c r="Y20" s="3969"/>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969"/>
      <c r="Q21" s="1506"/>
      <c r="R21" s="1507"/>
      <c r="S21" s="1508"/>
      <c r="T21" s="1507"/>
      <c r="U21" s="1508"/>
      <c r="V21" s="1507"/>
      <c r="W21" s="1508"/>
      <c r="X21" s="1501"/>
      <c r="Y21" s="3969"/>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969"/>
      <c r="Q22" s="1506" t="str">
        <f>B22</f>
        <v>楼层</v>
      </c>
      <c r="R22" s="1507" t="s">
        <v>8</v>
      </c>
      <c r="S22" s="1508">
        <f>F22</f>
        <v>100</v>
      </c>
      <c r="T22" s="1507" t="s">
        <v>8</v>
      </c>
      <c r="U22" s="1508">
        <f>H22</f>
        <v>100</v>
      </c>
      <c r="V22" s="1507" t="s">
        <v>8</v>
      </c>
      <c r="W22" s="1508">
        <f>J22</f>
        <v>100</v>
      </c>
      <c r="X22" s="1501"/>
      <c r="Y22" s="3969"/>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969"/>
      <c r="Q23" s="1506">
        <f>B23</f>
        <v>111</v>
      </c>
      <c r="R23" s="1507" t="s">
        <v>8</v>
      </c>
      <c r="S23" s="1508">
        <f>F23</f>
        <v>100</v>
      </c>
      <c r="T23" s="1507" t="s">
        <v>8</v>
      </c>
      <c r="U23" s="1508">
        <f>H23</f>
        <v>100</v>
      </c>
      <c r="V23" s="1507" t="s">
        <v>8</v>
      </c>
      <c r="W23" s="1508">
        <f>J23</f>
        <v>100</v>
      </c>
      <c r="X23" s="1501"/>
      <c r="Y23" s="3969"/>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969"/>
      <c r="Q24" s="1506">
        <f t="shared" ref="Q24:Q34" si="11">B24</f>
        <v>111</v>
      </c>
      <c r="R24" s="1507" t="s">
        <v>8</v>
      </c>
      <c r="S24" s="1508">
        <f>F24</f>
        <v>100</v>
      </c>
      <c r="T24" s="1507" t="s">
        <v>8</v>
      </c>
      <c r="U24" s="1508">
        <f>H24</f>
        <v>100</v>
      </c>
      <c r="V24" s="1507" t="s">
        <v>8</v>
      </c>
      <c r="W24" s="1508">
        <f>J24</f>
        <v>100</v>
      </c>
      <c r="X24" s="1501"/>
      <c r="Y24" s="3969"/>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969"/>
      <c r="Q25" s="1134">
        <f t="shared" si="11"/>
        <v>111</v>
      </c>
      <c r="R25" s="1502" t="s">
        <v>8</v>
      </c>
      <c r="S25" s="1503">
        <f>F25</f>
        <v>100</v>
      </c>
      <c r="T25" s="1502" t="s">
        <v>8</v>
      </c>
      <c r="U25" s="1503">
        <f>H25</f>
        <v>100</v>
      </c>
      <c r="V25" s="1502" t="s">
        <v>8</v>
      </c>
      <c r="W25" s="1503">
        <f>J25</f>
        <v>100</v>
      </c>
      <c r="X25" s="1504"/>
      <c r="Y25" s="3969"/>
      <c r="Z25" s="1133">
        <f>Q25</f>
        <v>111</v>
      </c>
      <c r="AA25" s="1510">
        <f>D25/F25</f>
        <v>1</v>
      </c>
      <c r="AB25" s="1510">
        <f>D25/H25</f>
        <v>1</v>
      </c>
      <c r="AC25" s="1510">
        <f>D25/J25</f>
        <v>1</v>
      </c>
    </row>
    <row r="26" spans="1:29" ht="15">
      <c r="A26" s="2624"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970"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971"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971"/>
      <c r="Q27" s="1535" t="str">
        <f t="shared" si="11"/>
        <v>成新率</v>
      </c>
      <c r="R27" s="1511" t="s">
        <v>8</v>
      </c>
      <c r="S27" s="1512" t="e">
        <f t="shared" si="12"/>
        <v>#N/A</v>
      </c>
      <c r="T27" s="1511" t="s">
        <v>8</v>
      </c>
      <c r="U27" s="1512" t="e">
        <f t="shared" si="13"/>
        <v>#N/A</v>
      </c>
      <c r="V27" s="1511" t="s">
        <v>8</v>
      </c>
      <c r="W27" s="1512" t="e">
        <f t="shared" si="14"/>
        <v>#N/A</v>
      </c>
      <c r="X27" s="1513"/>
      <c r="Y27" s="3971"/>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971"/>
      <c r="Q28" s="1506" t="str">
        <f t="shared" si="11"/>
        <v>物业等级</v>
      </c>
      <c r="R28" s="1507" t="s">
        <v>8</v>
      </c>
      <c r="S28" s="1508">
        <f t="shared" si="12"/>
        <v>100</v>
      </c>
      <c r="T28" s="1507" t="s">
        <v>8</v>
      </c>
      <c r="U28" s="1508">
        <f t="shared" si="13"/>
        <v>100</v>
      </c>
      <c r="V28" s="1507" t="s">
        <v>8</v>
      </c>
      <c r="W28" s="1508">
        <f t="shared" si="14"/>
        <v>100</v>
      </c>
      <c r="X28" s="1501"/>
      <c r="Y28" s="3971"/>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971"/>
      <c r="Q29" s="1506" t="str">
        <f t="shared" si="11"/>
        <v>有无电梯</v>
      </c>
      <c r="R29" s="1507" t="s">
        <v>8</v>
      </c>
      <c r="S29" s="1508">
        <f t="shared" si="12"/>
        <v>100</v>
      </c>
      <c r="T29" s="1507" t="s">
        <v>8</v>
      </c>
      <c r="U29" s="1508">
        <f t="shared" si="13"/>
        <v>100</v>
      </c>
      <c r="V29" s="1507" t="s">
        <v>8</v>
      </c>
      <c r="W29" s="1508">
        <f t="shared" si="14"/>
        <v>100</v>
      </c>
      <c r="X29" s="1501"/>
      <c r="Y29" s="3971"/>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971"/>
      <c r="Q30" s="1506" t="str">
        <f t="shared" si="11"/>
        <v>建筑面积</v>
      </c>
      <c r="R30" s="1507" t="s">
        <v>8</v>
      </c>
      <c r="S30" s="1508" t="e">
        <f t="shared" si="12"/>
        <v>#N/A</v>
      </c>
      <c r="T30" s="1507" t="s">
        <v>8</v>
      </c>
      <c r="U30" s="1508" t="e">
        <f t="shared" si="13"/>
        <v>#N/A</v>
      </c>
      <c r="V30" s="1507" t="s">
        <v>8</v>
      </c>
      <c r="W30" s="1508" t="e">
        <f t="shared" si="14"/>
        <v>#N/A</v>
      </c>
      <c r="X30" s="1501"/>
      <c r="Y30" s="3971"/>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971"/>
      <c r="Q31" s="1134" t="str">
        <f t="shared" si="11"/>
        <v>是否封闭</v>
      </c>
      <c r="R31" s="1502" t="s">
        <v>8</v>
      </c>
      <c r="S31" s="1503">
        <f t="shared" si="12"/>
        <v>100</v>
      </c>
      <c r="T31" s="1502" t="s">
        <v>8</v>
      </c>
      <c r="U31" s="1503">
        <f t="shared" si="13"/>
        <v>100</v>
      </c>
      <c r="V31" s="1502" t="s">
        <v>8</v>
      </c>
      <c r="W31" s="1503">
        <f t="shared" si="14"/>
        <v>100</v>
      </c>
      <c r="X31" s="1504"/>
      <c r="Y31" s="3971"/>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971" t="s">
        <v>544</v>
      </c>
      <c r="Q32" s="1506">
        <f t="shared" si="11"/>
        <v>111</v>
      </c>
      <c r="R32" s="1507" t="s">
        <v>8</v>
      </c>
      <c r="S32" s="1508">
        <f t="shared" si="12"/>
        <v>100</v>
      </c>
      <c r="T32" s="1507" t="s">
        <v>8</v>
      </c>
      <c r="U32" s="1508">
        <f t="shared" si="13"/>
        <v>100</v>
      </c>
      <c r="V32" s="1507" t="s">
        <v>8</v>
      </c>
      <c r="W32" s="1508">
        <f t="shared" si="14"/>
        <v>100</v>
      </c>
      <c r="X32" s="1501"/>
      <c r="Y32" s="3971"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971"/>
      <c r="Q33" s="1506">
        <f t="shared" si="11"/>
        <v>111</v>
      </c>
      <c r="R33" s="1507" t="s">
        <v>8</v>
      </c>
      <c r="S33" s="1508">
        <f t="shared" si="12"/>
        <v>100</v>
      </c>
      <c r="T33" s="1507" t="s">
        <v>8</v>
      </c>
      <c r="U33" s="1508">
        <f t="shared" si="13"/>
        <v>100</v>
      </c>
      <c r="V33" s="1507" t="s">
        <v>8</v>
      </c>
      <c r="W33" s="1508">
        <f t="shared" si="14"/>
        <v>100</v>
      </c>
      <c r="X33" s="1501"/>
      <c r="Y33" s="3971"/>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971"/>
      <c r="Q34" s="1506">
        <f t="shared" si="11"/>
        <v>111</v>
      </c>
      <c r="R34" s="1507" t="s">
        <v>8</v>
      </c>
      <c r="S34" s="1508">
        <f t="shared" si="12"/>
        <v>100</v>
      </c>
      <c r="T34" s="1507" t="s">
        <v>8</v>
      </c>
      <c r="U34" s="1508">
        <f t="shared" si="13"/>
        <v>100</v>
      </c>
      <c r="V34" s="1507" t="s">
        <v>8</v>
      </c>
      <c r="W34" s="1508">
        <f t="shared" si="14"/>
        <v>100</v>
      </c>
      <c r="X34" s="1501"/>
      <c r="Y34" s="3971"/>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930" t="str">
        <f>A35</f>
        <v>成交单价（元/平方米）</v>
      </c>
      <c r="Q35" s="3930"/>
      <c r="R35" s="4048">
        <f>E35</f>
        <v>0</v>
      </c>
      <c r="S35" s="4048"/>
      <c r="T35" s="4048">
        <f>G35</f>
        <v>0</v>
      </c>
      <c r="U35" s="4048"/>
      <c r="V35" s="4048">
        <f>I35</f>
        <v>0</v>
      </c>
      <c r="W35" s="4048"/>
      <c r="X35" s="1496"/>
      <c r="Y35" s="1515"/>
      <c r="Z35" s="1496"/>
      <c r="AA35" s="1496"/>
      <c r="AB35" s="1496"/>
      <c r="AC35" s="1496"/>
    </row>
    <row r="36" spans="1:29" ht="15.75" thickBot="1">
      <c r="A36" s="609" t="s">
        <v>2739</v>
      </c>
      <c r="B36" s="877"/>
      <c r="C36" s="2476" t="e">
        <f>R37</f>
        <v>#DIV/0!</v>
      </c>
      <c r="D36" s="3013" t="s">
        <v>2971</v>
      </c>
      <c r="E36" s="2477" t="e">
        <f>R36</f>
        <v>#DIV/0!</v>
      </c>
      <c r="F36" s="3014"/>
      <c r="G36" s="2476" t="e">
        <f>T36</f>
        <v>#DIV/0!</v>
      </c>
      <c r="H36" s="3014"/>
      <c r="I36" s="2477" t="e">
        <f>V36</f>
        <v>#DIV/0!</v>
      </c>
      <c r="J36" s="3014"/>
      <c r="K36" s="3022">
        <f>F36+H36+J36</f>
        <v>0</v>
      </c>
      <c r="L36" s="2026"/>
      <c r="M36" s="2027"/>
      <c r="N36" s="2016"/>
      <c r="O36" s="2027"/>
      <c r="P36" s="3930" t="str">
        <f>A36</f>
        <v>比较价格（元/平方米）</v>
      </c>
      <c r="Q36" s="3930"/>
      <c r="R36" s="4048" t="e">
        <f>IF(F1="售价",ROUND(PRODUCT(R35,AA7:AA34),0),ROUND(PRODUCT(R35,AA7:AA34),1))</f>
        <v>#DIV/0!</v>
      </c>
      <c r="S36" s="4048"/>
      <c r="T36" s="4048" t="e">
        <f>IF(F1="售价",ROUND(PRODUCT(T35,AB7:AB34),0),ROUND(PRODUCT(T35,AB7:AB34),1))</f>
        <v>#DIV/0!</v>
      </c>
      <c r="U36" s="4048"/>
      <c r="V36" s="4048" t="e">
        <f>IF(F1="售价",ROUND(PRODUCT(V35,AC7:AC34),0),ROUND(PRODUCT(V35,AC7:AC34),1))</f>
        <v>#DIV/0!</v>
      </c>
      <c r="W36" s="4048"/>
      <c r="X36" s="1496"/>
      <c r="Y36" s="1496"/>
      <c r="Z36" s="1496"/>
      <c r="AA36" s="1496"/>
      <c r="AB36" s="1496"/>
      <c r="AC36" s="1496"/>
    </row>
    <row r="37" spans="1:29" ht="15.75" thickBot="1">
      <c r="A37" s="613" t="s">
        <v>2902</v>
      </c>
      <c r="B37" s="614"/>
      <c r="C37" s="2478" t="e">
        <f>R37</f>
        <v>#DIV/0!</v>
      </c>
      <c r="D37" s="2478"/>
      <c r="E37" s="2478"/>
      <c r="F37" s="2478"/>
      <c r="G37" s="2478"/>
      <c r="H37" s="2478"/>
      <c r="I37" s="2478"/>
      <c r="J37" s="2478"/>
      <c r="K37" s="1541"/>
      <c r="L37" s="2026"/>
      <c r="M37" s="2027"/>
      <c r="N37" s="2027"/>
      <c r="O37" s="2027"/>
      <c r="P37" s="3927" t="str">
        <f>A37</f>
        <v>估价对象XX用房的比较价格（楼面单价，元/平方米）</v>
      </c>
      <c r="Q37" s="3928"/>
      <c r="R37" s="4047" t="e">
        <f>IF(F1="售价",ROUND(IF(D36="简单平均",AVERAGE(R36:W36),R36*F36+T36*H36+V36*J36),0),ROUND(IF(D36="简单平均",AVERAGE(R36:V36),R36*F36+T36*H36+V36*J36),1))</f>
        <v>#DIV/0!</v>
      </c>
      <c r="S37" s="4047"/>
      <c r="T37" s="4047"/>
      <c r="U37" s="4047"/>
      <c r="V37" s="4047"/>
      <c r="W37" s="4047"/>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S5" sqref="S5:V5"/>
      <selection pane="bottomLeft" activeCell="S5" sqref="S5:V5"/>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2291</v>
      </c>
      <c r="C1" s="4057" t="s">
        <v>2292</v>
      </c>
      <c r="D1" s="4058"/>
      <c r="E1" s="4058"/>
      <c r="F1" s="4058"/>
      <c r="G1" s="4058"/>
      <c r="H1" s="4058"/>
      <c r="I1" s="4058"/>
      <c r="J1" s="4058"/>
      <c r="K1" s="4058"/>
      <c r="L1" s="4058"/>
      <c r="M1" s="4058"/>
      <c r="N1" s="4058"/>
      <c r="O1" s="4058"/>
      <c r="P1" s="4058"/>
      <c r="Q1" s="4058"/>
      <c r="R1" s="4058"/>
      <c r="S1" s="4059"/>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2895</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2894</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2893</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2906</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2892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2891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054" t="s">
        <v>20</v>
      </c>
      <c r="D22" s="4055"/>
      <c r="E22" s="4055"/>
      <c r="F22" s="4055"/>
      <c r="G22" s="4055"/>
      <c r="H22" s="4055"/>
      <c r="I22" s="4055"/>
      <c r="J22" s="4055"/>
      <c r="K22" s="4055"/>
      <c r="L22" s="4055"/>
      <c r="M22" s="4055"/>
      <c r="N22" s="4055"/>
      <c r="O22" s="4055"/>
      <c r="P22" s="4055"/>
      <c r="Q22" s="4056"/>
      <c r="R22" s="484" t="e">
        <f>ROUND(S22*10000/B22,0)</f>
        <v>#DIV/0!</v>
      </c>
      <c r="S22" s="53">
        <f>SUM(S24:S10000)</f>
        <v>0</v>
      </c>
    </row>
    <row r="23" spans="1:45" s="1542" customFormat="1" ht="24">
      <c r="A23" s="17" t="s">
        <v>824</v>
      </c>
      <c r="B23" s="2860"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3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93.75">
      <c r="A7" s="2590" t="s">
        <v>2727</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2021年2月5日（评估专业人员勘察现场之日）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2728</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2766</v>
      </c>
      <c r="C1" s="2720">
        <f>项目基本情况!D3</f>
        <v>44232</v>
      </c>
      <c r="H1" s="2654">
        <f>IF(C1&gt;C13,0,MATCH(C1,C$13:C$104,-1))+IF(SUMIF(C13:C104,C1,D13:D104)=0,13,12)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2797</v>
      </c>
      <c r="C2" s="2721">
        <f>'数据-取费表'!B22</f>
        <v>2</v>
      </c>
      <c r="D2" s="2716" t="s">
        <v>2767</v>
      </c>
      <c r="E2" s="2719">
        <f ca="1">INDIRECT("I"&amp;$I$1)/100</f>
        <v>3.85E-2</v>
      </c>
      <c r="G2" s="2656"/>
      <c r="H2" s="2656"/>
      <c r="I2" s="2656" t="s">
        <v>2768</v>
      </c>
      <c r="K2" s="2656"/>
      <c r="L2" s="2656"/>
      <c r="M2" s="2656"/>
      <c r="N2" s="2656" t="s">
        <v>2769</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2799</v>
      </c>
      <c r="C3" s="2718">
        <f>'数据-取费表'!B19</f>
        <v>0</v>
      </c>
      <c r="D3" s="2716" t="s">
        <v>2767</v>
      </c>
      <c r="E3" s="2719">
        <f ca="1">INDIRECT("J"&amp;$J$1)/100</f>
        <v>0</v>
      </c>
      <c r="G3" s="2658" t="s">
        <v>2770</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2798</v>
      </c>
      <c r="C4" s="2719">
        <f ca="1">N4/100</f>
        <v>1.4999999999999999E-2</v>
      </c>
      <c r="G4" s="2664" t="s">
        <v>2771</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2772</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2773</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2774</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2775</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2776</v>
      </c>
      <c r="C10" s="2683"/>
      <c r="D10" s="2683"/>
      <c r="E10" s="2683"/>
      <c r="F10" s="2683"/>
      <c r="G10" s="2683"/>
      <c r="H10" s="2683"/>
      <c r="I10" s="2657"/>
      <c r="J10" s="2657"/>
      <c r="K10" s="2683"/>
      <c r="L10" s="2684" t="s">
        <v>2777</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2778</v>
      </c>
      <c r="C11" s="2688" t="s">
        <v>2779</v>
      </c>
      <c r="D11" s="2689" t="s">
        <v>2780</v>
      </c>
      <c r="E11" s="2690"/>
      <c r="F11" s="2689" t="s">
        <v>2781</v>
      </c>
      <c r="G11" s="2691"/>
      <c r="H11" s="2690"/>
      <c r="I11" s="2689" t="s">
        <v>2782</v>
      </c>
      <c r="J11" s="2690"/>
      <c r="K11" s="2686"/>
      <c r="L11" s="2687" t="s">
        <v>2778</v>
      </c>
      <c r="M11" s="2688" t="s">
        <v>2779</v>
      </c>
      <c r="N11" s="2687" t="s">
        <v>2783</v>
      </c>
      <c r="O11" s="2689" t="s">
        <v>2784</v>
      </c>
      <c r="P11" s="2691"/>
      <c r="Q11" s="2691"/>
      <c r="R11" s="2691"/>
      <c r="S11" s="2691"/>
      <c r="T11" s="2690"/>
      <c r="U11" s="2689" t="s">
        <v>2785</v>
      </c>
      <c r="V11" s="2691"/>
      <c r="W11" s="2690"/>
      <c r="X11" s="2687" t="s">
        <v>2786</v>
      </c>
      <c r="Y11" s="2687" t="s">
        <v>2787</v>
      </c>
      <c r="Z11" s="2687" t="s">
        <v>2788</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2789</v>
      </c>
      <c r="E12" s="2696" t="s">
        <v>2790</v>
      </c>
      <c r="F12" s="2696" t="s">
        <v>2791</v>
      </c>
      <c r="G12" s="2696" t="s">
        <v>2792</v>
      </c>
      <c r="H12" s="2696" t="s">
        <v>2774</v>
      </c>
      <c r="I12" s="2697" t="s">
        <v>2793</v>
      </c>
      <c r="J12" s="2697" t="s">
        <v>2793</v>
      </c>
      <c r="K12" s="2693"/>
      <c r="L12" s="2694"/>
      <c r="M12" s="2695"/>
      <c r="N12" s="2694"/>
      <c r="O12" s="2697" t="s">
        <v>2794</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2795</v>
      </c>
      <c r="C13" s="2701">
        <v>43941</v>
      </c>
      <c r="D13" s="2702">
        <v>3.85</v>
      </c>
      <c r="E13" s="2702">
        <v>3.85</v>
      </c>
      <c r="F13" s="2702">
        <v>3.85</v>
      </c>
      <c r="G13" s="2702">
        <v>3.85</v>
      </c>
      <c r="H13" s="2702">
        <v>4.6500000000000004</v>
      </c>
      <c r="I13" s="2702"/>
      <c r="J13" s="2702"/>
      <c r="K13" s="2699"/>
      <c r="L13" s="2700" t="s">
        <v>2795</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6" ht="14.25">
      <c r="A17" s="2699"/>
      <c r="B17" s="2700" t="s">
        <v>3002</v>
      </c>
      <c r="C17" s="2709">
        <v>43697</v>
      </c>
      <c r="D17" s="3277">
        <v>4.25</v>
      </c>
      <c r="E17" s="3277">
        <v>4.25</v>
      </c>
      <c r="F17" s="3277">
        <v>4.25</v>
      </c>
      <c r="G17" s="3277">
        <v>4.25</v>
      </c>
      <c r="H17" s="3277">
        <v>4.8499999999999996</v>
      </c>
      <c r="I17" s="3277"/>
      <c r="J17" s="3277"/>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6" ht="15">
      <c r="B18" s="2706"/>
      <c r="C18" s="2707">
        <v>42242</v>
      </c>
      <c r="D18" s="2706">
        <v>4.5999999999999996</v>
      </c>
      <c r="E18" s="2706">
        <v>4.5999999999999996</v>
      </c>
      <c r="F18" s="2706">
        <v>5</v>
      </c>
      <c r="G18" s="2706">
        <v>5</v>
      </c>
      <c r="H18" s="2706">
        <v>5.15</v>
      </c>
      <c r="I18" s="2706">
        <v>2.75</v>
      </c>
      <c r="J18" s="2706">
        <v>3.25</v>
      </c>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1:26">
      <c r="B19" s="2706"/>
      <c r="C19" s="2707">
        <v>42183</v>
      </c>
      <c r="D19" s="2706">
        <v>4.8499999999999996</v>
      </c>
      <c r="E19" s="2706">
        <v>4.8499999999999996</v>
      </c>
      <c r="F19" s="2706">
        <v>5.25</v>
      </c>
      <c r="G19" s="2706">
        <v>5.25</v>
      </c>
      <c r="H19" s="2706">
        <v>5.4</v>
      </c>
      <c r="I19" s="2706">
        <v>3</v>
      </c>
      <c r="J19" s="2706">
        <v>3.5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6">
      <c r="B20" s="2706"/>
      <c r="C20" s="2707">
        <v>42135</v>
      </c>
      <c r="D20" s="2706">
        <v>5.0999999999999996</v>
      </c>
      <c r="E20" s="2706">
        <v>5.0999999999999996</v>
      </c>
      <c r="F20" s="2706">
        <v>5.5</v>
      </c>
      <c r="G20" s="2706">
        <v>5.5</v>
      </c>
      <c r="H20" s="2706">
        <v>5.65</v>
      </c>
      <c r="I20" s="2706">
        <v>3.25</v>
      </c>
      <c r="J20" s="2706">
        <v>3.75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6">
      <c r="B21" s="2706"/>
      <c r="C21" s="2707">
        <v>42064</v>
      </c>
      <c r="D21" s="2706">
        <v>5.35</v>
      </c>
      <c r="E21" s="2706">
        <v>5.35</v>
      </c>
      <c r="F21" s="2706">
        <v>5.75</v>
      </c>
      <c r="G21" s="2706">
        <v>5.75</v>
      </c>
      <c r="H21" s="2706">
        <v>5.9</v>
      </c>
      <c r="I21" s="2706"/>
      <c r="J21" s="2706"/>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6">
      <c r="B22" s="2706"/>
      <c r="C22" s="2707">
        <v>41965</v>
      </c>
      <c r="D22" s="2706">
        <v>5.6</v>
      </c>
      <c r="E22" s="2706">
        <v>5.6</v>
      </c>
      <c r="F22" s="2706">
        <v>6</v>
      </c>
      <c r="G22" s="2706">
        <v>6</v>
      </c>
      <c r="H22" s="2706">
        <v>6.15</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6">
      <c r="B23" s="2706"/>
      <c r="C23" s="2707">
        <v>41096</v>
      </c>
      <c r="D23" s="2706">
        <v>5.6</v>
      </c>
      <c r="E23" s="2706">
        <v>6</v>
      </c>
      <c r="F23" s="2706">
        <v>6.15</v>
      </c>
      <c r="G23" s="2706">
        <v>6.4</v>
      </c>
      <c r="H23" s="2706">
        <v>6.55</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6">
      <c r="B24" s="2706"/>
      <c r="C24" s="2707">
        <v>41068</v>
      </c>
      <c r="D24" s="2706">
        <v>5.85</v>
      </c>
      <c r="E24" s="2706">
        <v>6.31</v>
      </c>
      <c r="F24" s="2706">
        <v>6.4</v>
      </c>
      <c r="G24" s="2706">
        <v>6.65</v>
      </c>
      <c r="H24" s="2706">
        <v>6.8</v>
      </c>
      <c r="I24" s="2706">
        <v>4.2</v>
      </c>
      <c r="J24" s="2706">
        <v>4.7</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6">
      <c r="B25" s="2706"/>
      <c r="C25" s="2707">
        <v>40731</v>
      </c>
      <c r="D25" s="2706">
        <v>6.1</v>
      </c>
      <c r="E25" s="2706">
        <v>6.56</v>
      </c>
      <c r="F25" s="2706">
        <v>6.65</v>
      </c>
      <c r="G25" s="2706">
        <v>6.9</v>
      </c>
      <c r="H25" s="2706">
        <v>7.05</v>
      </c>
      <c r="I25" s="2706">
        <v>4.45</v>
      </c>
      <c r="J25" s="2706">
        <v>4.9000000000000004</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6">
      <c r="B26" s="2706"/>
      <c r="C26" s="2707">
        <v>40639</v>
      </c>
      <c r="D26" s="2706">
        <v>5.85</v>
      </c>
      <c r="E26" s="2706">
        <v>6.31</v>
      </c>
      <c r="F26" s="2706">
        <v>6.4</v>
      </c>
      <c r="G26" s="2706">
        <v>6.65</v>
      </c>
      <c r="H26" s="2706">
        <v>6.8</v>
      </c>
      <c r="I26" s="2706">
        <v>4.2</v>
      </c>
      <c r="J26" s="2706">
        <v>4.7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6">
      <c r="B27" s="2706"/>
      <c r="C27" s="2707">
        <v>40583</v>
      </c>
      <c r="D27" s="2706">
        <v>5.6</v>
      </c>
      <c r="E27" s="2706">
        <v>6.06</v>
      </c>
      <c r="F27" s="2706">
        <v>6.1</v>
      </c>
      <c r="G27" s="2706">
        <v>6.45</v>
      </c>
      <c r="H27" s="2706">
        <v>6.6</v>
      </c>
      <c r="I27" s="2706">
        <v>4</v>
      </c>
      <c r="J27" s="2706">
        <v>4.5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6">
      <c r="B28" s="2706"/>
      <c r="C28" s="2707">
        <v>40538</v>
      </c>
      <c r="D28" s="2706">
        <v>5.35</v>
      </c>
      <c r="E28" s="2706">
        <v>5.81</v>
      </c>
      <c r="F28" s="2706">
        <v>5.85</v>
      </c>
      <c r="G28" s="2706">
        <v>6.22</v>
      </c>
      <c r="H28" s="2706">
        <v>6.4</v>
      </c>
      <c r="I28" s="2706">
        <v>3.75</v>
      </c>
      <c r="J28" s="2706">
        <v>4.3</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6">
      <c r="B29" s="2706"/>
      <c r="C29" s="2707">
        <v>40471</v>
      </c>
      <c r="D29" s="2706">
        <v>5.0999999999999996</v>
      </c>
      <c r="E29" s="2706">
        <v>5.56</v>
      </c>
      <c r="F29" s="2706">
        <v>5.6</v>
      </c>
      <c r="G29" s="2706">
        <v>5.96</v>
      </c>
      <c r="H29" s="2706">
        <v>6.14</v>
      </c>
      <c r="I29" s="2706">
        <v>3.5</v>
      </c>
      <c r="J29" s="2706">
        <v>4.05</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6">
      <c r="B30" s="2706"/>
      <c r="C30" s="2707">
        <v>39805</v>
      </c>
      <c r="D30" s="2706">
        <v>4.8600000000000003</v>
      </c>
      <c r="E30" s="2706">
        <v>5.31</v>
      </c>
      <c r="F30" s="2706">
        <v>5.4</v>
      </c>
      <c r="G30" s="2706">
        <v>5.76</v>
      </c>
      <c r="H30" s="2706">
        <v>5.94</v>
      </c>
      <c r="I30" s="2706">
        <v>3.33</v>
      </c>
      <c r="J30" s="2706">
        <v>3.87</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6">
      <c r="B31" s="2706"/>
      <c r="C31" s="2707">
        <v>39779</v>
      </c>
      <c r="D31" s="2706">
        <v>5.04</v>
      </c>
      <c r="E31" s="2706">
        <v>5.58</v>
      </c>
      <c r="F31" s="2706">
        <v>5.67</v>
      </c>
      <c r="G31" s="2706">
        <v>5.94</v>
      </c>
      <c r="H31" s="2706">
        <v>6.12</v>
      </c>
      <c r="I31" s="2706">
        <v>3.51</v>
      </c>
      <c r="J31" s="2706">
        <v>4.05</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6">
      <c r="B32" s="2706"/>
      <c r="C32" s="2707">
        <v>39751</v>
      </c>
      <c r="D32" s="2706">
        <v>6.03</v>
      </c>
      <c r="E32" s="2706">
        <v>6.66</v>
      </c>
      <c r="F32" s="2706">
        <v>6.75</v>
      </c>
      <c r="G32" s="2706">
        <v>7.02</v>
      </c>
      <c r="H32" s="2706">
        <v>7.2</v>
      </c>
      <c r="I32" s="2706">
        <v>4.05</v>
      </c>
      <c r="J32" s="2706">
        <v>4.59</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9">
        <v>39748</v>
      </c>
      <c r="D33" s="2706">
        <v>6.12</v>
      </c>
      <c r="E33" s="2706">
        <v>6.93</v>
      </c>
      <c r="F33" s="2706">
        <v>7.02</v>
      </c>
      <c r="G33" s="2706">
        <v>7.29</v>
      </c>
      <c r="H33" s="2706">
        <v>7.47</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39730</v>
      </c>
      <c r="D34" s="2706">
        <v>6.12</v>
      </c>
      <c r="E34" s="2706">
        <v>6.93</v>
      </c>
      <c r="F34" s="2706">
        <v>7.02</v>
      </c>
      <c r="G34" s="2706">
        <v>7.29</v>
      </c>
      <c r="H34" s="2706">
        <v>7.47</v>
      </c>
      <c r="I34" s="2706">
        <v>4.32</v>
      </c>
      <c r="J34" s="2706">
        <v>4.8600000000000003</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39707</v>
      </c>
      <c r="D35" s="2706">
        <v>6.21</v>
      </c>
      <c r="E35" s="2706">
        <v>7.2</v>
      </c>
      <c r="F35" s="2706">
        <v>7.29</v>
      </c>
      <c r="G35" s="2706">
        <v>7.56</v>
      </c>
      <c r="H35" s="2706">
        <v>7.74</v>
      </c>
      <c r="I35" s="2706">
        <v>4.59</v>
      </c>
      <c r="J35" s="2706">
        <v>5.13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39437</v>
      </c>
      <c r="D36" s="2706">
        <v>6.57</v>
      </c>
      <c r="E36" s="2706">
        <v>7.47</v>
      </c>
      <c r="F36" s="2706">
        <v>7.56</v>
      </c>
      <c r="G36" s="2706">
        <v>7.74</v>
      </c>
      <c r="H36" s="2706">
        <v>7.83</v>
      </c>
      <c r="I36" s="2706">
        <v>4.7699999999999996</v>
      </c>
      <c r="J36" s="2706">
        <v>5.22</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39340</v>
      </c>
      <c r="D37" s="2706">
        <v>6.48</v>
      </c>
      <c r="E37" s="2706">
        <v>7.29</v>
      </c>
      <c r="F37" s="2706">
        <v>7.47</v>
      </c>
      <c r="G37" s="2706">
        <v>7.65</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39316</v>
      </c>
      <c r="D38" s="2706">
        <v>6.21</v>
      </c>
      <c r="E38" s="2706">
        <v>7.02</v>
      </c>
      <c r="F38" s="2706">
        <v>7.2</v>
      </c>
      <c r="G38" s="2706">
        <v>7.38</v>
      </c>
      <c r="H38" s="2706">
        <v>7.56</v>
      </c>
      <c r="I38" s="2706">
        <v>4.59</v>
      </c>
      <c r="J38" s="2706">
        <v>5.04</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39284</v>
      </c>
      <c r="D39" s="2706">
        <v>6.03</v>
      </c>
      <c r="E39" s="2706">
        <v>6.84</v>
      </c>
      <c r="F39" s="2706">
        <v>7.02</v>
      </c>
      <c r="G39" s="2706">
        <v>7.2</v>
      </c>
      <c r="H39" s="2706">
        <v>7.38</v>
      </c>
      <c r="I39" s="2706">
        <v>4.5</v>
      </c>
      <c r="J39" s="2706">
        <v>4.95</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39221</v>
      </c>
      <c r="D40" s="2706">
        <v>5.85</v>
      </c>
      <c r="E40" s="2706">
        <v>6.57</v>
      </c>
      <c r="F40" s="2706">
        <v>6.75</v>
      </c>
      <c r="G40" s="2706">
        <v>6.93</v>
      </c>
      <c r="H40" s="2706">
        <v>7.2</v>
      </c>
      <c r="I40" s="2706">
        <v>4.41</v>
      </c>
      <c r="J40" s="2706">
        <v>4.8600000000000003</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39159</v>
      </c>
      <c r="D41" s="2706">
        <v>5.67</v>
      </c>
      <c r="E41" s="2706">
        <v>6.39</v>
      </c>
      <c r="F41" s="2706">
        <v>6.57</v>
      </c>
      <c r="G41" s="2706">
        <v>6.75</v>
      </c>
      <c r="H41" s="2706">
        <v>7.11</v>
      </c>
      <c r="I41" s="2706">
        <v>4.32</v>
      </c>
      <c r="J41" s="2706">
        <v>4.7699999999999996</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38948</v>
      </c>
      <c r="D42" s="2706">
        <v>5.58</v>
      </c>
      <c r="E42" s="2706">
        <v>6.12</v>
      </c>
      <c r="F42" s="2706">
        <v>6.3</v>
      </c>
      <c r="G42" s="2706">
        <v>6.48</v>
      </c>
      <c r="H42" s="2706">
        <v>6.84</v>
      </c>
      <c r="I42" s="2706">
        <v>4.1399999999999997</v>
      </c>
      <c r="J42" s="2706">
        <v>4.59</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2796</v>
      </c>
      <c r="Y42" s="2706" t="s">
        <v>2796</v>
      </c>
      <c r="Z42" s="2706" t="s">
        <v>2796</v>
      </c>
    </row>
    <row r="43" spans="2:26">
      <c r="B43" s="2706"/>
      <c r="C43" s="2707">
        <v>38835</v>
      </c>
      <c r="D43" s="2706">
        <v>5.4</v>
      </c>
      <c r="E43" s="2706">
        <v>5.85</v>
      </c>
      <c r="F43" s="2706">
        <v>6.03</v>
      </c>
      <c r="G43" s="2706">
        <v>6.12</v>
      </c>
      <c r="H43" s="2706">
        <v>6.39</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2796</v>
      </c>
      <c r="Y43" s="2706" t="s">
        <v>2796</v>
      </c>
      <c r="Z43" s="2706" t="s">
        <v>2796</v>
      </c>
    </row>
    <row r="44" spans="2:26">
      <c r="B44" s="2706"/>
      <c r="C44" s="2707">
        <v>38428</v>
      </c>
      <c r="D44" s="2706">
        <v>5.22</v>
      </c>
      <c r="E44" s="2706">
        <v>5.58</v>
      </c>
      <c r="F44" s="2706">
        <v>5.76</v>
      </c>
      <c r="G44" s="2706">
        <v>5.85</v>
      </c>
      <c r="H44" s="2706">
        <v>6.12</v>
      </c>
      <c r="I44" s="2706">
        <v>3.96</v>
      </c>
      <c r="J44" s="2706">
        <v>4.41</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2796</v>
      </c>
      <c r="Y44" s="2706" t="s">
        <v>2796</v>
      </c>
      <c r="Z44" s="2706" t="s">
        <v>2796</v>
      </c>
    </row>
    <row r="45" spans="2:26">
      <c r="B45" s="2706"/>
      <c r="C45" s="2707">
        <v>38289</v>
      </c>
      <c r="D45" s="2706">
        <v>5.22</v>
      </c>
      <c r="E45" s="2706">
        <v>5.58</v>
      </c>
      <c r="F45" s="2706">
        <v>5.76</v>
      </c>
      <c r="G45" s="2706">
        <v>5.85</v>
      </c>
      <c r="H45" s="2706">
        <v>6.12</v>
      </c>
      <c r="I45" s="2706">
        <v>3.78</v>
      </c>
      <c r="J45" s="2706">
        <v>4.2300000000000004</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2796</v>
      </c>
      <c r="Y45" s="2706" t="s">
        <v>2796</v>
      </c>
      <c r="Z45" s="2706" t="s">
        <v>2796</v>
      </c>
    </row>
    <row r="46" spans="2:26">
      <c r="B46" s="2706"/>
      <c r="C46" s="2707">
        <v>37308</v>
      </c>
      <c r="D46" s="2706">
        <v>5.04</v>
      </c>
      <c r="E46" s="2706">
        <v>5.31</v>
      </c>
      <c r="F46" s="2706">
        <v>5.49</v>
      </c>
      <c r="G46" s="2706">
        <v>5.58</v>
      </c>
      <c r="H46" s="2706">
        <v>5.76</v>
      </c>
      <c r="I46" s="2706">
        <v>3.6</v>
      </c>
      <c r="J46" s="2706">
        <v>4.05</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2796</v>
      </c>
      <c r="Y46" s="2706" t="s">
        <v>2796</v>
      </c>
      <c r="Z46" s="2706" t="s">
        <v>2796</v>
      </c>
    </row>
    <row r="47" spans="2:26">
      <c r="B47" s="2706"/>
      <c r="C47" s="2707">
        <v>36321</v>
      </c>
      <c r="D47" s="2706">
        <v>5.58</v>
      </c>
      <c r="E47" s="2706">
        <v>5.85</v>
      </c>
      <c r="F47" s="2706">
        <v>5.94</v>
      </c>
      <c r="G47" s="2706">
        <v>6.03</v>
      </c>
      <c r="H47" s="2706">
        <v>6.21</v>
      </c>
      <c r="I47" s="2706">
        <v>4.1399999999999997</v>
      </c>
      <c r="J47" s="2706">
        <v>4.59</v>
      </c>
      <c r="L47" s="2706"/>
      <c r="M47" s="2707">
        <v>34161</v>
      </c>
      <c r="N47" s="2706">
        <v>3.15</v>
      </c>
      <c r="O47" s="2706">
        <v>6.66</v>
      </c>
      <c r="P47" s="2706">
        <v>9</v>
      </c>
      <c r="Q47" s="2706">
        <v>10.98</v>
      </c>
      <c r="R47" s="2706">
        <v>11.7</v>
      </c>
      <c r="S47" s="2706">
        <v>12.24</v>
      </c>
      <c r="T47" s="2706">
        <v>13.86</v>
      </c>
      <c r="U47" s="2706">
        <v>9</v>
      </c>
      <c r="V47" s="2706">
        <v>10.98</v>
      </c>
      <c r="W47" s="2706">
        <v>12.24</v>
      </c>
      <c r="X47" s="2706" t="s">
        <v>2796</v>
      </c>
      <c r="Y47" s="2706" t="s">
        <v>2796</v>
      </c>
      <c r="Z47" s="2706" t="s">
        <v>2796</v>
      </c>
    </row>
    <row r="48" spans="2:26">
      <c r="B48" s="2706"/>
      <c r="C48" s="2707">
        <v>36136</v>
      </c>
      <c r="D48" s="2706">
        <v>6.12</v>
      </c>
      <c r="E48" s="2706">
        <v>6.39</v>
      </c>
      <c r="F48" s="2706">
        <v>6.66</v>
      </c>
      <c r="G48" s="2706">
        <v>7.2</v>
      </c>
      <c r="H48" s="2706">
        <v>7.56</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2796</v>
      </c>
      <c r="Y48" s="2706" t="s">
        <v>2796</v>
      </c>
      <c r="Z48" s="2706" t="s">
        <v>2796</v>
      </c>
    </row>
    <row r="49" spans="2:26">
      <c r="B49" s="2706"/>
      <c r="C49" s="2707">
        <v>35977</v>
      </c>
      <c r="D49" s="2706">
        <v>6.57</v>
      </c>
      <c r="E49" s="2706">
        <v>6.93</v>
      </c>
      <c r="F49" s="2706">
        <v>7.11</v>
      </c>
      <c r="G49" s="2706">
        <v>7.65</v>
      </c>
      <c r="H49" s="2706">
        <v>8.01</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2796</v>
      </c>
      <c r="Y49" s="2706" t="s">
        <v>2796</v>
      </c>
      <c r="Z49" s="2706" t="s">
        <v>2796</v>
      </c>
    </row>
    <row r="50" spans="2:26">
      <c r="B50" s="2706"/>
      <c r="C50" s="2707">
        <v>35879</v>
      </c>
      <c r="D50" s="2706">
        <v>7.02</v>
      </c>
      <c r="E50" s="2706">
        <v>7.92</v>
      </c>
      <c r="F50" s="2706">
        <v>9</v>
      </c>
      <c r="G50" s="2706">
        <v>9.7200000000000006</v>
      </c>
      <c r="H50" s="2706">
        <v>10.35</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2796</v>
      </c>
      <c r="Y50" s="2706" t="s">
        <v>2796</v>
      </c>
      <c r="Z50" s="2706" t="s">
        <v>2796</v>
      </c>
    </row>
    <row r="51" spans="2:26">
      <c r="B51" s="2706"/>
      <c r="C51" s="2707">
        <v>35726</v>
      </c>
      <c r="D51" s="2706">
        <v>7.65</v>
      </c>
      <c r="E51" s="2706">
        <v>8.64</v>
      </c>
      <c r="F51" s="2706">
        <v>9.36</v>
      </c>
      <c r="G51" s="2706">
        <v>9.9</v>
      </c>
      <c r="H51" s="2706">
        <v>10.53</v>
      </c>
      <c r="I51" s="2706">
        <v>0</v>
      </c>
      <c r="J51" s="2706">
        <v>0</v>
      </c>
      <c r="L51" s="2706"/>
      <c r="M51" s="2707">
        <v>32978</v>
      </c>
      <c r="N51" s="2706">
        <v>2.88</v>
      </c>
      <c r="O51" s="2706">
        <v>6.3</v>
      </c>
      <c r="P51" s="2706">
        <v>7.74</v>
      </c>
      <c r="Q51" s="2706">
        <v>10.08</v>
      </c>
      <c r="R51" s="2706">
        <v>10.98</v>
      </c>
      <c r="S51" s="2706">
        <v>11.88</v>
      </c>
      <c r="T51" s="2706">
        <v>13.68</v>
      </c>
      <c r="U51" s="2706" t="s">
        <v>2796</v>
      </c>
      <c r="V51" s="2706" t="s">
        <v>2796</v>
      </c>
      <c r="W51" s="2706" t="s">
        <v>2796</v>
      </c>
      <c r="X51" s="2706" t="s">
        <v>2796</v>
      </c>
      <c r="Y51" s="2706" t="s">
        <v>2796</v>
      </c>
      <c r="Z51" s="2706" t="s">
        <v>2796</v>
      </c>
    </row>
    <row r="52" spans="2:26">
      <c r="B52" s="2706"/>
      <c r="C52" s="2707">
        <v>35300</v>
      </c>
      <c r="D52" s="2706">
        <v>9.18</v>
      </c>
      <c r="E52" s="2706">
        <v>10.08</v>
      </c>
      <c r="F52" s="2706">
        <v>10.98</v>
      </c>
      <c r="G52" s="2706">
        <v>11.7</v>
      </c>
      <c r="H52" s="2706">
        <v>12.42</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35186</v>
      </c>
      <c r="D53" s="2706">
        <v>9.7200000000000006</v>
      </c>
      <c r="E53" s="2706">
        <v>10.98</v>
      </c>
      <c r="F53" s="2706">
        <v>13.14</v>
      </c>
      <c r="G53" s="2706">
        <v>14.94</v>
      </c>
      <c r="H53" s="2706">
        <v>15.12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34881</v>
      </c>
      <c r="D54" s="2706">
        <v>10.08</v>
      </c>
      <c r="E54" s="2706">
        <v>12.06</v>
      </c>
      <c r="F54" s="2706">
        <v>13.5</v>
      </c>
      <c r="G54" s="2706">
        <v>15.12</v>
      </c>
      <c r="H54" s="2706">
        <v>15.3</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34700</v>
      </c>
      <c r="D55" s="2706">
        <v>9</v>
      </c>
      <c r="E55" s="2706">
        <v>10.98</v>
      </c>
      <c r="F55" s="2706">
        <v>12.96</v>
      </c>
      <c r="G55" s="2706">
        <v>14.58</v>
      </c>
      <c r="H55" s="2706">
        <v>14.76</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34161</v>
      </c>
      <c r="D56" s="2706">
        <v>9</v>
      </c>
      <c r="E56" s="2706">
        <v>10.98</v>
      </c>
      <c r="F56" s="2706">
        <v>12.24</v>
      </c>
      <c r="G56" s="2706">
        <v>13.86</v>
      </c>
      <c r="H56" s="2706">
        <v>14.04</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34104</v>
      </c>
      <c r="D57" s="2706">
        <v>8.82</v>
      </c>
      <c r="E57" s="2706">
        <v>9.36</v>
      </c>
      <c r="F57" s="2706">
        <v>10.8</v>
      </c>
      <c r="G57" s="2706">
        <v>12.06</v>
      </c>
      <c r="H57" s="2706">
        <v>12.24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33349</v>
      </c>
      <c r="D58" s="2706">
        <v>8.1</v>
      </c>
      <c r="E58" s="2706">
        <v>8.64</v>
      </c>
      <c r="F58" s="2706">
        <v>9</v>
      </c>
      <c r="G58" s="2706">
        <v>9.5399999999999991</v>
      </c>
      <c r="H58" s="2706">
        <v>9.7200000000000006</v>
      </c>
      <c r="I58" s="2706">
        <v>0</v>
      </c>
      <c r="J58" s="2706">
        <v>0</v>
      </c>
    </row>
    <row r="59" spans="2:26">
      <c r="B59" s="2706"/>
      <c r="C59" s="2707">
        <v>33318</v>
      </c>
      <c r="D59" s="2706">
        <v>9</v>
      </c>
      <c r="E59" s="2706">
        <v>10.08</v>
      </c>
      <c r="F59" s="2706">
        <v>10.8</v>
      </c>
      <c r="G59" s="2706">
        <v>11.52</v>
      </c>
      <c r="H59" s="2706">
        <v>11.88</v>
      </c>
      <c r="I59" s="2706" t="s">
        <v>2796</v>
      </c>
      <c r="J59" s="2706" t="s">
        <v>2796</v>
      </c>
    </row>
    <row r="60" spans="2:26">
      <c r="B60" s="2706"/>
      <c r="C60" s="2707">
        <v>33106</v>
      </c>
      <c r="D60" s="2706">
        <v>8.64</v>
      </c>
      <c r="E60" s="2706">
        <v>9.36</v>
      </c>
      <c r="F60" s="2706">
        <v>10.08</v>
      </c>
      <c r="G60" s="2706">
        <v>10.8</v>
      </c>
      <c r="H60" s="2706">
        <v>11.16</v>
      </c>
      <c r="I60" s="2706">
        <v>0</v>
      </c>
      <c r="J60" s="2706">
        <v>0</v>
      </c>
    </row>
    <row r="61" spans="2:26">
      <c r="B61" s="2706"/>
      <c r="C61" s="2707">
        <v>32540</v>
      </c>
      <c r="D61" s="2706">
        <v>11.34</v>
      </c>
      <c r="E61" s="2706">
        <v>11.34</v>
      </c>
      <c r="F61" s="2706">
        <v>12.78</v>
      </c>
      <c r="G61" s="2706">
        <v>14.4</v>
      </c>
      <c r="H61" s="2706">
        <v>19.260000000000002</v>
      </c>
      <c r="I61" s="2706">
        <v>0</v>
      </c>
      <c r="J61" s="2706">
        <v>0</v>
      </c>
    </row>
    <row r="62" spans="2:26">
      <c r="B62" s="2706"/>
      <c r="C62" s="2707"/>
      <c r="D62" s="2706"/>
      <c r="E62" s="2706"/>
      <c r="F62" s="2706"/>
      <c r="G62" s="2706"/>
      <c r="H62" s="2706"/>
      <c r="I62" s="2706"/>
      <c r="J62" s="2706"/>
    </row>
    <row r="63" spans="2:26">
      <c r="B63" s="2710"/>
      <c r="C63" s="2711"/>
      <c r="D63" s="2710"/>
      <c r="E63" s="2710"/>
      <c r="F63" s="2710"/>
      <c r="G63" s="2710"/>
      <c r="H63" s="2710"/>
      <c r="I63" s="2710"/>
      <c r="J63" s="2710"/>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657"/>
      <c r="C66" s="2657"/>
      <c r="D66" s="2657"/>
      <c r="E66" s="2657"/>
      <c r="F66" s="2657"/>
      <c r="G66" s="2657"/>
      <c r="H66" s="2657"/>
      <c r="I66" s="2657"/>
      <c r="J66" s="2657"/>
    </row>
    <row r="67" spans="2:10">
      <c r="B67" s="2657"/>
      <c r="C67" s="2657"/>
      <c r="D67" s="2657"/>
      <c r="E67" s="2657"/>
      <c r="F67" s="2657"/>
      <c r="G67" s="2657"/>
      <c r="H67" s="2657"/>
      <c r="I67" s="2657"/>
      <c r="J67" s="2657"/>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8" zoomScaleNormal="60" zoomScaleSheetLayoutView="100" workbookViewId="0">
      <selection activeCell="F50" sqref="F50"/>
    </sheetView>
  </sheetViews>
  <sheetFormatPr defaultColWidth="9" defaultRowHeight="14.25"/>
  <cols>
    <col min="1" max="1" width="10.5" style="3320" customWidth="1"/>
    <col min="2" max="2" width="15.75" style="3320" customWidth="1"/>
    <col min="3" max="3" width="15.125" style="3320" customWidth="1"/>
    <col min="4" max="4" width="12.25" style="3320" customWidth="1"/>
    <col min="5" max="5" width="14.375" style="3320" customWidth="1"/>
    <col min="6" max="6" width="12.25" style="3320" customWidth="1"/>
    <col min="7" max="7" width="14.5" style="3320" customWidth="1"/>
    <col min="8" max="8" width="12.25" style="3320" customWidth="1"/>
    <col min="9" max="9" width="14.5" style="3320" customWidth="1"/>
    <col min="10" max="10" width="12.25" style="3320" customWidth="1"/>
    <col min="11" max="11" width="12.25" style="3581" customWidth="1"/>
    <col min="12" max="12" width="12.25" style="3582" customWidth="1"/>
    <col min="13" max="15" width="12.25" style="3320" customWidth="1"/>
    <col min="16" max="16" width="4.75" style="3656" customWidth="1"/>
    <col min="17" max="17" width="19.5" style="3320" customWidth="1"/>
    <col min="18" max="22" width="6.125" style="3320" customWidth="1"/>
    <col min="23" max="23" width="5.75" style="3320" customWidth="1"/>
    <col min="24" max="24" width="4.25" style="3320" customWidth="1"/>
    <col min="25" max="25" width="3.5" style="3320" customWidth="1"/>
    <col min="26" max="26" width="19.75" style="3320" customWidth="1"/>
    <col min="27" max="28" width="9.375" style="3320" customWidth="1"/>
    <col min="29" max="16384" width="9" style="3320"/>
  </cols>
  <sheetData>
    <row r="1" spans="1:29" s="3294" customFormat="1" ht="28.5" customHeight="1" thickBot="1">
      <c r="A1" s="3282" t="s">
        <v>3133</v>
      </c>
      <c r="B1" s="3584" t="s">
        <v>3134</v>
      </c>
      <c r="C1" s="3585" t="s">
        <v>3135</v>
      </c>
      <c r="D1" s="3285" t="s">
        <v>914</v>
      </c>
      <c r="E1" s="3586"/>
      <c r="F1" s="3287" t="s">
        <v>3136</v>
      </c>
      <c r="G1" s="3587" t="s">
        <v>3137</v>
      </c>
      <c r="H1" s="3588"/>
      <c r="I1" s="3588"/>
      <c r="J1" s="3588"/>
      <c r="K1" s="3589"/>
      <c r="L1" s="3590"/>
      <c r="M1" s="3585"/>
      <c r="N1" s="3585"/>
      <c r="O1" s="3585"/>
      <c r="P1" s="3591"/>
      <c r="Q1" s="3284"/>
      <c r="R1" s="3284"/>
      <c r="S1" s="3284"/>
      <c r="T1" s="3284"/>
      <c r="U1" s="3284"/>
      <c r="V1" s="3284"/>
      <c r="W1" s="3284"/>
      <c r="X1" s="3284"/>
      <c r="Y1" s="3284"/>
      <c r="Z1" s="3284"/>
      <c r="AA1" s="3284"/>
      <c r="AB1" s="3284"/>
      <c r="AC1" s="3293"/>
    </row>
    <row r="2" spans="1:29" s="3599" customFormat="1" ht="28.5" customHeight="1" thickTop="1">
      <c r="A2" s="3295" t="s">
        <v>3138</v>
      </c>
      <c r="B2" s="3296">
        <f>IF(C2="——",ROUND(C49*D3/10000,0),ROUND(C49*D3/10000,0)-D2)</f>
        <v>453523</v>
      </c>
      <c r="C2" s="3297" t="s">
        <v>943</v>
      </c>
      <c r="D2" s="3592" t="e">
        <f ca="1">SUMIF(INDIRECT("'"&amp;F2&amp;"'"&amp;"!A:A"),"承租人权益价值",INDIRECT("'"&amp;F2&amp;"'"&amp;"!c:c"))</f>
        <v>#REF!</v>
      </c>
      <c r="E2" s="3299" t="s">
        <v>3139</v>
      </c>
      <c r="F2" s="3300"/>
      <c r="G2" s="3298"/>
      <c r="H2" s="3298"/>
      <c r="I2" s="3298"/>
      <c r="J2" s="3298"/>
      <c r="K2" s="3593"/>
      <c r="L2" s="3594"/>
      <c r="M2" s="3595"/>
      <c r="N2" s="3595"/>
      <c r="O2" s="3595"/>
      <c r="P2" s="3596"/>
      <c r="Q2" s="3597"/>
      <c r="R2" s="3597"/>
      <c r="S2" s="3597"/>
      <c r="T2" s="3597"/>
      <c r="U2" s="3597"/>
      <c r="V2" s="3597"/>
      <c r="W2" s="3597"/>
      <c r="X2" s="3597"/>
      <c r="Y2" s="3597"/>
      <c r="Z2" s="3597"/>
      <c r="AA2" s="3597"/>
      <c r="AB2" s="3597"/>
      <c r="AC2" s="3598"/>
    </row>
    <row r="3" spans="1:29" s="3599" customFormat="1" ht="28.5" customHeight="1" thickBot="1">
      <c r="A3" s="503" t="s">
        <v>3140</v>
      </c>
      <c r="B3" s="3311">
        <f>IF(C2="——",C49,ROUND(B2*10000/D3,0))</f>
        <v>101833</v>
      </c>
      <c r="C3" s="3310" t="s">
        <v>3141</v>
      </c>
      <c r="D3" s="3311">
        <f>IF(D1="",'[1]数据-汇总表'!E3,SUMIF('[1]数据-汇总表'!$C19:$C33,D1,'[1]数据-汇总表'!$E19:$E33))</f>
        <v>44536</v>
      </c>
      <c r="E3" s="3298"/>
      <c r="F3" s="3600"/>
      <c r="G3" s="3298"/>
      <c r="H3" s="3298"/>
      <c r="I3" s="3298"/>
      <c r="J3" s="3298"/>
      <c r="K3" s="3593"/>
      <c r="L3" s="3594"/>
      <c r="M3" s="3595"/>
      <c r="N3" s="3595"/>
      <c r="O3" s="3595"/>
      <c r="P3" s="3596"/>
      <c r="Q3" s="3597"/>
      <c r="R3" s="3597"/>
      <c r="S3" s="3597"/>
      <c r="T3" s="3597"/>
      <c r="U3" s="3597"/>
      <c r="V3" s="3597"/>
      <c r="W3" s="3597"/>
      <c r="X3" s="3597"/>
      <c r="Y3" s="3597"/>
      <c r="Z3" s="3597"/>
      <c r="AA3" s="3597"/>
      <c r="AB3" s="3597"/>
      <c r="AC3" s="3601"/>
    </row>
    <row r="4" spans="1:29" ht="15">
      <c r="A4" s="3314" t="s">
        <v>3142</v>
      </c>
      <c r="B4" s="3315"/>
      <c r="C4" s="4093" t="s">
        <v>3143</v>
      </c>
      <c r="D4" s="4094"/>
      <c r="E4" s="4095" t="s">
        <v>3144</v>
      </c>
      <c r="F4" s="4096"/>
      <c r="G4" s="4093" t="s">
        <v>3145</v>
      </c>
      <c r="H4" s="4094"/>
      <c r="I4" s="4093" t="s">
        <v>3146</v>
      </c>
      <c r="J4" s="4094"/>
      <c r="K4" s="3602" t="s">
        <v>3147</v>
      </c>
      <c r="L4" s="3317"/>
      <c r="M4" s="3318"/>
      <c r="N4" s="3318"/>
      <c r="O4" s="3318"/>
      <c r="P4" s="4097" t="s">
        <v>3148</v>
      </c>
      <c r="Q4" s="4098"/>
      <c r="R4" s="4083" t="s">
        <v>3144</v>
      </c>
      <c r="S4" s="4084"/>
      <c r="T4" s="4083" t="s">
        <v>3145</v>
      </c>
      <c r="U4" s="4084"/>
      <c r="V4" s="4089" t="s">
        <v>3146</v>
      </c>
      <c r="W4" s="4089"/>
      <c r="X4" s="3319"/>
      <c r="Y4" s="4083" t="s">
        <v>3148</v>
      </c>
      <c r="Z4" s="4084"/>
      <c r="AA4" s="4090" t="s">
        <v>3144</v>
      </c>
      <c r="AB4" s="4090" t="s">
        <v>3145</v>
      </c>
      <c r="AC4" s="4090" t="s">
        <v>3146</v>
      </c>
    </row>
    <row r="5" spans="1:29" ht="15">
      <c r="A5" s="3321"/>
      <c r="B5" s="3322"/>
      <c r="C5" s="4103" t="s">
        <v>3149</v>
      </c>
      <c r="D5" s="4104"/>
      <c r="E5" s="4105" t="s">
        <v>3150</v>
      </c>
      <c r="F5" s="4106"/>
      <c r="G5" s="4107" t="s">
        <v>3151</v>
      </c>
      <c r="H5" s="4104"/>
      <c r="I5" s="4107" t="s">
        <v>3152</v>
      </c>
      <c r="J5" s="4104"/>
      <c r="K5" s="3603"/>
      <c r="L5" s="3317"/>
      <c r="M5" s="3318"/>
      <c r="N5" s="3318"/>
      <c r="O5" s="3318"/>
      <c r="P5" s="4099"/>
      <c r="Q5" s="4100"/>
      <c r="R5" s="4085"/>
      <c r="S5" s="4086"/>
      <c r="T5" s="4085"/>
      <c r="U5" s="4086"/>
      <c r="V5" s="4089"/>
      <c r="W5" s="4089"/>
      <c r="X5" s="3319"/>
      <c r="Y5" s="4085"/>
      <c r="Z5" s="4086"/>
      <c r="AA5" s="4091"/>
      <c r="AB5" s="4091"/>
      <c r="AC5" s="4091"/>
    </row>
    <row r="6" spans="1:29" ht="15.75" thickBot="1">
      <c r="A6" s="3323"/>
      <c r="B6" s="3324"/>
      <c r="C6" s="4078" t="s">
        <v>3021</v>
      </c>
      <c r="D6" s="4079"/>
      <c r="E6" s="4080" t="s">
        <v>3021</v>
      </c>
      <c r="F6" s="4081"/>
      <c r="G6" s="4078" t="s">
        <v>3021</v>
      </c>
      <c r="H6" s="4079"/>
      <c r="I6" s="4078" t="s">
        <v>3021</v>
      </c>
      <c r="J6" s="4079"/>
      <c r="K6" s="3603" t="s">
        <v>3054</v>
      </c>
      <c r="L6" s="3317"/>
      <c r="M6" s="3318"/>
      <c r="N6" s="3318"/>
      <c r="O6" s="3318"/>
      <c r="P6" s="4101"/>
      <c r="Q6" s="4102"/>
      <c r="R6" s="4085"/>
      <c r="S6" s="4086"/>
      <c r="T6" s="4087"/>
      <c r="U6" s="4088"/>
      <c r="V6" s="4089"/>
      <c r="W6" s="4089"/>
      <c r="X6" s="3319"/>
      <c r="Y6" s="4087"/>
      <c r="Z6" s="4088"/>
      <c r="AA6" s="4092"/>
      <c r="AB6" s="4092"/>
      <c r="AC6" s="4092"/>
    </row>
    <row r="7" spans="1:29" s="3338" customFormat="1" ht="15.75" thickBot="1">
      <c r="A7" s="3325" t="s">
        <v>3055</v>
      </c>
      <c r="B7" s="3326"/>
      <c r="C7" s="3327">
        <f>'[1]数据-取费表'!B2</f>
        <v>44232</v>
      </c>
      <c r="D7" s="3328">
        <v>100</v>
      </c>
      <c r="E7" s="3329">
        <f>C7</f>
        <v>44232</v>
      </c>
      <c r="F7" s="3330">
        <f>SUMIF(58:58,YEAR(E7)&amp;"-"&amp;MONTH(E7),59:59)</f>
        <v>100</v>
      </c>
      <c r="G7" s="3329">
        <f>E7</f>
        <v>44232</v>
      </c>
      <c r="H7" s="3328">
        <f>SUMIF(58:58,YEAR(G7)&amp;"-"&amp;MONTH(G7),59:59)</f>
        <v>100</v>
      </c>
      <c r="I7" s="3329">
        <f>G7</f>
        <v>44232</v>
      </c>
      <c r="J7" s="3328">
        <f>SUMIF(58:58,YEAR(I7)&amp;"-"&amp;MONTH(I7),59:59)</f>
        <v>100</v>
      </c>
      <c r="K7" s="3604"/>
      <c r="L7" s="3332"/>
      <c r="M7" s="3333"/>
      <c r="N7" s="3333"/>
      <c r="O7" s="3333"/>
      <c r="P7" s="4070" t="s">
        <v>3153</v>
      </c>
      <c r="Q7" s="4082"/>
      <c r="R7" s="3334" t="s">
        <v>3154</v>
      </c>
      <c r="S7" s="3335">
        <f t="shared" ref="S7:S15" si="0">F7</f>
        <v>100</v>
      </c>
      <c r="T7" s="3334" t="s">
        <v>3154</v>
      </c>
      <c r="U7" s="3335">
        <f t="shared" ref="U7:U15" si="1">H7</f>
        <v>100</v>
      </c>
      <c r="V7" s="3334" t="s">
        <v>3154</v>
      </c>
      <c r="W7" s="3335">
        <f t="shared" ref="W7:W15" si="2">J7</f>
        <v>100</v>
      </c>
      <c r="X7" s="3336"/>
      <c r="Y7" s="4070" t="s">
        <v>3153</v>
      </c>
      <c r="Z7" s="4071"/>
      <c r="AA7" s="3337">
        <f>D7/F7</f>
        <v>1</v>
      </c>
      <c r="AB7" s="3337">
        <f>D7/H7</f>
        <v>1</v>
      </c>
      <c r="AC7" s="3337">
        <f>D7/J7</f>
        <v>1</v>
      </c>
    </row>
    <row r="8" spans="1:29" s="3338" customFormat="1" ht="15.75" thickBot="1">
      <c r="A8" s="3325" t="s">
        <v>3155</v>
      </c>
      <c r="B8" s="3326"/>
      <c r="C8" s="3339" t="s">
        <v>3026</v>
      </c>
      <c r="D8" s="3328">
        <v>100</v>
      </c>
      <c r="E8" s="3605" t="s">
        <v>3022</v>
      </c>
      <c r="F8" s="3330">
        <f>SUMIF(61:61,E8,62:62)-SUMIF(61:61,C8,62:62)+100</f>
        <v>100</v>
      </c>
      <c r="G8" s="3605" t="s">
        <v>3022</v>
      </c>
      <c r="H8" s="3328">
        <f>SUMIF(61:61,G8,62:62)-SUMIF(61:61,C8,62:62)+100</f>
        <v>100</v>
      </c>
      <c r="I8" s="3605" t="s">
        <v>3022</v>
      </c>
      <c r="J8" s="3328">
        <f>SUMIF(61:61,I8,62:62)-SUMIF(61:61,C8,62:62)+100</f>
        <v>100</v>
      </c>
      <c r="K8" s="3604"/>
      <c r="L8" s="3332"/>
      <c r="M8" s="3333"/>
      <c r="N8" s="3333"/>
      <c r="O8" s="3333"/>
      <c r="P8" s="4070" t="s">
        <v>3156</v>
      </c>
      <c r="Q8" s="4071"/>
      <c r="R8" s="3334" t="s">
        <v>3154</v>
      </c>
      <c r="S8" s="3335">
        <f t="shared" si="0"/>
        <v>100</v>
      </c>
      <c r="T8" s="3334" t="s">
        <v>3154</v>
      </c>
      <c r="U8" s="3335">
        <f t="shared" si="1"/>
        <v>100</v>
      </c>
      <c r="V8" s="3334" t="s">
        <v>3154</v>
      </c>
      <c r="W8" s="3335">
        <f t="shared" si="2"/>
        <v>100</v>
      </c>
      <c r="X8" s="3336"/>
      <c r="Y8" s="4070" t="s">
        <v>3156</v>
      </c>
      <c r="Z8" s="4071"/>
      <c r="AA8" s="3337">
        <f t="shared" ref="AA8:AA19" si="3">D8/F8</f>
        <v>1</v>
      </c>
      <c r="AB8" s="3337">
        <f t="shared" ref="AB8:AB19" si="4">D8/H8</f>
        <v>1</v>
      </c>
      <c r="AC8" s="3337">
        <f t="shared" ref="AC8:AC19" si="5">D8/J8</f>
        <v>1</v>
      </c>
    </row>
    <row r="9" spans="1:29" s="3338" customFormat="1">
      <c r="A9" s="3606" t="s">
        <v>3157</v>
      </c>
      <c r="B9" s="3607" t="s">
        <v>3158</v>
      </c>
      <c r="C9" s="3608" t="s">
        <v>3159</v>
      </c>
      <c r="D9" s="3343">
        <v>100</v>
      </c>
      <c r="E9" s="3609" t="s">
        <v>914</v>
      </c>
      <c r="F9" s="3610">
        <f>SUMIF(63:63,E9,64:64)-SUMIF(63:63,C9,64:64)+100</f>
        <v>100</v>
      </c>
      <c r="G9" s="3609" t="s">
        <v>914</v>
      </c>
      <c r="H9" s="3343">
        <f>SUMIF(63:63,G9,64:64)-SUMIF(63:63,C9,64:64)+100</f>
        <v>100</v>
      </c>
      <c r="I9" s="3609" t="s">
        <v>914</v>
      </c>
      <c r="J9" s="3343">
        <f>SUMIF(63:63,I9,64:64)-SUMIF(63:63,C9,64:64)+100</f>
        <v>100</v>
      </c>
      <c r="K9" s="3604"/>
      <c r="L9" s="3332"/>
      <c r="M9" s="3333"/>
      <c r="N9" s="3333"/>
      <c r="O9" s="3333"/>
      <c r="P9" s="4072" t="s">
        <v>3160</v>
      </c>
      <c r="Q9" s="3346" t="str">
        <f t="shared" ref="Q9:Q15" si="6">B9</f>
        <v>用途</v>
      </c>
      <c r="R9" s="3334" t="s">
        <v>3154</v>
      </c>
      <c r="S9" s="3335">
        <f t="shared" si="0"/>
        <v>100</v>
      </c>
      <c r="T9" s="3334" t="s">
        <v>3154</v>
      </c>
      <c r="U9" s="3335">
        <f t="shared" si="1"/>
        <v>100</v>
      </c>
      <c r="V9" s="3334" t="s">
        <v>3154</v>
      </c>
      <c r="W9" s="3335">
        <f t="shared" si="2"/>
        <v>100</v>
      </c>
      <c r="X9" s="3336"/>
      <c r="Y9" s="4073" t="s">
        <v>3161</v>
      </c>
      <c r="Z9" s="3347" t="str">
        <f t="shared" ref="Z9:Z15" si="7">Q9</f>
        <v>用途</v>
      </c>
      <c r="AA9" s="3337">
        <f t="shared" si="3"/>
        <v>1</v>
      </c>
      <c r="AB9" s="3337">
        <f t="shared" si="4"/>
        <v>1</v>
      </c>
      <c r="AC9" s="3337">
        <f t="shared" si="5"/>
        <v>1</v>
      </c>
    </row>
    <row r="10" spans="1:29" s="3356" customFormat="1" ht="27">
      <c r="A10" s="3611"/>
      <c r="B10" s="3612" t="s">
        <v>3162</v>
      </c>
      <c r="C10" s="3350" t="s">
        <v>3163</v>
      </c>
      <c r="D10" s="3351">
        <v>100</v>
      </c>
      <c r="E10" s="3352" t="s">
        <v>3164</v>
      </c>
      <c r="F10" s="3613">
        <f>SUMIF(65:65,E10,66:66)-SUMIF(65:65,C10,66:66)+100</f>
        <v>105</v>
      </c>
      <c r="G10" s="3352" t="s">
        <v>3164</v>
      </c>
      <c r="H10" s="3351">
        <f>SUMIF(65:65,G10,66:66)-SUMIF(65:65,C10,66:66)+100</f>
        <v>105</v>
      </c>
      <c r="I10" s="3352" t="s">
        <v>3164</v>
      </c>
      <c r="J10" s="3351">
        <f>SUMIF(65:65,I10,66:66)-SUMIF(65:65,C10,66:66)+100</f>
        <v>105</v>
      </c>
      <c r="K10" s="3614">
        <v>5</v>
      </c>
      <c r="L10" s="3354"/>
      <c r="M10" s="3355"/>
      <c r="N10" s="3355"/>
      <c r="O10" s="3355"/>
      <c r="P10" s="4072"/>
      <c r="Q10" s="3346" t="str">
        <f t="shared" si="6"/>
        <v>土地使用年限（年）</v>
      </c>
      <c r="R10" s="3334" t="s">
        <v>3154</v>
      </c>
      <c r="S10" s="3335">
        <f t="shared" si="0"/>
        <v>105</v>
      </c>
      <c r="T10" s="3334" t="s">
        <v>3154</v>
      </c>
      <c r="U10" s="3335">
        <f t="shared" si="1"/>
        <v>105</v>
      </c>
      <c r="V10" s="3334" t="s">
        <v>3154</v>
      </c>
      <c r="W10" s="3335">
        <f t="shared" si="2"/>
        <v>105</v>
      </c>
      <c r="X10" s="3336"/>
      <c r="Y10" s="4073"/>
      <c r="Z10" s="3347" t="str">
        <f t="shared" si="7"/>
        <v>土地使用年限（年）</v>
      </c>
      <c r="AA10" s="3337">
        <f t="shared" si="3"/>
        <v>0.95238095238095233</v>
      </c>
      <c r="AB10" s="3337">
        <f t="shared" si="4"/>
        <v>0.95238095238095233</v>
      </c>
      <c r="AC10" s="3337">
        <f t="shared" si="5"/>
        <v>0.95238095238095233</v>
      </c>
    </row>
    <row r="11" spans="1:29" ht="15">
      <c r="A11" s="3615"/>
      <c r="B11" s="3612" t="s">
        <v>3165</v>
      </c>
      <c r="C11" s="3616">
        <v>0.99</v>
      </c>
      <c r="D11" s="3351">
        <v>100</v>
      </c>
      <c r="E11" s="3617">
        <v>0.6</v>
      </c>
      <c r="F11" s="3613">
        <f>LOOKUP(E11,68:68,69:69)-LOOKUP(C11,68:68,69:69)+100</f>
        <v>100</v>
      </c>
      <c r="G11" s="3617">
        <v>0.6</v>
      </c>
      <c r="H11" s="3351">
        <f>LOOKUP(G11,68:68,69:69)-LOOKUP(C11,68:68,69:69)+100</f>
        <v>100</v>
      </c>
      <c r="I11" s="3617">
        <v>3.98</v>
      </c>
      <c r="J11" s="3351">
        <f>LOOKUP(I11,68:68,69:69)-LOOKUP(C11,68:68,69:69)+100</f>
        <v>85</v>
      </c>
      <c r="K11" s="3614">
        <v>5</v>
      </c>
      <c r="L11" s="3361"/>
      <c r="M11" s="3318"/>
      <c r="N11" s="3318"/>
      <c r="O11" s="3318"/>
      <c r="P11" s="4072"/>
      <c r="Q11" s="3346" t="str">
        <f t="shared" si="6"/>
        <v>容积率</v>
      </c>
      <c r="R11" s="3334" t="s">
        <v>3154</v>
      </c>
      <c r="S11" s="3335">
        <f t="shared" si="0"/>
        <v>100</v>
      </c>
      <c r="T11" s="3334" t="s">
        <v>3154</v>
      </c>
      <c r="U11" s="3335">
        <f t="shared" si="1"/>
        <v>100</v>
      </c>
      <c r="V11" s="3334" t="s">
        <v>3154</v>
      </c>
      <c r="W11" s="3335">
        <f t="shared" si="2"/>
        <v>85</v>
      </c>
      <c r="X11" s="3336"/>
      <c r="Y11" s="4073"/>
      <c r="Z11" s="3347" t="str">
        <f t="shared" si="7"/>
        <v>容积率</v>
      </c>
      <c r="AA11" s="3337">
        <f t="shared" si="3"/>
        <v>1</v>
      </c>
      <c r="AB11" s="3337">
        <f t="shared" si="4"/>
        <v>1</v>
      </c>
      <c r="AC11" s="3337">
        <f t="shared" si="5"/>
        <v>1.1764705882352942</v>
      </c>
    </row>
    <row r="12" spans="1:29" s="3338" customFormat="1" ht="15">
      <c r="A12" s="3618"/>
      <c r="B12" s="3619">
        <v>111</v>
      </c>
      <c r="C12" s="3359"/>
      <c r="D12" s="3363">
        <v>100</v>
      </c>
      <c r="E12" s="3359"/>
      <c r="F12" s="3613">
        <f>SUMIF(70:70,E12,71:71)-SUMIF(70:70,C12,71:71)+100</f>
        <v>100</v>
      </c>
      <c r="G12" s="3359"/>
      <c r="H12" s="3351">
        <f>SUMIF(70:70,G12,71:71)-SUMIF(70:70,C12,71:71)+100</f>
        <v>100</v>
      </c>
      <c r="I12" s="3359"/>
      <c r="J12" s="3351">
        <f>SUMIF(70:70,I12,71:71)-SUMIF(70:70,C12,71:71)+100</f>
        <v>100</v>
      </c>
      <c r="K12" s="3620"/>
      <c r="L12" s="3332"/>
      <c r="M12" s="3333"/>
      <c r="N12" s="3333"/>
      <c r="O12" s="3333"/>
      <c r="P12" s="4072"/>
      <c r="Q12" s="3346">
        <f t="shared" si="6"/>
        <v>111</v>
      </c>
      <c r="R12" s="3334" t="s">
        <v>3154</v>
      </c>
      <c r="S12" s="3335">
        <f t="shared" si="0"/>
        <v>100</v>
      </c>
      <c r="T12" s="3334" t="s">
        <v>3154</v>
      </c>
      <c r="U12" s="3335">
        <f t="shared" si="1"/>
        <v>100</v>
      </c>
      <c r="V12" s="3334" t="s">
        <v>3154</v>
      </c>
      <c r="W12" s="3335">
        <f t="shared" si="2"/>
        <v>100</v>
      </c>
      <c r="X12" s="3336"/>
      <c r="Y12" s="4073"/>
      <c r="Z12" s="3347">
        <f t="shared" si="7"/>
        <v>111</v>
      </c>
      <c r="AA12" s="3337">
        <f>D12/F12</f>
        <v>1</v>
      </c>
      <c r="AB12" s="3337">
        <f>D12/H12</f>
        <v>1</v>
      </c>
      <c r="AC12" s="3337">
        <f>D12/J12</f>
        <v>1</v>
      </c>
    </row>
    <row r="13" spans="1:29" ht="15">
      <c r="A13" s="3615"/>
      <c r="B13" s="3619">
        <v>111</v>
      </c>
      <c r="C13" s="3365"/>
      <c r="D13" s="3366">
        <v>100</v>
      </c>
      <c r="E13" s="3365"/>
      <c r="F13" s="3613">
        <f>SUMIF(72:72,E13,73:73)-SUMIF(72:72,C13,73:73)+100</f>
        <v>100</v>
      </c>
      <c r="G13" s="3365"/>
      <c r="H13" s="3366">
        <f>SUMIF(72:72,G13,73:73)-SUMIF(72:72,C13,73:73)+100</f>
        <v>100</v>
      </c>
      <c r="I13" s="3365"/>
      <c r="J13" s="3366">
        <f>SUMIF(72:72,I13,73:73)-SUMIF(72:72,C13,73:73)+100</f>
        <v>100</v>
      </c>
      <c r="K13" s="3620"/>
      <c r="L13" s="3367"/>
      <c r="M13" s="3318"/>
      <c r="N13" s="3318"/>
      <c r="O13" s="3318"/>
      <c r="P13" s="4072"/>
      <c r="Q13" s="3346">
        <f t="shared" si="6"/>
        <v>111</v>
      </c>
      <c r="R13" s="3334" t="s">
        <v>3154</v>
      </c>
      <c r="S13" s="3335">
        <f t="shared" si="0"/>
        <v>100</v>
      </c>
      <c r="T13" s="3334" t="s">
        <v>3154</v>
      </c>
      <c r="U13" s="3335">
        <f t="shared" si="1"/>
        <v>100</v>
      </c>
      <c r="V13" s="3334" t="s">
        <v>3154</v>
      </c>
      <c r="W13" s="3335">
        <f t="shared" si="2"/>
        <v>100</v>
      </c>
      <c r="X13" s="3336"/>
      <c r="Y13" s="4073"/>
      <c r="Z13" s="3347">
        <f t="shared" si="7"/>
        <v>111</v>
      </c>
      <c r="AA13" s="3337">
        <f t="shared" si="3"/>
        <v>1</v>
      </c>
      <c r="AB13" s="3337">
        <f t="shared" si="4"/>
        <v>1</v>
      </c>
      <c r="AC13" s="3337">
        <f t="shared" si="5"/>
        <v>1</v>
      </c>
    </row>
    <row r="14" spans="1:29" ht="15.75" thickBot="1">
      <c r="A14" s="3621"/>
      <c r="B14" s="3622">
        <v>111</v>
      </c>
      <c r="C14" s="3404"/>
      <c r="D14" s="3623">
        <v>100</v>
      </c>
      <c r="E14" s="3404"/>
      <c r="F14" s="3624">
        <f>SUMIF(74:74,E14,75:75)-SUMIF(74:74,C14,75:75)+100</f>
        <v>100</v>
      </c>
      <c r="G14" s="3404"/>
      <c r="H14" s="3623">
        <f>SUMIF(74:74,G14,75:75)-SUMIF(74:74,C14,75:75)+100</f>
        <v>100</v>
      </c>
      <c r="I14" s="3404"/>
      <c r="J14" s="3623">
        <f>SUMIF(74:74,I14,75:75)-SUMIF(74:74,C14,75:75)+100</f>
        <v>100</v>
      </c>
      <c r="K14" s="3620"/>
      <c r="L14" s="3367"/>
      <c r="M14" s="3318"/>
      <c r="N14" s="3318"/>
      <c r="O14" s="3318"/>
      <c r="P14" s="4072"/>
      <c r="Q14" s="3346">
        <f t="shared" si="6"/>
        <v>111</v>
      </c>
      <c r="R14" s="3334" t="s">
        <v>3154</v>
      </c>
      <c r="S14" s="3335">
        <f t="shared" si="0"/>
        <v>100</v>
      </c>
      <c r="T14" s="3334" t="s">
        <v>3154</v>
      </c>
      <c r="U14" s="3335">
        <f t="shared" si="1"/>
        <v>100</v>
      </c>
      <c r="V14" s="3334" t="s">
        <v>3154</v>
      </c>
      <c r="W14" s="3335">
        <f t="shared" si="2"/>
        <v>100</v>
      </c>
      <c r="X14" s="3336"/>
      <c r="Y14" s="4073"/>
      <c r="Z14" s="3347">
        <f t="shared" si="7"/>
        <v>111</v>
      </c>
      <c r="AA14" s="3337">
        <f t="shared" si="3"/>
        <v>1</v>
      </c>
      <c r="AB14" s="3337">
        <f t="shared" si="4"/>
        <v>1</v>
      </c>
      <c r="AC14" s="3337">
        <f t="shared" si="5"/>
        <v>1</v>
      </c>
    </row>
    <row r="15" spans="1:29" ht="99.75">
      <c r="A15" s="3625" t="s">
        <v>3166</v>
      </c>
      <c r="B15" s="3626" t="s">
        <v>3167</v>
      </c>
      <c r="C15" s="3627" t="str">
        <f>[1]估价对象房地状况!C3</f>
        <v>估价对象周边居住用地比例、居住小区规模和社区发展完善程度，综合评价居住社区成熟度一般</v>
      </c>
      <c r="D15" s="3370">
        <v>100</v>
      </c>
      <c r="E15" s="3371"/>
      <c r="F15" s="3370">
        <f>SUMIF(76:76,E16,77:77)-SUMIF(76:76,C16,77:77)+100</f>
        <v>105</v>
      </c>
      <c r="G15" s="3371"/>
      <c r="H15" s="3370">
        <f>SUMIF(76:76,G16,77:77)-SUMIF(76:76,C16,77:77)+100</f>
        <v>105</v>
      </c>
      <c r="I15" s="3371"/>
      <c r="J15" s="3370">
        <f>SUMIF(76:76,I16,77:77)-SUMIF(76:76,C16,77:77)+100</f>
        <v>105</v>
      </c>
      <c r="K15" s="3628">
        <v>5</v>
      </c>
      <c r="L15" s="3367"/>
      <c r="M15" s="3318"/>
      <c r="N15" s="3318"/>
      <c r="O15" s="3318"/>
      <c r="P15" s="4074" t="s">
        <v>3168</v>
      </c>
      <c r="Q15" s="3375" t="str">
        <f t="shared" si="6"/>
        <v>居住社区成熟度</v>
      </c>
      <c r="R15" s="3376" t="s">
        <v>3154</v>
      </c>
      <c r="S15" s="3377">
        <f t="shared" si="0"/>
        <v>105</v>
      </c>
      <c r="T15" s="3376" t="s">
        <v>3154</v>
      </c>
      <c r="U15" s="3377">
        <f t="shared" si="1"/>
        <v>105</v>
      </c>
      <c r="V15" s="3376" t="s">
        <v>3154</v>
      </c>
      <c r="W15" s="3377">
        <f t="shared" si="2"/>
        <v>105</v>
      </c>
      <c r="X15" s="3319"/>
      <c r="Y15" s="4076" t="s">
        <v>3168</v>
      </c>
      <c r="Z15" s="3378" t="str">
        <f t="shared" si="7"/>
        <v>居住社区成熟度</v>
      </c>
      <c r="AA15" s="3379">
        <f t="shared" si="3"/>
        <v>0.95238095238095233</v>
      </c>
      <c r="AB15" s="3379">
        <f t="shared" si="4"/>
        <v>0.95238095238095233</v>
      </c>
      <c r="AC15" s="3379">
        <f t="shared" si="5"/>
        <v>0.95238095238095233</v>
      </c>
    </row>
    <row r="16" spans="1:29" ht="15">
      <c r="A16" s="3615"/>
      <c r="B16" s="3629"/>
      <c r="C16" s="3381" t="s">
        <v>3023</v>
      </c>
      <c r="D16" s="3382"/>
      <c r="E16" s="3381" t="s">
        <v>3024</v>
      </c>
      <c r="F16" s="3382"/>
      <c r="G16" s="3381" t="s">
        <v>3024</v>
      </c>
      <c r="H16" s="3384"/>
      <c r="I16" s="3381" t="s">
        <v>3024</v>
      </c>
      <c r="J16" s="3382"/>
      <c r="K16" s="3630"/>
      <c r="L16" s="3367"/>
      <c r="M16" s="3318"/>
      <c r="N16" s="3318"/>
      <c r="O16" s="3318"/>
      <c r="P16" s="4075"/>
      <c r="Q16" s="3375"/>
      <c r="R16" s="3376"/>
      <c r="S16" s="3377"/>
      <c r="T16" s="3376"/>
      <c r="U16" s="3377"/>
      <c r="V16" s="3376"/>
      <c r="W16" s="3377"/>
      <c r="X16" s="3319"/>
      <c r="Y16" s="4077"/>
      <c r="Z16" s="3378"/>
      <c r="AA16" s="3379">
        <v>1</v>
      </c>
      <c r="AB16" s="3379">
        <v>1</v>
      </c>
      <c r="AC16" s="3379">
        <v>1</v>
      </c>
    </row>
    <row r="17" spans="1:29" ht="85.5">
      <c r="A17" s="3615"/>
      <c r="B17" s="3631" t="s">
        <v>3169</v>
      </c>
      <c r="C17" s="3387" t="str">
        <f>[1]估价对象房地状况!C6</f>
        <v>估价对象周边道路状况、公共交通通达情况、停车便捷程度，综合评价交通便捷度较好</v>
      </c>
      <c r="D17" s="3384">
        <v>100</v>
      </c>
      <c r="E17" s="3394"/>
      <c r="F17" s="3384">
        <f>SUMIF(78:78,E18,79:79)-SUMIF(78:78,C18,79:79)+100</f>
        <v>105</v>
      </c>
      <c r="G17" s="3394"/>
      <c r="H17" s="3388">
        <f>SUMIF(78:78,G18,79:79)-SUMIF(78:78,C18,79:79)+100</f>
        <v>105</v>
      </c>
      <c r="I17" s="3394"/>
      <c r="J17" s="3388">
        <f>SUMIF(78:78,I18,79:79)-SUMIF(78:78,C18,79:79)+100</f>
        <v>105</v>
      </c>
      <c r="K17" s="3628">
        <v>5</v>
      </c>
      <c r="L17" s="3367"/>
      <c r="M17" s="3318"/>
      <c r="N17" s="3318"/>
      <c r="O17" s="3318"/>
      <c r="P17" s="4075"/>
      <c r="Q17" s="3375" t="str">
        <f>B17</f>
        <v>交通便捷度</v>
      </c>
      <c r="R17" s="3376" t="s">
        <v>3154</v>
      </c>
      <c r="S17" s="3377">
        <f>F17</f>
        <v>105</v>
      </c>
      <c r="T17" s="3376" t="s">
        <v>3154</v>
      </c>
      <c r="U17" s="3377">
        <f>H17</f>
        <v>105</v>
      </c>
      <c r="V17" s="3376" t="s">
        <v>3154</v>
      </c>
      <c r="W17" s="3377">
        <f>J17</f>
        <v>105</v>
      </c>
      <c r="X17" s="3319"/>
      <c r="Y17" s="4077"/>
      <c r="Z17" s="3378" t="str">
        <f>Q17</f>
        <v>交通便捷度</v>
      </c>
      <c r="AA17" s="3379">
        <f t="shared" si="3"/>
        <v>0.95238095238095233</v>
      </c>
      <c r="AB17" s="3379">
        <f t="shared" si="4"/>
        <v>0.95238095238095233</v>
      </c>
      <c r="AC17" s="3379">
        <f t="shared" si="5"/>
        <v>0.95238095238095233</v>
      </c>
    </row>
    <row r="18" spans="1:29" ht="15">
      <c r="A18" s="3615"/>
      <c r="B18" s="3632"/>
      <c r="C18" s="3381" t="s">
        <v>3023</v>
      </c>
      <c r="D18" s="3384"/>
      <c r="E18" s="3381" t="s">
        <v>3024</v>
      </c>
      <c r="F18" s="3384"/>
      <c r="G18" s="3381" t="s">
        <v>3024</v>
      </c>
      <c r="H18" s="3382"/>
      <c r="I18" s="3381" t="s">
        <v>3024</v>
      </c>
      <c r="J18" s="3382"/>
      <c r="K18" s="3630"/>
      <c r="L18" s="3367"/>
      <c r="M18" s="3318"/>
      <c r="N18" s="3318"/>
      <c r="O18" s="3318"/>
      <c r="P18" s="4075"/>
      <c r="Q18" s="3375"/>
      <c r="R18" s="3376"/>
      <c r="S18" s="3377"/>
      <c r="T18" s="3376"/>
      <c r="U18" s="3377"/>
      <c r="V18" s="3376"/>
      <c r="W18" s="3377"/>
      <c r="X18" s="3319"/>
      <c r="Y18" s="4077"/>
      <c r="Z18" s="3378"/>
      <c r="AA18" s="3379">
        <v>1</v>
      </c>
      <c r="AB18" s="3379">
        <v>1</v>
      </c>
      <c r="AC18" s="3379">
        <v>1</v>
      </c>
    </row>
    <row r="19" spans="1:29" ht="42.75">
      <c r="A19" s="3615"/>
      <c r="B19" s="3631" t="s">
        <v>3170</v>
      </c>
      <c r="C19" s="3387" t="str">
        <f>[1]估价对象房地状况!C7</f>
        <v>估价对象所在区域公共配套设施齐备情况</v>
      </c>
      <c r="D19" s="3388">
        <v>100</v>
      </c>
      <c r="E19" s="3389"/>
      <c r="F19" s="3388">
        <f>SUMIF(80:80,E20,81:81)-SUMIF(80:80,C20,81:81)+100</f>
        <v>105</v>
      </c>
      <c r="G19" s="3389"/>
      <c r="H19" s="3384">
        <f>SUMIF(80:80,G20,81:81)-SUMIF(80:80,C20,81:81)+100</f>
        <v>105</v>
      </c>
      <c r="I19" s="3389"/>
      <c r="J19" s="3384">
        <f>SUMIF(80:80,I20,81:81)-SUMIF(80:80,C20,81:81)+100</f>
        <v>105</v>
      </c>
      <c r="K19" s="3628">
        <v>5</v>
      </c>
      <c r="L19" s="3367"/>
      <c r="M19" s="3318"/>
      <c r="N19" s="3318"/>
      <c r="O19" s="3318"/>
      <c r="P19" s="4075"/>
      <c r="Q19" s="3375" t="str">
        <f>B19</f>
        <v>公共配套设施</v>
      </c>
      <c r="R19" s="3376" t="s">
        <v>3154</v>
      </c>
      <c r="S19" s="3377">
        <f>F19</f>
        <v>105</v>
      </c>
      <c r="T19" s="3376" t="s">
        <v>3154</v>
      </c>
      <c r="U19" s="3377">
        <f>H19</f>
        <v>105</v>
      </c>
      <c r="V19" s="3376" t="s">
        <v>3154</v>
      </c>
      <c r="W19" s="3377">
        <f>J19</f>
        <v>105</v>
      </c>
      <c r="X19" s="3319"/>
      <c r="Y19" s="4077"/>
      <c r="Z19" s="3378" t="str">
        <f>Q19</f>
        <v>公共配套设施</v>
      </c>
      <c r="AA19" s="3379">
        <f t="shared" si="3"/>
        <v>0.95238095238095233</v>
      </c>
      <c r="AB19" s="3379">
        <f t="shared" si="4"/>
        <v>0.95238095238095233</v>
      </c>
      <c r="AC19" s="3379">
        <f t="shared" si="5"/>
        <v>0.95238095238095233</v>
      </c>
    </row>
    <row r="20" spans="1:29" ht="15">
      <c r="A20" s="3615"/>
      <c r="B20" s="3632"/>
      <c r="C20" s="3381" t="s">
        <v>3023</v>
      </c>
      <c r="D20" s="3382"/>
      <c r="E20" s="3381" t="s">
        <v>3024</v>
      </c>
      <c r="F20" s="3382"/>
      <c r="G20" s="3381" t="s">
        <v>3024</v>
      </c>
      <c r="H20" s="3382"/>
      <c r="I20" s="3381" t="s">
        <v>3024</v>
      </c>
      <c r="J20" s="3382"/>
      <c r="K20" s="3630"/>
      <c r="L20" s="3367"/>
      <c r="M20" s="3318"/>
      <c r="N20" s="3318"/>
      <c r="O20" s="3318"/>
      <c r="P20" s="4075"/>
      <c r="Q20" s="3375"/>
      <c r="R20" s="3376"/>
      <c r="S20" s="3377"/>
      <c r="T20" s="3376"/>
      <c r="U20" s="3377"/>
      <c r="V20" s="3376"/>
      <c r="W20" s="3377"/>
      <c r="X20" s="3319"/>
      <c r="Y20" s="4077"/>
      <c r="Z20" s="3378"/>
      <c r="AA20" s="3379">
        <v>1</v>
      </c>
      <c r="AB20" s="3379">
        <v>1</v>
      </c>
      <c r="AC20" s="3379">
        <v>1</v>
      </c>
    </row>
    <row r="21" spans="1:29" ht="28.5">
      <c r="A21" s="3615"/>
      <c r="B21" s="3633" t="s">
        <v>3171</v>
      </c>
      <c r="C21" s="3387" t="str">
        <f>[1]估价对象房地状况!C8</f>
        <v>估价对象所在区域基础设施水平</v>
      </c>
      <c r="D21" s="3384">
        <v>100</v>
      </c>
      <c r="E21" s="3391"/>
      <c r="F21" s="3388">
        <f>SUMIF(82:82,E22,83:83)-SUMIF(82:82,C22,83:83)+100</f>
        <v>100</v>
      </c>
      <c r="G21" s="3391"/>
      <c r="H21" s="3384">
        <f>SUMIF(82:82,G22,83:83)-SUMIF(82:82,C22,83:83)+100</f>
        <v>100</v>
      </c>
      <c r="I21" s="3391"/>
      <c r="J21" s="3384">
        <f>SUMIF(82:82,I22,83:83)-SUMIF(82:82,C22,83:83)+100</f>
        <v>100</v>
      </c>
      <c r="K21" s="3628">
        <v>2</v>
      </c>
      <c r="L21" s="3367"/>
      <c r="M21" s="3318"/>
      <c r="N21" s="3318"/>
      <c r="O21" s="3318"/>
      <c r="P21" s="4075"/>
      <c r="Q21" s="3375" t="str">
        <f>B21</f>
        <v>基础设施水平</v>
      </c>
      <c r="R21" s="3376" t="s">
        <v>3154</v>
      </c>
      <c r="S21" s="3377">
        <f>F21</f>
        <v>100</v>
      </c>
      <c r="T21" s="3376" t="s">
        <v>3154</v>
      </c>
      <c r="U21" s="3377">
        <f>H21</f>
        <v>100</v>
      </c>
      <c r="V21" s="3376" t="s">
        <v>3154</v>
      </c>
      <c r="W21" s="3377">
        <f>J21</f>
        <v>100</v>
      </c>
      <c r="X21" s="3319"/>
      <c r="Y21" s="4077"/>
      <c r="Z21" s="3378" t="str">
        <f>Q21</f>
        <v>基础设施水平</v>
      </c>
      <c r="AA21" s="3379">
        <f t="shared" ref="AA21" si="8">D21/F21</f>
        <v>1</v>
      </c>
      <c r="AB21" s="3379">
        <f t="shared" ref="AB21" si="9">D21/H21</f>
        <v>1</v>
      </c>
      <c r="AC21" s="3379">
        <f t="shared" ref="AC21" si="10">D21/J21</f>
        <v>1</v>
      </c>
    </row>
    <row r="22" spans="1:29" ht="15">
      <c r="A22" s="3615"/>
      <c r="B22" s="3633"/>
      <c r="C22" s="3396" t="s">
        <v>3027</v>
      </c>
      <c r="D22" s="3382"/>
      <c r="E22" s="3396" t="s">
        <v>3027</v>
      </c>
      <c r="F22" s="3382"/>
      <c r="G22" s="3396" t="s">
        <v>3027</v>
      </c>
      <c r="H22" s="3382"/>
      <c r="I22" s="3396" t="s">
        <v>3027</v>
      </c>
      <c r="J22" s="3382"/>
      <c r="K22" s="3634"/>
      <c r="L22" s="3367"/>
      <c r="M22" s="3318"/>
      <c r="N22" s="3318"/>
      <c r="O22" s="3318"/>
      <c r="P22" s="4075"/>
      <c r="Q22" s="3375"/>
      <c r="R22" s="3376"/>
      <c r="S22" s="3377"/>
      <c r="T22" s="3376"/>
      <c r="U22" s="3377"/>
      <c r="V22" s="3376"/>
      <c r="W22" s="3377"/>
      <c r="X22" s="3319"/>
      <c r="Y22" s="4077"/>
      <c r="Z22" s="3378"/>
      <c r="AA22" s="3379">
        <v>1</v>
      </c>
      <c r="AB22" s="3379">
        <v>1</v>
      </c>
      <c r="AC22" s="3379">
        <v>1</v>
      </c>
    </row>
    <row r="23" spans="1:29" ht="57">
      <c r="A23" s="3615"/>
      <c r="B23" s="3631" t="s">
        <v>3172</v>
      </c>
      <c r="C23" s="3387" t="str">
        <f>[1]估价对象房地状况!C9</f>
        <v>区域自然环境：；人文环境；综合评价环境状况一般</v>
      </c>
      <c r="D23" s="3384">
        <v>100</v>
      </c>
      <c r="E23" s="3394"/>
      <c r="F23" s="3384">
        <f>SUMIF(84:84,E24,85:85)-SUMIF(84:84,C24,85:85)+100</f>
        <v>100</v>
      </c>
      <c r="G23" s="3394"/>
      <c r="H23" s="3384">
        <f>SUMIF(84:84,G24,85:85)-SUMIF(84:84,C24,85:85)+100</f>
        <v>100</v>
      </c>
      <c r="I23" s="3394"/>
      <c r="J23" s="3384">
        <f>SUMIF(84:84,I24,85:85)-SUMIF(84:84,C24,85:85)+100</f>
        <v>100</v>
      </c>
      <c r="K23" s="3628">
        <v>3</v>
      </c>
      <c r="L23" s="3367"/>
      <c r="M23" s="3318"/>
      <c r="N23" s="3318"/>
      <c r="O23" s="3318"/>
      <c r="P23" s="4075"/>
      <c r="Q23" s="3375" t="str">
        <f>B23</f>
        <v>自然及人文环境</v>
      </c>
      <c r="R23" s="3376" t="s">
        <v>3154</v>
      </c>
      <c r="S23" s="3377">
        <f>F23</f>
        <v>100</v>
      </c>
      <c r="T23" s="3376" t="s">
        <v>3154</v>
      </c>
      <c r="U23" s="3377">
        <f>H23</f>
        <v>100</v>
      </c>
      <c r="V23" s="3376" t="s">
        <v>3154</v>
      </c>
      <c r="W23" s="3377">
        <f>J23</f>
        <v>100</v>
      </c>
      <c r="X23" s="3319"/>
      <c r="Y23" s="4077"/>
      <c r="Z23" s="3378" t="str">
        <f>Q23</f>
        <v>自然及人文环境</v>
      </c>
      <c r="AA23" s="3379">
        <f>D23/F23</f>
        <v>1</v>
      </c>
      <c r="AB23" s="3379">
        <f>D23/H23</f>
        <v>1</v>
      </c>
      <c r="AC23" s="3379">
        <f>D23/J23</f>
        <v>1</v>
      </c>
    </row>
    <row r="24" spans="1:29" ht="15">
      <c r="A24" s="3615"/>
      <c r="B24" s="3632"/>
      <c r="C24" s="3381" t="s">
        <v>3024</v>
      </c>
      <c r="D24" s="3382"/>
      <c r="E24" s="3381" t="s">
        <v>3024</v>
      </c>
      <c r="F24" s="3382"/>
      <c r="G24" s="3381" t="s">
        <v>3024</v>
      </c>
      <c r="H24" s="3382"/>
      <c r="I24" s="3381" t="s">
        <v>3024</v>
      </c>
      <c r="J24" s="3382"/>
      <c r="K24" s="3630"/>
      <c r="L24" s="3367"/>
      <c r="M24" s="3318"/>
      <c r="N24" s="3318"/>
      <c r="O24" s="3318"/>
      <c r="P24" s="4075"/>
      <c r="Q24" s="3375"/>
      <c r="R24" s="3376"/>
      <c r="S24" s="3377"/>
      <c r="T24" s="3376"/>
      <c r="U24" s="3377"/>
      <c r="V24" s="3376"/>
      <c r="W24" s="3377"/>
      <c r="X24" s="3319"/>
      <c r="Y24" s="4077"/>
      <c r="Z24" s="3378"/>
      <c r="AA24" s="3379">
        <v>1</v>
      </c>
      <c r="AB24" s="3379">
        <v>1</v>
      </c>
      <c r="AC24" s="3379">
        <v>1</v>
      </c>
    </row>
    <row r="25" spans="1:29" ht="15">
      <c r="A25" s="3615"/>
      <c r="B25" s="3612" t="s">
        <v>3173</v>
      </c>
      <c r="C25" s="3422"/>
      <c r="D25" s="3366">
        <v>100</v>
      </c>
      <c r="E25" s="3635"/>
      <c r="F25" s="3366">
        <f>SUMIF(86:86,E25,87:87)-SUMIF(86:86,C25,87:87)+100</f>
        <v>100</v>
      </c>
      <c r="G25" s="3635"/>
      <c r="H25" s="3366">
        <f>SUMIF(86:86,G25,87:87)-SUMIF(86:86,C25,87:87)+100</f>
        <v>100</v>
      </c>
      <c r="I25" s="3635"/>
      <c r="J25" s="3366">
        <f>SUMIF(86:86,I25,87:87)-SUMIF(86:86,C25,87:87)+100</f>
        <v>100</v>
      </c>
      <c r="K25" s="3614"/>
      <c r="L25" s="3367"/>
      <c r="M25" s="3318"/>
      <c r="N25" s="3318"/>
      <c r="O25" s="3318"/>
      <c r="P25" s="4075"/>
      <c r="Q25" s="3375" t="str">
        <f t="shared" ref="Q25:Q46" si="11">B25</f>
        <v>楼层-1</v>
      </c>
      <c r="R25" s="3376" t="s">
        <v>3154</v>
      </c>
      <c r="S25" s="3377">
        <f t="shared" ref="S25:S46" si="12">F25</f>
        <v>100</v>
      </c>
      <c r="T25" s="3376" t="s">
        <v>3154</v>
      </c>
      <c r="U25" s="3377">
        <f t="shared" ref="U25:U46" si="13">H25</f>
        <v>100</v>
      </c>
      <c r="V25" s="3376" t="s">
        <v>3154</v>
      </c>
      <c r="W25" s="3377">
        <f t="shared" ref="W25:W46" si="14">J25</f>
        <v>100</v>
      </c>
      <c r="X25" s="3319"/>
      <c r="Y25" s="4077"/>
      <c r="Z25" s="3378" t="str">
        <f>Q25</f>
        <v>楼层-1</v>
      </c>
      <c r="AA25" s="3379">
        <f t="shared" ref="AA25:AA46" si="15">D25/F25</f>
        <v>1</v>
      </c>
      <c r="AB25" s="3379">
        <f t="shared" ref="AB25:AB46" si="16">D25/H25</f>
        <v>1</v>
      </c>
      <c r="AC25" s="3379">
        <f t="shared" ref="AC25:AC46" si="17">D25/J25</f>
        <v>1</v>
      </c>
    </row>
    <row r="26" spans="1:29" ht="15">
      <c r="A26" s="3615"/>
      <c r="B26" s="3612" t="s">
        <v>3174</v>
      </c>
      <c r="C26" s="3422"/>
      <c r="D26" s="3366">
        <v>100</v>
      </c>
      <c r="E26" s="3635"/>
      <c r="F26" s="3366">
        <f>SUMIF(88:88,E26,89:89)-SUMIF(88:88,C26,89:89)+100</f>
        <v>100</v>
      </c>
      <c r="G26" s="3635"/>
      <c r="H26" s="3366">
        <f>SUMIF(88:88,G26,89:89)-SUMIF(88:88,C26,89:89)+100</f>
        <v>100</v>
      </c>
      <c r="I26" s="3635"/>
      <c r="J26" s="3366">
        <f>SUMIF(88:88,I26,89:89)-SUMIF(88:88,C26,89:89)+100</f>
        <v>100</v>
      </c>
      <c r="K26" s="3614"/>
      <c r="L26" s="3367"/>
      <c r="M26" s="3318"/>
      <c r="N26" s="3318"/>
      <c r="O26" s="3318"/>
      <c r="P26" s="4075"/>
      <c r="Q26" s="3375" t="str">
        <f t="shared" si="11"/>
        <v>朝向</v>
      </c>
      <c r="R26" s="3376" t="s">
        <v>3175</v>
      </c>
      <c r="S26" s="3377">
        <f t="shared" si="12"/>
        <v>100</v>
      </c>
      <c r="T26" s="3376" t="s">
        <v>3175</v>
      </c>
      <c r="U26" s="3377">
        <f t="shared" si="13"/>
        <v>100</v>
      </c>
      <c r="V26" s="3376" t="s">
        <v>3175</v>
      </c>
      <c r="W26" s="3377">
        <f t="shared" si="14"/>
        <v>100</v>
      </c>
      <c r="X26" s="3319"/>
      <c r="Y26" s="4077"/>
      <c r="Z26" s="3378" t="str">
        <f>Q26</f>
        <v>朝向</v>
      </c>
      <c r="AA26" s="3379">
        <f t="shared" si="15"/>
        <v>1</v>
      </c>
      <c r="AB26" s="3379">
        <f t="shared" si="16"/>
        <v>1</v>
      </c>
      <c r="AC26" s="3379">
        <f t="shared" si="17"/>
        <v>1</v>
      </c>
    </row>
    <row r="27" spans="1:29" s="3338" customFormat="1" ht="15">
      <c r="A27" s="3618"/>
      <c r="B27" s="3636">
        <v>111</v>
      </c>
      <c r="C27" s="3359"/>
      <c r="D27" s="3637">
        <v>100</v>
      </c>
      <c r="E27" s="3638"/>
      <c r="F27" s="3637">
        <f>SUMIF(90:90,E27,91:91)-SUMIF(90:90,C27,91:91)+100</f>
        <v>100</v>
      </c>
      <c r="G27" s="3638"/>
      <c r="H27" s="3637">
        <f>SUMIF(90:90,G27,91:91)-SUMIF(90:90,C27,91:91)+100</f>
        <v>100</v>
      </c>
      <c r="I27" s="3638"/>
      <c r="J27" s="3637">
        <f>SUMIF(90:90,I27,91:91)-SUMIF(90:90,C27,91:91)+100</f>
        <v>100</v>
      </c>
      <c r="K27" s="3620"/>
      <c r="L27" s="3332"/>
      <c r="M27" s="3333"/>
      <c r="N27" s="3333"/>
      <c r="O27" s="3333"/>
      <c r="P27" s="4075"/>
      <c r="Q27" s="3346">
        <f t="shared" si="11"/>
        <v>111</v>
      </c>
      <c r="R27" s="3334" t="s">
        <v>3154</v>
      </c>
      <c r="S27" s="3335">
        <f t="shared" si="12"/>
        <v>100</v>
      </c>
      <c r="T27" s="3334" t="s">
        <v>3154</v>
      </c>
      <c r="U27" s="3335">
        <f t="shared" si="13"/>
        <v>100</v>
      </c>
      <c r="V27" s="3334" t="s">
        <v>3154</v>
      </c>
      <c r="W27" s="3335">
        <f t="shared" si="14"/>
        <v>100</v>
      </c>
      <c r="X27" s="3336"/>
      <c r="Y27" s="4077"/>
      <c r="Z27" s="3347">
        <f>Q27</f>
        <v>111</v>
      </c>
      <c r="AA27" s="3379">
        <f t="shared" si="15"/>
        <v>1</v>
      </c>
      <c r="AB27" s="3379">
        <f t="shared" si="16"/>
        <v>1</v>
      </c>
      <c r="AC27" s="3379">
        <f t="shared" si="17"/>
        <v>1</v>
      </c>
    </row>
    <row r="28" spans="1:29" ht="15">
      <c r="A28" s="3615"/>
      <c r="B28" s="3636">
        <v>111</v>
      </c>
      <c r="C28" s="3365"/>
      <c r="D28" s="3366">
        <v>100</v>
      </c>
      <c r="E28" s="3365"/>
      <c r="F28" s="3366">
        <f>SUMIF(92:92,E28,93:93)-SUMIF(92:92,C28,93:93)+100</f>
        <v>100</v>
      </c>
      <c r="G28" s="3365"/>
      <c r="H28" s="3366">
        <f>SUMIF(92:92,G28,93:93)-SUMIF(92:92,C28,93:93)+100</f>
        <v>100</v>
      </c>
      <c r="I28" s="3365"/>
      <c r="J28" s="3366">
        <f>SUMIF(92:92,I28,93:93)-SUMIF(92:92,C28,93:93)+100</f>
        <v>100</v>
      </c>
      <c r="K28" s="3620"/>
      <c r="L28" s="3367"/>
      <c r="M28" s="3318"/>
      <c r="N28" s="3318"/>
      <c r="O28" s="3318"/>
      <c r="P28" s="4075"/>
      <c r="Q28" s="3375">
        <f t="shared" si="11"/>
        <v>111</v>
      </c>
      <c r="R28" s="3376" t="s">
        <v>3154</v>
      </c>
      <c r="S28" s="3377">
        <f t="shared" si="12"/>
        <v>100</v>
      </c>
      <c r="T28" s="3376" t="s">
        <v>3154</v>
      </c>
      <c r="U28" s="3377">
        <f t="shared" si="13"/>
        <v>100</v>
      </c>
      <c r="V28" s="3376" t="s">
        <v>3154</v>
      </c>
      <c r="W28" s="3377">
        <f t="shared" si="14"/>
        <v>100</v>
      </c>
      <c r="X28" s="3319"/>
      <c r="Y28" s="4077"/>
      <c r="Z28" s="3378">
        <f t="shared" ref="Z28:Z46" si="18">Q28</f>
        <v>111</v>
      </c>
      <c r="AA28" s="3379">
        <f t="shared" si="15"/>
        <v>1</v>
      </c>
      <c r="AB28" s="3379">
        <f t="shared" si="16"/>
        <v>1</v>
      </c>
      <c r="AC28" s="3379">
        <f t="shared" si="17"/>
        <v>1</v>
      </c>
    </row>
    <row r="29" spans="1:29" ht="15">
      <c r="A29" s="3615"/>
      <c r="B29" s="3636">
        <v>111</v>
      </c>
      <c r="C29" s="3365"/>
      <c r="D29" s="3366">
        <v>100</v>
      </c>
      <c r="E29" s="3365"/>
      <c r="F29" s="3366">
        <f>SUMIF(94:94,E29,95:95)-SUMIF(94:94,C29,95:95)+100</f>
        <v>100</v>
      </c>
      <c r="G29" s="3365"/>
      <c r="H29" s="3366">
        <f>SUMIF(94:94,G29,95:95)-SUMIF(94:94,C29,95:95)+100</f>
        <v>100</v>
      </c>
      <c r="I29" s="3365"/>
      <c r="J29" s="3366">
        <f>SUMIF(94:94,I29,95:95)-SUMIF(94:94,C29,95:95)+100</f>
        <v>100</v>
      </c>
      <c r="K29" s="3620"/>
      <c r="L29" s="3367"/>
      <c r="M29" s="3318"/>
      <c r="N29" s="3318"/>
      <c r="O29" s="3318"/>
      <c r="P29" s="4075"/>
      <c r="Q29" s="3375">
        <f t="shared" si="11"/>
        <v>111</v>
      </c>
      <c r="R29" s="3376" t="s">
        <v>3154</v>
      </c>
      <c r="S29" s="3377">
        <f t="shared" si="12"/>
        <v>100</v>
      </c>
      <c r="T29" s="3376" t="s">
        <v>3154</v>
      </c>
      <c r="U29" s="3377">
        <f t="shared" si="13"/>
        <v>100</v>
      </c>
      <c r="V29" s="3376" t="s">
        <v>3154</v>
      </c>
      <c r="W29" s="3377">
        <f t="shared" si="14"/>
        <v>100</v>
      </c>
      <c r="X29" s="3319"/>
      <c r="Y29" s="4077"/>
      <c r="Z29" s="3378">
        <f t="shared" si="18"/>
        <v>111</v>
      </c>
      <c r="AA29" s="3379">
        <f t="shared" si="15"/>
        <v>1</v>
      </c>
      <c r="AB29" s="3379">
        <f t="shared" si="16"/>
        <v>1</v>
      </c>
      <c r="AC29" s="3379">
        <f t="shared" si="17"/>
        <v>1</v>
      </c>
    </row>
    <row r="30" spans="1:29" ht="15">
      <c r="A30" s="3615"/>
      <c r="B30" s="3636">
        <v>111</v>
      </c>
      <c r="C30" s="3365"/>
      <c r="D30" s="3366">
        <v>100</v>
      </c>
      <c r="E30" s="3365"/>
      <c r="F30" s="3366">
        <f>SUMIF(96:96,E30,97:97)-SUMIF(96:96,C30,97:97)+100</f>
        <v>100</v>
      </c>
      <c r="G30" s="3365"/>
      <c r="H30" s="3366">
        <f>SUMIF(96:96,G30,97:97)-SUMIF(96:96,C30,97:97)+100</f>
        <v>100</v>
      </c>
      <c r="I30" s="3365"/>
      <c r="J30" s="3366">
        <f>SUMIF(96:96,I30,97:97)-SUMIF(96:96,C30,97:97)+100</f>
        <v>100</v>
      </c>
      <c r="K30" s="3620"/>
      <c r="L30" s="3367"/>
      <c r="M30" s="3318"/>
      <c r="N30" s="3318"/>
      <c r="O30" s="3318"/>
      <c r="P30" s="4075"/>
      <c r="Q30" s="3375">
        <f t="shared" si="11"/>
        <v>111</v>
      </c>
      <c r="R30" s="3376" t="s">
        <v>3154</v>
      </c>
      <c r="S30" s="3377">
        <f t="shared" si="12"/>
        <v>100</v>
      </c>
      <c r="T30" s="3376" t="s">
        <v>3154</v>
      </c>
      <c r="U30" s="3377">
        <f t="shared" si="13"/>
        <v>100</v>
      </c>
      <c r="V30" s="3376" t="s">
        <v>3154</v>
      </c>
      <c r="W30" s="3377">
        <f t="shared" si="14"/>
        <v>100</v>
      </c>
      <c r="X30" s="3319"/>
      <c r="Y30" s="4077"/>
      <c r="Z30" s="3378">
        <f t="shared" si="18"/>
        <v>111</v>
      </c>
      <c r="AA30" s="3379">
        <f t="shared" si="15"/>
        <v>1</v>
      </c>
      <c r="AB30" s="3379">
        <f t="shared" si="16"/>
        <v>1</v>
      </c>
      <c r="AC30" s="3379">
        <f t="shared" si="17"/>
        <v>1</v>
      </c>
    </row>
    <row r="31" spans="1:29" ht="15.75" thickBot="1">
      <c r="A31" s="3621"/>
      <c r="B31" s="3636">
        <v>111</v>
      </c>
      <c r="C31" s="3404"/>
      <c r="D31" s="3623">
        <v>100</v>
      </c>
      <c r="E31" s="3404"/>
      <c r="F31" s="3623">
        <f>SUMIF(98:98,E31,99:99)-SUMIF(98:98,C31,99:99)+100</f>
        <v>100</v>
      </c>
      <c r="G31" s="3404"/>
      <c r="H31" s="3623">
        <f>SUMIF(98:98,G31,99:99)-SUMIF(98:98,C31,99:99)+100</f>
        <v>100</v>
      </c>
      <c r="I31" s="3404"/>
      <c r="J31" s="3623">
        <f>SUMIF(98:98,I31,99:99)-SUMIF(98:98,C31,99:99)+100</f>
        <v>100</v>
      </c>
      <c r="K31" s="3620"/>
      <c r="L31" s="3367"/>
      <c r="M31" s="3318"/>
      <c r="N31" s="3318"/>
      <c r="O31" s="3318"/>
      <c r="P31" s="4075"/>
      <c r="Q31" s="3375">
        <f t="shared" si="11"/>
        <v>111</v>
      </c>
      <c r="R31" s="3376" t="s">
        <v>3154</v>
      </c>
      <c r="S31" s="3377">
        <f t="shared" si="12"/>
        <v>100</v>
      </c>
      <c r="T31" s="3376" t="s">
        <v>3154</v>
      </c>
      <c r="U31" s="3377">
        <f t="shared" si="13"/>
        <v>100</v>
      </c>
      <c r="V31" s="3376" t="s">
        <v>3154</v>
      </c>
      <c r="W31" s="3377">
        <f t="shared" si="14"/>
        <v>100</v>
      </c>
      <c r="X31" s="3319"/>
      <c r="Y31" s="4077"/>
      <c r="Z31" s="3378">
        <f t="shared" si="18"/>
        <v>111</v>
      </c>
      <c r="AA31" s="3379">
        <f t="shared" si="15"/>
        <v>1</v>
      </c>
      <c r="AB31" s="3379">
        <f t="shared" si="16"/>
        <v>1</v>
      </c>
      <c r="AC31" s="3379">
        <f t="shared" si="17"/>
        <v>1</v>
      </c>
    </row>
    <row r="32" spans="1:29" ht="15">
      <c r="A32" s="3625" t="s">
        <v>3176</v>
      </c>
      <c r="B32" s="3607" t="s">
        <v>3177</v>
      </c>
      <c r="C32" s="3639" t="s">
        <v>3178</v>
      </c>
      <c r="D32" s="3640">
        <v>100</v>
      </c>
      <c r="E32" s="3641" t="s">
        <v>3178</v>
      </c>
      <c r="F32" s="3400">
        <f>SUMIF(100:100,E32,101:101)-SUMIF(100:100,C32,101:101)+100</f>
        <v>100</v>
      </c>
      <c r="G32" s="3641" t="s">
        <v>3178</v>
      </c>
      <c r="H32" s="3640">
        <f>SUMIF(100:100,G32,101:101)-SUMIF(100:100,C32,101:101)+100</f>
        <v>100</v>
      </c>
      <c r="I32" s="3641" t="s">
        <v>3178</v>
      </c>
      <c r="J32" s="3366">
        <f>SUMIF(100:100,I32,101:101)-SUMIF(100:100,C32,101:101)+100</f>
        <v>100</v>
      </c>
      <c r="K32" s="3614">
        <v>2</v>
      </c>
      <c r="L32" s="3367"/>
      <c r="M32" s="3318"/>
      <c r="N32" s="3318"/>
      <c r="O32" s="3318"/>
      <c r="P32" s="4065" t="s">
        <v>3179</v>
      </c>
      <c r="Q32" s="3375" t="str">
        <f t="shared" si="11"/>
        <v>建筑类型</v>
      </c>
      <c r="R32" s="3376" t="s">
        <v>3154</v>
      </c>
      <c r="S32" s="3377">
        <f t="shared" si="12"/>
        <v>100</v>
      </c>
      <c r="T32" s="3376" t="s">
        <v>3154</v>
      </c>
      <c r="U32" s="3377">
        <f t="shared" si="13"/>
        <v>100</v>
      </c>
      <c r="V32" s="3376" t="s">
        <v>3154</v>
      </c>
      <c r="W32" s="3377">
        <f t="shared" si="14"/>
        <v>100</v>
      </c>
      <c r="X32" s="3319"/>
      <c r="Y32" s="4068" t="s">
        <v>3179</v>
      </c>
      <c r="Z32" s="3378" t="str">
        <f t="shared" si="18"/>
        <v>建筑类型</v>
      </c>
      <c r="AA32" s="3379">
        <f t="shared" si="15"/>
        <v>1</v>
      </c>
      <c r="AB32" s="3379">
        <f t="shared" si="16"/>
        <v>1</v>
      </c>
      <c r="AC32" s="3379">
        <f t="shared" si="17"/>
        <v>1</v>
      </c>
    </row>
    <row r="33" spans="1:29" s="3420" customFormat="1" ht="15">
      <c r="A33" s="3642"/>
      <c r="B33" s="3612" t="s">
        <v>3180</v>
      </c>
      <c r="C33" s="3423">
        <v>237</v>
      </c>
      <c r="D33" s="3351">
        <v>100</v>
      </c>
      <c r="E33" s="3617">
        <v>215.56</v>
      </c>
      <c r="F33" s="3613">
        <f>LOOKUP(E33,103:103,104:104)-LOOKUP(C33,103:103,104:104)+100</f>
        <v>100</v>
      </c>
      <c r="G33" s="3617">
        <v>261.5</v>
      </c>
      <c r="H33" s="3351">
        <f>LOOKUP(G33,103:103,104:104)-LOOKUP(C33,103:103,104:104)+100</f>
        <v>100</v>
      </c>
      <c r="I33" s="3617">
        <v>290</v>
      </c>
      <c r="J33" s="3351">
        <f>LOOKUP(I33,103:103,104:104)-LOOKUP(C33,103:103,104:104)+100</f>
        <v>100</v>
      </c>
      <c r="K33" s="3620"/>
      <c r="L33" s="3361"/>
      <c r="M33" s="3414"/>
      <c r="N33" s="3414"/>
      <c r="O33" s="3414"/>
      <c r="P33" s="4066"/>
      <c r="Q33" s="3415" t="str">
        <f t="shared" si="11"/>
        <v>项目建筑规模</v>
      </c>
      <c r="R33" s="3416" t="s">
        <v>3154</v>
      </c>
      <c r="S33" s="3417">
        <f t="shared" si="12"/>
        <v>100</v>
      </c>
      <c r="T33" s="3416" t="s">
        <v>3154</v>
      </c>
      <c r="U33" s="3417">
        <f t="shared" si="13"/>
        <v>100</v>
      </c>
      <c r="V33" s="3416" t="s">
        <v>3154</v>
      </c>
      <c r="W33" s="3417">
        <f t="shared" si="14"/>
        <v>100</v>
      </c>
      <c r="X33" s="3418"/>
      <c r="Y33" s="4068"/>
      <c r="Z33" s="3419" t="str">
        <f t="shared" si="18"/>
        <v>项目建筑规模</v>
      </c>
      <c r="AA33" s="3379">
        <f t="shared" si="15"/>
        <v>1</v>
      </c>
      <c r="AB33" s="3379">
        <f t="shared" si="16"/>
        <v>1</v>
      </c>
      <c r="AC33" s="3379">
        <f t="shared" si="17"/>
        <v>1</v>
      </c>
    </row>
    <row r="34" spans="1:29" ht="15">
      <c r="A34" s="3643"/>
      <c r="B34" s="3612" t="s">
        <v>3181</v>
      </c>
      <c r="C34" s="3644" t="s">
        <v>3182</v>
      </c>
      <c r="D34" s="3366">
        <v>100</v>
      </c>
      <c r="E34" s="3644" t="s">
        <v>3182</v>
      </c>
      <c r="F34" s="3400">
        <f>SUMIF(105:105,E34,106:106)-SUMIF(105:105,C34,106:106)+100</f>
        <v>100</v>
      </c>
      <c r="G34" s="3644" t="s">
        <v>3182</v>
      </c>
      <c r="H34" s="3366">
        <f>SUMIF(105:105,G34,106:106)-SUMIF(105:105,C34,106:106)+100</f>
        <v>100</v>
      </c>
      <c r="I34" s="3644" t="s">
        <v>3182</v>
      </c>
      <c r="J34" s="3366">
        <f>SUMIF(105:105,I34,106:106)-SUMIF(105:105,C34,106:106)+100</f>
        <v>100</v>
      </c>
      <c r="K34" s="3614"/>
      <c r="L34" s="3367"/>
      <c r="M34" s="3318"/>
      <c r="N34" s="3318"/>
      <c r="O34" s="3318"/>
      <c r="P34" s="4066"/>
      <c r="Q34" s="3375" t="str">
        <f t="shared" si="11"/>
        <v>建筑结构</v>
      </c>
      <c r="R34" s="3376" t="s">
        <v>3154</v>
      </c>
      <c r="S34" s="3377">
        <f t="shared" si="12"/>
        <v>100</v>
      </c>
      <c r="T34" s="3376" t="s">
        <v>3154</v>
      </c>
      <c r="U34" s="3377">
        <f t="shared" si="13"/>
        <v>100</v>
      </c>
      <c r="V34" s="3376" t="s">
        <v>3154</v>
      </c>
      <c r="W34" s="3377">
        <f t="shared" si="14"/>
        <v>100</v>
      </c>
      <c r="X34" s="3319"/>
      <c r="Y34" s="4068"/>
      <c r="Z34" s="3378" t="str">
        <f t="shared" si="18"/>
        <v>建筑结构</v>
      </c>
      <c r="AA34" s="3379">
        <f t="shared" si="15"/>
        <v>1</v>
      </c>
      <c r="AB34" s="3379">
        <f t="shared" si="16"/>
        <v>1</v>
      </c>
      <c r="AC34" s="3379">
        <f t="shared" si="17"/>
        <v>1</v>
      </c>
    </row>
    <row r="35" spans="1:29" ht="15">
      <c r="A35" s="3643"/>
      <c r="B35" s="3612" t="s">
        <v>3183</v>
      </c>
      <c r="C35" s="3645" t="s">
        <v>3184</v>
      </c>
      <c r="D35" s="3366">
        <v>100</v>
      </c>
      <c r="E35" s="3645" t="s">
        <v>3184</v>
      </c>
      <c r="F35" s="3400">
        <f>SUMIF(107:107,E35,108:108)-SUMIF(107:107,C35,108:108)+100</f>
        <v>100</v>
      </c>
      <c r="G35" s="3645" t="s">
        <v>3184</v>
      </c>
      <c r="H35" s="3366">
        <f>SUMIF(107:107,G35,108:108)-SUMIF(107:107,C35,108:108)+100</f>
        <v>100</v>
      </c>
      <c r="I35" s="3645" t="s">
        <v>3184</v>
      </c>
      <c r="J35" s="3366">
        <f>SUMIF(107:107,I35,108:108)-SUMIF(107:107,C35,108:108)+100</f>
        <v>100</v>
      </c>
      <c r="K35" s="3614"/>
      <c r="L35" s="3367"/>
      <c r="M35" s="3318"/>
      <c r="N35" s="3318"/>
      <c r="O35" s="3318"/>
      <c r="P35" s="4066"/>
      <c r="Q35" s="3375" t="str">
        <f t="shared" si="11"/>
        <v>建筑品质</v>
      </c>
      <c r="R35" s="3376" t="s">
        <v>3154</v>
      </c>
      <c r="S35" s="3377">
        <f t="shared" si="12"/>
        <v>100</v>
      </c>
      <c r="T35" s="3376" t="s">
        <v>3154</v>
      </c>
      <c r="U35" s="3377">
        <f t="shared" si="13"/>
        <v>100</v>
      </c>
      <c r="V35" s="3376" t="s">
        <v>3154</v>
      </c>
      <c r="W35" s="3377">
        <f t="shared" si="14"/>
        <v>100</v>
      </c>
      <c r="X35" s="3319"/>
      <c r="Y35" s="4068"/>
      <c r="Z35" s="3378" t="str">
        <f t="shared" si="18"/>
        <v>建筑品质</v>
      </c>
      <c r="AA35" s="3379">
        <f t="shared" si="15"/>
        <v>1</v>
      </c>
      <c r="AB35" s="3379">
        <f t="shared" si="16"/>
        <v>1</v>
      </c>
      <c r="AC35" s="3379">
        <f t="shared" si="17"/>
        <v>1</v>
      </c>
    </row>
    <row r="36" spans="1:29" ht="15">
      <c r="A36" s="3643"/>
      <c r="B36" s="3612" t="s">
        <v>3185</v>
      </c>
      <c r="C36" s="3645" t="s">
        <v>3186</v>
      </c>
      <c r="D36" s="3366">
        <v>100</v>
      </c>
      <c r="E36" s="3645" t="s">
        <v>3186</v>
      </c>
      <c r="F36" s="3400">
        <f>SUMIF(109:109,E36,110:110)-SUMIF(109:109,C36,110:110)+100</f>
        <v>100</v>
      </c>
      <c r="G36" s="3645" t="s">
        <v>3186</v>
      </c>
      <c r="H36" s="3366">
        <f>SUMIF(109:109,G36,110:110)-SUMIF(109:109,C36,110:110)+100</f>
        <v>100</v>
      </c>
      <c r="I36" s="3645" t="s">
        <v>3186</v>
      </c>
      <c r="J36" s="3366">
        <f>SUMIF(109:109,I36,110:110)-SUMIF(109:109,C36,110:110)+100</f>
        <v>100</v>
      </c>
      <c r="K36" s="3614"/>
      <c r="L36" s="3367"/>
      <c r="M36" s="3318"/>
      <c r="N36" s="3318"/>
      <c r="O36" s="3318"/>
      <c r="P36" s="4066"/>
      <c r="Q36" s="3375" t="str">
        <f t="shared" si="11"/>
        <v>公共部分装修</v>
      </c>
      <c r="R36" s="3376" t="s">
        <v>3154</v>
      </c>
      <c r="S36" s="3377">
        <f t="shared" si="12"/>
        <v>100</v>
      </c>
      <c r="T36" s="3376" t="s">
        <v>3154</v>
      </c>
      <c r="U36" s="3377">
        <f t="shared" si="13"/>
        <v>100</v>
      </c>
      <c r="V36" s="3376" t="s">
        <v>3154</v>
      </c>
      <c r="W36" s="3377">
        <f t="shared" si="14"/>
        <v>100</v>
      </c>
      <c r="X36" s="3319"/>
      <c r="Y36" s="4068"/>
      <c r="Z36" s="3378" t="str">
        <f t="shared" si="18"/>
        <v>公共部分装修</v>
      </c>
      <c r="AA36" s="3379">
        <f t="shared" si="15"/>
        <v>1</v>
      </c>
      <c r="AB36" s="3379">
        <f t="shared" si="16"/>
        <v>1</v>
      </c>
      <c r="AC36" s="3379">
        <f t="shared" si="17"/>
        <v>1</v>
      </c>
    </row>
    <row r="37" spans="1:29" s="3338" customFormat="1" ht="15">
      <c r="A37" s="3646"/>
      <c r="B37" s="3612" t="s">
        <v>3187</v>
      </c>
      <c r="C37" s="3424">
        <v>1</v>
      </c>
      <c r="D37" s="3351">
        <v>100</v>
      </c>
      <c r="E37" s="3424">
        <v>0.8</v>
      </c>
      <c r="F37" s="3613">
        <f>LOOKUP(E37,112:112,113:113)-LOOKUP(C37,112:112,113:113)+100</f>
        <v>98</v>
      </c>
      <c r="G37" s="3424">
        <v>0.8</v>
      </c>
      <c r="H37" s="3351">
        <f>LOOKUP(G37,112:112,113:113)-LOOKUP(C37,112:112,113:113)+100</f>
        <v>98</v>
      </c>
      <c r="I37" s="3424">
        <v>0.88</v>
      </c>
      <c r="J37" s="3351">
        <f>LOOKUP(I37,112:112,113:113)-LOOKUP(C37,112:112,113:113)+100</f>
        <v>98</v>
      </c>
      <c r="K37" s="3614">
        <v>2</v>
      </c>
      <c r="L37" s="3332"/>
      <c r="M37" s="3333"/>
      <c r="N37" s="3333"/>
      <c r="O37" s="3333"/>
      <c r="P37" s="4066"/>
      <c r="Q37" s="3346" t="str">
        <f t="shared" si="11"/>
        <v>成新度</v>
      </c>
      <c r="R37" s="3334" t="s">
        <v>3175</v>
      </c>
      <c r="S37" s="3335">
        <f t="shared" si="12"/>
        <v>98</v>
      </c>
      <c r="T37" s="3334" t="s">
        <v>3175</v>
      </c>
      <c r="U37" s="3335">
        <f t="shared" si="13"/>
        <v>98</v>
      </c>
      <c r="V37" s="3334" t="s">
        <v>3175</v>
      </c>
      <c r="W37" s="3335">
        <f t="shared" si="14"/>
        <v>98</v>
      </c>
      <c r="X37" s="3336"/>
      <c r="Y37" s="4068"/>
      <c r="Z37" s="3347" t="str">
        <f t="shared" si="18"/>
        <v>成新度</v>
      </c>
      <c r="AA37" s="3337">
        <f t="shared" si="15"/>
        <v>1.0204081632653061</v>
      </c>
      <c r="AB37" s="3337">
        <f t="shared" si="16"/>
        <v>1.0204081632653061</v>
      </c>
      <c r="AC37" s="3337">
        <f t="shared" si="17"/>
        <v>1.0204081632653061</v>
      </c>
    </row>
    <row r="38" spans="1:29" ht="15">
      <c r="A38" s="3643"/>
      <c r="B38" s="3612" t="s">
        <v>3188</v>
      </c>
      <c r="C38" s="3645" t="s">
        <v>3189</v>
      </c>
      <c r="D38" s="3366">
        <v>100</v>
      </c>
      <c r="E38" s="3645" t="s">
        <v>3189</v>
      </c>
      <c r="F38" s="3400">
        <f>SUMIF(114:114,E38,115:115)-SUMIF(114:114,C38,115:115)+100</f>
        <v>100</v>
      </c>
      <c r="G38" s="3645" t="s">
        <v>3189</v>
      </c>
      <c r="H38" s="3366">
        <f>SUMIF(114:114,G38,115:115)-SUMIF(114:114,C38,115:115)+100</f>
        <v>100</v>
      </c>
      <c r="I38" s="3645" t="s">
        <v>3189</v>
      </c>
      <c r="J38" s="3366">
        <f>SUMIF(114:114,I38,115:115)-SUMIF(114:114,C38,115:115)+100</f>
        <v>100</v>
      </c>
      <c r="K38" s="3614"/>
      <c r="L38" s="3367"/>
      <c r="M38" s="3318"/>
      <c r="N38" s="3318"/>
      <c r="O38" s="3318"/>
      <c r="P38" s="4066" t="s">
        <v>3078</v>
      </c>
      <c r="Q38" s="3375" t="str">
        <f t="shared" si="11"/>
        <v>物业管理</v>
      </c>
      <c r="R38" s="3376" t="s">
        <v>3175</v>
      </c>
      <c r="S38" s="3377">
        <f t="shared" si="12"/>
        <v>100</v>
      </c>
      <c r="T38" s="3376" t="s">
        <v>3175</v>
      </c>
      <c r="U38" s="3377">
        <f t="shared" si="13"/>
        <v>100</v>
      </c>
      <c r="V38" s="3376" t="s">
        <v>3175</v>
      </c>
      <c r="W38" s="3377">
        <f t="shared" si="14"/>
        <v>100</v>
      </c>
      <c r="X38" s="3319"/>
      <c r="Y38" s="4068" t="s">
        <v>3190</v>
      </c>
      <c r="Z38" s="3378" t="str">
        <f t="shared" si="18"/>
        <v>物业管理</v>
      </c>
      <c r="AA38" s="3379">
        <f t="shared" si="15"/>
        <v>1</v>
      </c>
      <c r="AB38" s="3379">
        <f t="shared" si="16"/>
        <v>1</v>
      </c>
      <c r="AC38" s="3379">
        <f t="shared" si="17"/>
        <v>1</v>
      </c>
    </row>
    <row r="39" spans="1:29" ht="15">
      <c r="A39" s="3643"/>
      <c r="B39" s="3612" t="s">
        <v>3191</v>
      </c>
      <c r="C39" s="3645" t="s">
        <v>3027</v>
      </c>
      <c r="D39" s="3366">
        <v>100</v>
      </c>
      <c r="E39" s="3645" t="s">
        <v>3027</v>
      </c>
      <c r="F39" s="3400">
        <f>SUMIF(116:116,E39,117:117)-SUMIF(116:116,C39,117:117)+100</f>
        <v>100</v>
      </c>
      <c r="G39" s="3645" t="s">
        <v>3027</v>
      </c>
      <c r="H39" s="3366">
        <f>SUMIF(116:116,G39,117:117)-SUMIF(116:116,C39,117:117)+100</f>
        <v>100</v>
      </c>
      <c r="I39" s="3645" t="s">
        <v>3027</v>
      </c>
      <c r="J39" s="3366">
        <f>SUMIF(116:116,I39,117:117)-SUMIF(116:116,C39,117:117)+100</f>
        <v>100</v>
      </c>
      <c r="K39" s="3614"/>
      <c r="L39" s="3367"/>
      <c r="M39" s="3318"/>
      <c r="N39" s="3318"/>
      <c r="O39" s="3318"/>
      <c r="P39" s="4066"/>
      <c r="Q39" s="3375" t="str">
        <f t="shared" si="11"/>
        <v>市政基础设施</v>
      </c>
      <c r="R39" s="3376" t="s">
        <v>3154</v>
      </c>
      <c r="S39" s="3377">
        <f t="shared" si="12"/>
        <v>100</v>
      </c>
      <c r="T39" s="3376" t="s">
        <v>3154</v>
      </c>
      <c r="U39" s="3377">
        <f t="shared" si="13"/>
        <v>100</v>
      </c>
      <c r="V39" s="3376" t="s">
        <v>3154</v>
      </c>
      <c r="W39" s="3377">
        <f t="shared" si="14"/>
        <v>100</v>
      </c>
      <c r="X39" s="3319"/>
      <c r="Y39" s="4068"/>
      <c r="Z39" s="3378" t="str">
        <f t="shared" si="18"/>
        <v>市政基础设施</v>
      </c>
      <c r="AA39" s="3379">
        <f t="shared" si="15"/>
        <v>1</v>
      </c>
      <c r="AB39" s="3379">
        <f t="shared" si="16"/>
        <v>1</v>
      </c>
      <c r="AC39" s="3379">
        <f t="shared" si="17"/>
        <v>1</v>
      </c>
    </row>
    <row r="40" spans="1:29" ht="15">
      <c r="A40" s="3643"/>
      <c r="B40" s="3612" t="s">
        <v>3192</v>
      </c>
      <c r="C40" s="3645"/>
      <c r="D40" s="3366">
        <v>100</v>
      </c>
      <c r="E40" s="3645"/>
      <c r="F40" s="3400">
        <f>SUMIF(118:118,E40,119:119)-SUMIF(118:118,C40,119:119)+100</f>
        <v>100</v>
      </c>
      <c r="G40" s="3645"/>
      <c r="H40" s="3366">
        <f>SUMIF(118:118,G40,119:119)-SUMIF(118:118,C40,119:119)+100</f>
        <v>100</v>
      </c>
      <c r="I40" s="3645"/>
      <c r="J40" s="3366">
        <f>SUMIF(118:118,I40,119:119)-SUMIF(118:118,C40,119:119)+100</f>
        <v>100</v>
      </c>
      <c r="K40" s="3614"/>
      <c r="L40" s="3367"/>
      <c r="M40" s="3318"/>
      <c r="N40" s="3318"/>
      <c r="O40" s="3318"/>
      <c r="P40" s="4066"/>
      <c r="Q40" s="3375" t="str">
        <f t="shared" si="11"/>
        <v>房型</v>
      </c>
      <c r="R40" s="3376" t="s">
        <v>3154</v>
      </c>
      <c r="S40" s="3377">
        <f t="shared" si="12"/>
        <v>100</v>
      </c>
      <c r="T40" s="3376" t="s">
        <v>3154</v>
      </c>
      <c r="U40" s="3377">
        <f t="shared" si="13"/>
        <v>100</v>
      </c>
      <c r="V40" s="3376" t="s">
        <v>3154</v>
      </c>
      <c r="W40" s="3377">
        <f t="shared" si="14"/>
        <v>100</v>
      </c>
      <c r="X40" s="3319"/>
      <c r="Y40" s="4068"/>
      <c r="Z40" s="3378" t="str">
        <f t="shared" si="18"/>
        <v>房型</v>
      </c>
      <c r="AA40" s="3379">
        <f t="shared" si="15"/>
        <v>1</v>
      </c>
      <c r="AB40" s="3379">
        <f t="shared" si="16"/>
        <v>1</v>
      </c>
      <c r="AC40" s="3379">
        <f t="shared" si="17"/>
        <v>1</v>
      </c>
    </row>
    <row r="41" spans="1:29" s="3420" customFormat="1" ht="28.5">
      <c r="A41" s="3642"/>
      <c r="B41" s="3612" t="s">
        <v>3193</v>
      </c>
      <c r="C41" s="3423">
        <v>237</v>
      </c>
      <c r="D41" s="3351">
        <v>100</v>
      </c>
      <c r="E41" s="3423">
        <v>215.56</v>
      </c>
      <c r="F41" s="3613">
        <f>SUMIF(120:120,E41,121:121)-SUMIF(120:120,C41,121:121)+100</f>
        <v>100</v>
      </c>
      <c r="G41" s="3423">
        <v>261.5</v>
      </c>
      <c r="H41" s="3351">
        <f>SUMIF(120:120,G41,121:121)-SUMIF(120:120,C41,121:121)+100</f>
        <v>100</v>
      </c>
      <c r="I41" s="3423">
        <v>290</v>
      </c>
      <c r="J41" s="3366">
        <f>SUMIF(120:120,I41,121:121)-SUMIF(120:120,C41,121:121)+100</f>
        <v>100</v>
      </c>
      <c r="K41" s="3620"/>
      <c r="L41" s="3361"/>
      <c r="M41" s="3414"/>
      <c r="N41" s="3414"/>
      <c r="O41" s="3414"/>
      <c r="P41" s="4066"/>
      <c r="Q41" s="3415" t="str">
        <f t="shared" si="11"/>
        <v>单套/主力户型建筑面积</v>
      </c>
      <c r="R41" s="3416" t="s">
        <v>3154</v>
      </c>
      <c r="S41" s="3417">
        <f t="shared" si="12"/>
        <v>100</v>
      </c>
      <c r="T41" s="3416" t="s">
        <v>3154</v>
      </c>
      <c r="U41" s="3417">
        <f t="shared" si="13"/>
        <v>100</v>
      </c>
      <c r="V41" s="3416" t="s">
        <v>3154</v>
      </c>
      <c r="W41" s="3417">
        <f t="shared" si="14"/>
        <v>100</v>
      </c>
      <c r="X41" s="3418"/>
      <c r="Y41" s="4068"/>
      <c r="Z41" s="3419" t="str">
        <f t="shared" si="18"/>
        <v>单套/主力户型建筑面积</v>
      </c>
      <c r="AA41" s="3379">
        <f t="shared" si="15"/>
        <v>1</v>
      </c>
      <c r="AB41" s="3379">
        <f t="shared" si="16"/>
        <v>1</v>
      </c>
      <c r="AC41" s="3379">
        <f t="shared" si="17"/>
        <v>1</v>
      </c>
    </row>
    <row r="42" spans="1:29" ht="15">
      <c r="A42" s="3643"/>
      <c r="B42" s="3612" t="s">
        <v>3194</v>
      </c>
      <c r="C42" s="3645" t="s">
        <v>3186</v>
      </c>
      <c r="D42" s="3366">
        <v>100</v>
      </c>
      <c r="E42" s="3645" t="s">
        <v>3186</v>
      </c>
      <c r="F42" s="3400">
        <f>SUMIF(122:122,E42,123:123)-SUMIF(122:122,C42,123:123)+100</f>
        <v>100</v>
      </c>
      <c r="G42" s="3645" t="s">
        <v>3186</v>
      </c>
      <c r="H42" s="3366">
        <f>SUMIF(122:122,G42,123:123)-SUMIF(122:122,C42,123:123)+100</f>
        <v>100</v>
      </c>
      <c r="I42" s="3645" t="s">
        <v>3186</v>
      </c>
      <c r="J42" s="3366">
        <f>SUMIF(122:122,I42,123:123)-SUMIF(122:122,C42,123:123)+100</f>
        <v>100</v>
      </c>
      <c r="K42" s="3614"/>
      <c r="L42" s="3367"/>
      <c r="M42" s="3318"/>
      <c r="N42" s="3318"/>
      <c r="O42" s="3318"/>
      <c r="P42" s="4066"/>
      <c r="Q42" s="3375" t="str">
        <f t="shared" si="11"/>
        <v>内部装修</v>
      </c>
      <c r="R42" s="3376" t="s">
        <v>3154</v>
      </c>
      <c r="S42" s="3377">
        <f t="shared" si="12"/>
        <v>100</v>
      </c>
      <c r="T42" s="3376" t="s">
        <v>3154</v>
      </c>
      <c r="U42" s="3377">
        <f t="shared" si="13"/>
        <v>100</v>
      </c>
      <c r="V42" s="3376" t="s">
        <v>3154</v>
      </c>
      <c r="W42" s="3377">
        <f t="shared" si="14"/>
        <v>100</v>
      </c>
      <c r="X42" s="3319"/>
      <c r="Y42" s="4068"/>
      <c r="Z42" s="3378" t="str">
        <f t="shared" si="18"/>
        <v>内部装修</v>
      </c>
      <c r="AA42" s="3379">
        <f t="shared" si="15"/>
        <v>1</v>
      </c>
      <c r="AB42" s="3379">
        <f t="shared" si="16"/>
        <v>1</v>
      </c>
      <c r="AC42" s="3379">
        <f t="shared" si="17"/>
        <v>1</v>
      </c>
    </row>
    <row r="43" spans="1:29" ht="15">
      <c r="A43" s="3643"/>
      <c r="B43" s="3612" t="s">
        <v>3195</v>
      </c>
      <c r="C43" s="3645" t="s">
        <v>3071</v>
      </c>
      <c r="D43" s="3366">
        <v>100</v>
      </c>
      <c r="E43" s="3645" t="s">
        <v>3071</v>
      </c>
      <c r="F43" s="3400">
        <f>SUMIF(124:124,E43,125:125)-SUMIF(124:124,C43,125:125)+100</f>
        <v>100</v>
      </c>
      <c r="G43" s="3645" t="s">
        <v>3071</v>
      </c>
      <c r="H43" s="3366">
        <f>SUMIF(124:124,G43,125:125)-SUMIF(124:124,C43,125:125)+100</f>
        <v>100</v>
      </c>
      <c r="I43" s="3645" t="s">
        <v>3071</v>
      </c>
      <c r="J43" s="3366">
        <f>SUMIF(124:124,I43,125:125)-SUMIF(124:124,C43,125:125)+100</f>
        <v>100</v>
      </c>
      <c r="K43" s="3614"/>
      <c r="L43" s="3367"/>
      <c r="M43" s="3318"/>
      <c r="N43" s="3318"/>
      <c r="O43" s="3318"/>
      <c r="P43" s="4066"/>
      <c r="Q43" s="3375" t="str">
        <f t="shared" si="11"/>
        <v>内部装修维护情况</v>
      </c>
      <c r="R43" s="3376" t="s">
        <v>3057</v>
      </c>
      <c r="S43" s="3377">
        <f t="shared" si="12"/>
        <v>100</v>
      </c>
      <c r="T43" s="3376" t="s">
        <v>3057</v>
      </c>
      <c r="U43" s="3377">
        <f t="shared" si="13"/>
        <v>100</v>
      </c>
      <c r="V43" s="3376" t="s">
        <v>3057</v>
      </c>
      <c r="W43" s="3377">
        <f t="shared" si="14"/>
        <v>100</v>
      </c>
      <c r="X43" s="3319"/>
      <c r="Y43" s="4068"/>
      <c r="Z43" s="3378" t="str">
        <f t="shared" si="18"/>
        <v>内部装修维护情况</v>
      </c>
      <c r="AA43" s="3379">
        <f t="shared" si="15"/>
        <v>1</v>
      </c>
      <c r="AB43" s="3379">
        <f t="shared" si="16"/>
        <v>1</v>
      </c>
      <c r="AC43" s="3379">
        <f t="shared" si="17"/>
        <v>1</v>
      </c>
    </row>
    <row r="44" spans="1:29" s="3338" customFormat="1" ht="15">
      <c r="A44" s="3646"/>
      <c r="B44" s="3647" t="s">
        <v>3196</v>
      </c>
      <c r="C44" s="3648" t="s">
        <v>3197</v>
      </c>
      <c r="D44" s="3351">
        <v>100</v>
      </c>
      <c r="E44" s="3648" t="s">
        <v>3197</v>
      </c>
      <c r="F44" s="3613">
        <f>SUMIF(126:126,E44,127:127)-SUMIF(126:126,C44,127:127)+100</f>
        <v>100</v>
      </c>
      <c r="G44" s="3648" t="s">
        <v>3198</v>
      </c>
      <c r="H44" s="3351">
        <f>SUMIF(126:126,G44,127:127)-SUMIF(126:126,C44,127:127)+100</f>
        <v>100</v>
      </c>
      <c r="I44" s="3648" t="s">
        <v>3197</v>
      </c>
      <c r="J44" s="3351">
        <f>SUMIF(126:126,I44,127:127)-SUMIF(126:126,C44,127:127)+100</f>
        <v>100</v>
      </c>
      <c r="K44" s="3620"/>
      <c r="L44" s="3332"/>
      <c r="M44" s="3333"/>
      <c r="N44" s="3333"/>
      <c r="O44" s="3333"/>
      <c r="P44" s="4066"/>
      <c r="Q44" s="3346" t="str">
        <f t="shared" si="11"/>
        <v>现状</v>
      </c>
      <c r="R44" s="3334" t="s">
        <v>3057</v>
      </c>
      <c r="S44" s="3335">
        <f t="shared" si="12"/>
        <v>100</v>
      </c>
      <c r="T44" s="3334" t="s">
        <v>3057</v>
      </c>
      <c r="U44" s="3335">
        <f t="shared" si="13"/>
        <v>100</v>
      </c>
      <c r="V44" s="3334" t="s">
        <v>3057</v>
      </c>
      <c r="W44" s="3335">
        <f t="shared" si="14"/>
        <v>100</v>
      </c>
      <c r="X44" s="3336"/>
      <c r="Y44" s="4068"/>
      <c r="Z44" s="3347" t="str">
        <f t="shared" si="18"/>
        <v>现状</v>
      </c>
      <c r="AA44" s="3337">
        <f t="shared" si="15"/>
        <v>1</v>
      </c>
      <c r="AB44" s="3337">
        <f t="shared" si="16"/>
        <v>1</v>
      </c>
      <c r="AC44" s="3337">
        <f t="shared" si="17"/>
        <v>1</v>
      </c>
    </row>
    <row r="45" spans="1:29" ht="15">
      <c r="A45" s="3643"/>
      <c r="B45" s="3647" t="s">
        <v>3199</v>
      </c>
      <c r="C45" s="3649" t="s">
        <v>3200</v>
      </c>
      <c r="D45" s="3366">
        <v>100</v>
      </c>
      <c r="E45" s="3649" t="s">
        <v>3201</v>
      </c>
      <c r="F45" s="3400">
        <f>SUMIF(128:128,E45,129:129)-SUMIF(128:128,C45,129:129)+100</f>
        <v>95</v>
      </c>
      <c r="G45" s="3649" t="s">
        <v>3201</v>
      </c>
      <c r="H45" s="3366">
        <f>SUMIF(128:128,G45,129:129)-SUMIF(128:128,C45,129:129)+100</f>
        <v>95</v>
      </c>
      <c r="I45" s="3649" t="s">
        <v>3201</v>
      </c>
      <c r="J45" s="3366">
        <f>SUMIF(128:128,I45,129:129)-SUMIF(128:128,C45,129:129)+100</f>
        <v>95</v>
      </c>
      <c r="K45" s="3620"/>
      <c r="L45" s="3367"/>
      <c r="M45" s="3318"/>
      <c r="N45" s="3318"/>
      <c r="O45" s="3318"/>
      <c r="P45" s="4066"/>
      <c r="Q45" s="3375" t="str">
        <f t="shared" si="11"/>
        <v>赠送花园</v>
      </c>
      <c r="R45" s="3376" t="s">
        <v>3154</v>
      </c>
      <c r="S45" s="3377">
        <f t="shared" si="12"/>
        <v>95</v>
      </c>
      <c r="T45" s="3376" t="s">
        <v>3154</v>
      </c>
      <c r="U45" s="3377">
        <f t="shared" si="13"/>
        <v>95</v>
      </c>
      <c r="V45" s="3376" t="s">
        <v>3154</v>
      </c>
      <c r="W45" s="3377">
        <f t="shared" si="14"/>
        <v>95</v>
      </c>
      <c r="X45" s="3319"/>
      <c r="Y45" s="4068"/>
      <c r="Z45" s="3378" t="str">
        <f t="shared" si="18"/>
        <v>赠送花园</v>
      </c>
      <c r="AA45" s="3379">
        <f t="shared" si="15"/>
        <v>1.0526315789473684</v>
      </c>
      <c r="AB45" s="3379">
        <f t="shared" si="16"/>
        <v>1.0526315789473684</v>
      </c>
      <c r="AC45" s="3379">
        <f t="shared" si="17"/>
        <v>1.0526315789473684</v>
      </c>
    </row>
    <row r="46" spans="1:29" ht="15.75" thickBot="1">
      <c r="A46" s="3650"/>
      <c r="B46" s="3622">
        <v>111</v>
      </c>
      <c r="C46" s="3404"/>
      <c r="D46" s="3623">
        <v>100</v>
      </c>
      <c r="E46" s="3404"/>
      <c r="F46" s="3624">
        <f>SUMIF(130:130,E46,131:131)-SUMIF(130:130,C46,131:131)+100</f>
        <v>100</v>
      </c>
      <c r="G46" s="3404"/>
      <c r="H46" s="3623">
        <f>SUMIF(130:130,G46,131:131)-SUMIF(130:130,C46,131:131)+100</f>
        <v>100</v>
      </c>
      <c r="I46" s="3404"/>
      <c r="J46" s="3623">
        <f>SUMIF(130:130,I46,131:131)-SUMIF(130:130,C46,131:131)+100</f>
        <v>100</v>
      </c>
      <c r="K46" s="3620"/>
      <c r="L46" s="3367"/>
      <c r="M46" s="3318"/>
      <c r="N46" s="3318"/>
      <c r="O46" s="3318"/>
      <c r="P46" s="4067"/>
      <c r="Q46" s="3375">
        <f t="shared" si="11"/>
        <v>111</v>
      </c>
      <c r="R46" s="3376" t="s">
        <v>3154</v>
      </c>
      <c r="S46" s="3377">
        <f t="shared" si="12"/>
        <v>100</v>
      </c>
      <c r="T46" s="3376" t="s">
        <v>3154</v>
      </c>
      <c r="U46" s="3377">
        <f t="shared" si="13"/>
        <v>100</v>
      </c>
      <c r="V46" s="3376" t="s">
        <v>3154</v>
      </c>
      <c r="W46" s="3377">
        <f t="shared" si="14"/>
        <v>100</v>
      </c>
      <c r="X46" s="3319"/>
      <c r="Y46" s="4069"/>
      <c r="Z46" s="3378">
        <f t="shared" si="18"/>
        <v>111</v>
      </c>
      <c r="AA46" s="3379">
        <f t="shared" si="15"/>
        <v>1</v>
      </c>
      <c r="AB46" s="3379">
        <f t="shared" si="16"/>
        <v>1</v>
      </c>
      <c r="AC46" s="3379">
        <f t="shared" si="17"/>
        <v>1</v>
      </c>
    </row>
    <row r="47" spans="1:29" ht="15">
      <c r="A47" s="3428" t="s">
        <v>3202</v>
      </c>
      <c r="B47" s="3651"/>
      <c r="C47" s="3430" t="s">
        <v>3203</v>
      </c>
      <c r="D47" s="3431"/>
      <c r="E47" s="3432">
        <v>110410</v>
      </c>
      <c r="F47" s="3433"/>
      <c r="G47" s="3432">
        <v>103250</v>
      </c>
      <c r="H47" s="3435"/>
      <c r="I47" s="3432">
        <v>112245</v>
      </c>
      <c r="J47" s="3435"/>
      <c r="K47" s="3652"/>
      <c r="L47" s="3437"/>
      <c r="M47" s="3438"/>
      <c r="N47" s="3318"/>
      <c r="O47" s="3438"/>
      <c r="P47" s="4060" t="str">
        <f>A47</f>
        <v>成交单价（元/平方米）</v>
      </c>
      <c r="Q47" s="4060"/>
      <c r="R47" s="4061">
        <f>E47</f>
        <v>110410</v>
      </c>
      <c r="S47" s="4061"/>
      <c r="T47" s="4061">
        <f>G47</f>
        <v>103250</v>
      </c>
      <c r="U47" s="4061"/>
      <c r="V47" s="4061">
        <f>I47</f>
        <v>112245</v>
      </c>
      <c r="W47" s="4061"/>
      <c r="X47" s="3439"/>
      <c r="Y47" s="3440"/>
      <c r="Z47" s="3439"/>
      <c r="AA47" s="3439"/>
      <c r="AB47" s="3439"/>
      <c r="AC47" s="3439"/>
    </row>
    <row r="48" spans="1:29" ht="15.75" thickBot="1">
      <c r="A48" s="3441" t="s">
        <v>3204</v>
      </c>
      <c r="B48" s="3442"/>
      <c r="C48" s="3443">
        <f>R49</f>
        <v>101833</v>
      </c>
      <c r="D48" s="3444" t="s">
        <v>2970</v>
      </c>
      <c r="E48" s="3445">
        <f>R48</f>
        <v>97567</v>
      </c>
      <c r="F48" s="3446"/>
      <c r="G48" s="3443">
        <f>T48</f>
        <v>91240</v>
      </c>
      <c r="H48" s="3446"/>
      <c r="I48" s="3445">
        <f>V48</f>
        <v>116692</v>
      </c>
      <c r="J48" s="3446"/>
      <c r="K48" s="3653">
        <f>F48+H48+J48</f>
        <v>0</v>
      </c>
      <c r="L48" s="3437"/>
      <c r="M48" s="3438"/>
      <c r="N48" s="3438"/>
      <c r="O48" s="3438"/>
      <c r="P48" s="4060" t="str">
        <f>A48</f>
        <v>比较价值（元/平方米）</v>
      </c>
      <c r="Q48" s="4060"/>
      <c r="R48" s="4061">
        <f>IF(F1="售价",ROUND(PRODUCT(R47,AA7:AA46),0),ROUND(PRODUCT(R47,AA7:AA46),1))</f>
        <v>97567</v>
      </c>
      <c r="S48" s="4061"/>
      <c r="T48" s="4061">
        <f>IF(F1="售价",ROUND(PRODUCT(T47,AB7:AB46),0),ROUND(PRODUCT(T47,AB7:AB46),1))</f>
        <v>91240</v>
      </c>
      <c r="U48" s="4061"/>
      <c r="V48" s="4061">
        <f>IF(F1="售价",ROUND(PRODUCT(V47,AC7:AC46),0),ROUND(PRODUCT(V47,AC7:AC46),1))</f>
        <v>116692</v>
      </c>
      <c r="W48" s="4061"/>
      <c r="X48" s="3439"/>
      <c r="Y48" s="3439"/>
      <c r="Z48" s="3439"/>
      <c r="AA48" s="3439"/>
      <c r="AB48" s="3439"/>
      <c r="AC48" s="3439"/>
    </row>
    <row r="49" spans="1:29" ht="15.75" thickBot="1">
      <c r="A49" s="3448" t="s">
        <v>3205</v>
      </c>
      <c r="B49" s="3449"/>
      <c r="C49" s="3654">
        <f>R49</f>
        <v>101833</v>
      </c>
      <c r="D49" s="3450"/>
      <c r="E49" s="3450"/>
      <c r="F49" s="3450"/>
      <c r="G49" s="3450"/>
      <c r="H49" s="3450"/>
      <c r="I49" s="3450"/>
      <c r="J49" s="3450"/>
      <c r="K49" s="3655"/>
      <c r="L49" s="3437"/>
      <c r="M49" s="3438"/>
      <c r="N49" s="3438"/>
      <c r="O49" s="3438"/>
      <c r="P49" s="4062" t="str">
        <f>A49</f>
        <v>估价对象XX用房的比较价值（楼面单价，元/平方米）</v>
      </c>
      <c r="Q49" s="4063"/>
      <c r="R49" s="4064">
        <f>IF(F1="售价",ROUND(IF(D48="简单平均",AVERAGE(R48:V48),R48*F48+T48*H48+V48*J48),0),ROUND(IF(D48="简单平均",AVERAGE(R48:V48),R48*F48+T48*H48+V48*J48),1))</f>
        <v>101833</v>
      </c>
      <c r="S49" s="4064"/>
      <c r="T49" s="4064"/>
      <c r="U49" s="4064"/>
      <c r="V49" s="4064"/>
      <c r="W49" s="4064"/>
      <c r="X49" s="3439"/>
      <c r="Y49" s="3439"/>
      <c r="Z49" s="3439"/>
      <c r="AA49" s="3439"/>
      <c r="AB49" s="3439"/>
      <c r="AC49" s="3439"/>
    </row>
    <row r="50" spans="1:29">
      <c r="A50" s="3438"/>
      <c r="B50" s="3438"/>
      <c r="C50" s="3438"/>
      <c r="D50" s="3438"/>
      <c r="E50" s="3438"/>
      <c r="F50" s="3438"/>
      <c r="G50" s="3452"/>
      <c r="H50" s="3438"/>
      <c r="I50" s="3438"/>
      <c r="J50" s="3438"/>
      <c r="K50" s="3453"/>
      <c r="L50" s="3454"/>
      <c r="M50" s="3438"/>
      <c r="N50" s="3438"/>
      <c r="O50" s="3438"/>
    </row>
    <row r="51" spans="1:29">
      <c r="A51" s="3438"/>
      <c r="B51" s="3438"/>
      <c r="C51" s="3438"/>
      <c r="D51" s="3438"/>
      <c r="E51" s="3438"/>
      <c r="F51" s="3438"/>
      <c r="G51" s="3438"/>
      <c r="H51" s="3438"/>
      <c r="I51" s="3438"/>
      <c r="J51" s="3438"/>
      <c r="K51" s="3453"/>
      <c r="L51" s="3454"/>
      <c r="M51" s="3438"/>
      <c r="N51" s="3438"/>
      <c r="O51" s="3438"/>
    </row>
    <row r="52" spans="1:29" ht="13.5" customHeight="1">
      <c r="A52" s="3438"/>
      <c r="B52" s="3438"/>
      <c r="C52" s="3456" t="s">
        <v>3206</v>
      </c>
      <c r="D52" s="3457"/>
      <c r="E52" s="3458">
        <f>IF(E47&lt;E48,E48/E47-1,E47/E48-1)</f>
        <v>0.13163262168561096</v>
      </c>
      <c r="F52" s="3459" t="str">
        <f>IF(OR(E52&gt;=0.3,E52&lt;=-0.3),"超过30%","")</f>
        <v/>
      </c>
      <c r="G52" s="3458">
        <f>IF(G47&lt;G48,G48/G47-1,G47/G48-1)</f>
        <v>0.13163086365629106</v>
      </c>
      <c r="H52" s="3459" t="str">
        <f>IF(OR(G52&gt;=0.3,G52&lt;=-0.3),"超过30%","")</f>
        <v/>
      </c>
      <c r="I52" s="3458">
        <f>IF(I47&lt;I48,I48/I47-1,I47/I48-1)</f>
        <v>3.961869125573525E-2</v>
      </c>
      <c r="J52" s="3459" t="str">
        <f>IF(OR(I52&gt;=0.3,I52&lt;=-0.3),"超过30%","")</f>
        <v/>
      </c>
      <c r="K52" s="3453"/>
      <c r="L52" s="3454"/>
      <c r="M52" s="3438"/>
      <c r="N52" s="3438"/>
      <c r="O52" s="3438"/>
    </row>
    <row r="53" spans="1:29" ht="13.5" customHeight="1">
      <c r="A53" s="3438"/>
      <c r="B53" s="3438"/>
      <c r="C53" s="3456" t="s">
        <v>3207</v>
      </c>
      <c r="D53" s="3460"/>
      <c r="E53" s="3458">
        <f>IF(E48&lt;G48,G48/E48-1,E48/G48-1)</f>
        <v>6.9344585708022821E-2</v>
      </c>
      <c r="F53" s="3459" t="str">
        <f>IF(OR(E53&gt;=0.2,E53&lt;=-0.2),"超过20%","")</f>
        <v/>
      </c>
      <c r="G53" s="3458">
        <f>IF(G48&lt;I48,I48/G48-1,G48/I48-1)</f>
        <v>0.2789565979833406</v>
      </c>
      <c r="H53" s="3459" t="str">
        <f>IF(OR(G53&gt;=0.2,G53&lt;=-0.2),"超过20%","")</f>
        <v>超过20%</v>
      </c>
      <c r="I53" s="3458">
        <f>IF(I48&lt;E48,E48/I48-1,I48/E48-1)</f>
        <v>0.19601914581774582</v>
      </c>
      <c r="J53" s="3459" t="str">
        <f>IF(OR(I53&gt;=0.2,I53&lt;=-0.2),"超过20%","")</f>
        <v/>
      </c>
      <c r="K53" s="3453"/>
      <c r="L53" s="3454"/>
      <c r="M53" s="3438"/>
      <c r="N53" s="3438"/>
      <c r="O53" s="3438"/>
    </row>
    <row r="54" spans="1:29" s="3465" customFormat="1" ht="13.5" customHeight="1">
      <c r="A54" s="3461"/>
      <c r="B54" s="3461"/>
      <c r="C54" s="3456" t="s">
        <v>3208</v>
      </c>
      <c r="D54" s="3460"/>
      <c r="E54" s="3458">
        <f>IF(E47&lt;G47,G47/E47-1,E47/G47-1)</f>
        <v>6.9346246973365666E-2</v>
      </c>
      <c r="F54" s="3459" t="str">
        <f>IF(OR(E54&gt;=0.3,E54&lt;=-0.3),"超过30%","")</f>
        <v/>
      </c>
      <c r="G54" s="3458">
        <f>IF(G47&lt;I47,I47/G47-1,G47/I47-1)</f>
        <v>8.711864406779668E-2</v>
      </c>
      <c r="H54" s="3459" t="str">
        <f>IF(OR(G54&gt;=0.3,G54&lt;=-0.3),"超过30%","")</f>
        <v/>
      </c>
      <c r="I54" s="3458">
        <f>IF(I47&lt;E47,E47/I47-1,I47/E47-1)</f>
        <v>1.6619871388461105E-2</v>
      </c>
      <c r="J54" s="3459" t="str">
        <f>IF(OR(I54&gt;=0.3,I54&lt;=-0.3),"超过30%","")</f>
        <v/>
      </c>
      <c r="K54" s="3462"/>
      <c r="L54" s="3463"/>
      <c r="M54" s="3461"/>
      <c r="N54" s="3461"/>
      <c r="O54" s="3461"/>
      <c r="P54" s="3657"/>
    </row>
    <row r="55" spans="1:29" s="3465" customFormat="1">
      <c r="A55" s="3461"/>
      <c r="B55" s="3466"/>
      <c r="C55" s="3467"/>
      <c r="D55" s="3461"/>
      <c r="E55" s="3461"/>
      <c r="F55" s="3461"/>
      <c r="G55" s="3461"/>
      <c r="H55" s="3461"/>
      <c r="I55" s="3461"/>
      <c r="J55" s="3461"/>
      <c r="K55" s="3462"/>
      <c r="L55" s="3463"/>
      <c r="M55" s="3461"/>
      <c r="N55" s="3461"/>
      <c r="O55" s="3461"/>
      <c r="P55" s="3657"/>
    </row>
    <row r="56" spans="1:29">
      <c r="A56" s="3438"/>
      <c r="B56" s="3466"/>
      <c r="C56" s="3467"/>
      <c r="D56" s="3438"/>
      <c r="E56" s="3438"/>
      <c r="F56" s="3438"/>
      <c r="G56" s="3438"/>
      <c r="H56" s="3438"/>
      <c r="I56" s="3438"/>
      <c r="J56" s="3438"/>
      <c r="K56" s="3453"/>
      <c r="L56" s="3454"/>
      <c r="M56" s="3438"/>
      <c r="N56" s="3438"/>
      <c r="O56" s="3438"/>
    </row>
    <row r="57" spans="1:29" ht="21.75" thickBot="1">
      <c r="A57" s="3658" t="s">
        <v>3209</v>
      </c>
      <c r="B57" s="3439"/>
      <c r="C57" s="3659"/>
      <c r="D57" s="3659"/>
      <c r="E57" s="3659"/>
      <c r="F57" s="3660"/>
      <c r="G57" s="3660"/>
      <c r="H57" s="3659"/>
      <c r="I57" s="3659"/>
      <c r="J57" s="3659"/>
      <c r="K57" s="3472"/>
      <c r="L57" s="3473"/>
      <c r="M57" s="3470"/>
      <c r="N57" s="3470"/>
      <c r="O57" s="3470"/>
      <c r="P57" s="3661"/>
      <c r="Q57" s="3662"/>
    </row>
    <row r="58" spans="1:29" s="3483" customFormat="1" ht="15">
      <c r="A58" s="3477" t="s">
        <v>3210</v>
      </c>
      <c r="B58" s="3478"/>
      <c r="C58" s="3663" t="str">
        <f>YEAR(C7)&amp;"-"&amp;MONTH(C7)</f>
        <v>2021-2</v>
      </c>
      <c r="D58" s="3480">
        <f>EDATE(C58,-1)</f>
        <v>44197</v>
      </c>
      <c r="E58" s="3480">
        <f>EDATE(D58,-1)</f>
        <v>44166</v>
      </c>
      <c r="F58" s="3480">
        <f t="shared" ref="F58:O58" si="19">EDATE(E58,-1)</f>
        <v>44136</v>
      </c>
      <c r="G58" s="3480">
        <f t="shared" si="19"/>
        <v>44105</v>
      </c>
      <c r="H58" s="3480">
        <f t="shared" si="19"/>
        <v>44075</v>
      </c>
      <c r="I58" s="3480">
        <f t="shared" si="19"/>
        <v>44044</v>
      </c>
      <c r="J58" s="3480">
        <f t="shared" si="19"/>
        <v>44013</v>
      </c>
      <c r="K58" s="3480">
        <f t="shared" si="19"/>
        <v>43983</v>
      </c>
      <c r="L58" s="3480">
        <f t="shared" si="19"/>
        <v>43952</v>
      </c>
      <c r="M58" s="3480">
        <f t="shared" si="19"/>
        <v>43922</v>
      </c>
      <c r="N58" s="3480">
        <f t="shared" si="19"/>
        <v>43891</v>
      </c>
      <c r="O58" s="3480">
        <f t="shared" si="19"/>
        <v>43862</v>
      </c>
      <c r="P58" s="3664"/>
    </row>
    <row r="59" spans="1:29" s="3338" customFormat="1" ht="15">
      <c r="A59" s="3484"/>
      <c r="B59" s="3665"/>
      <c r="C59" s="3666">
        <v>100</v>
      </c>
      <c r="D59" s="3667">
        <v>100</v>
      </c>
      <c r="E59" s="3667">
        <v>100</v>
      </c>
      <c r="F59" s="3667">
        <v>100</v>
      </c>
      <c r="G59" s="3667">
        <v>100</v>
      </c>
      <c r="H59" s="3667">
        <v>100</v>
      </c>
      <c r="I59" s="3667">
        <v>100</v>
      </c>
      <c r="J59" s="3667">
        <v>100</v>
      </c>
      <c r="K59" s="3667">
        <v>100</v>
      </c>
      <c r="L59" s="3667">
        <v>100</v>
      </c>
      <c r="M59" s="3667">
        <v>100</v>
      </c>
      <c r="N59" s="3667">
        <v>100</v>
      </c>
      <c r="O59" s="3667">
        <v>100</v>
      </c>
      <c r="P59" s="3668"/>
    </row>
    <row r="60" spans="1:29" s="3338" customFormat="1" ht="15.75" thickBot="1">
      <c r="A60" s="3491" t="s">
        <v>3211</v>
      </c>
      <c r="B60" s="3492"/>
      <c r="C60" s="3493"/>
      <c r="D60" s="3494"/>
      <c r="E60" s="3494"/>
      <c r="F60" s="3494"/>
      <c r="G60" s="3494"/>
      <c r="H60" s="3494"/>
      <c r="I60" s="3494"/>
      <c r="J60" s="3494"/>
      <c r="K60" s="3494"/>
      <c r="L60" s="3494"/>
      <c r="M60" s="3495"/>
      <c r="N60" s="3494"/>
      <c r="O60" s="3495"/>
      <c r="P60" s="3668"/>
      <c r="Q60" s="3662"/>
    </row>
    <row r="61" spans="1:29" s="3338" customFormat="1" ht="15">
      <c r="A61" s="3496" t="s">
        <v>3155</v>
      </c>
      <c r="B61" s="3485"/>
      <c r="C61" s="3497" t="s">
        <v>3212</v>
      </c>
      <c r="D61" s="3498"/>
      <c r="E61" s="3498"/>
      <c r="F61" s="3498"/>
      <c r="G61" s="3498"/>
      <c r="H61" s="3498"/>
      <c r="I61" s="3498"/>
      <c r="J61" s="3498"/>
      <c r="K61" s="3498"/>
      <c r="L61" s="3499"/>
      <c r="M61" s="3500"/>
      <c r="N61" s="3669"/>
      <c r="O61" s="3669"/>
      <c r="P61" s="3670"/>
      <c r="Q61" s="3662"/>
    </row>
    <row r="62" spans="1:29" s="3338" customFormat="1" ht="15.75" thickBot="1">
      <c r="A62" s="3496"/>
      <c r="B62" s="3485"/>
      <c r="C62" s="3667">
        <v>100</v>
      </c>
      <c r="D62" s="3487"/>
      <c r="E62" s="3487"/>
      <c r="F62" s="3487"/>
      <c r="G62" s="3487"/>
      <c r="H62" s="3487"/>
      <c r="I62" s="3487"/>
      <c r="J62" s="3487"/>
      <c r="K62" s="3487"/>
      <c r="L62" s="3487"/>
      <c r="M62" s="3504"/>
      <c r="N62" s="3669"/>
      <c r="O62" s="3669"/>
      <c r="P62" s="3668"/>
      <c r="Q62" s="3662"/>
    </row>
    <row r="63" spans="1:29">
      <c r="A63" s="3505" t="s">
        <v>3213</v>
      </c>
      <c r="B63" s="3506" t="s">
        <v>3158</v>
      </c>
      <c r="C63" s="3507" t="str">
        <f>C9</f>
        <v>住宅</v>
      </c>
      <c r="D63" s="3508"/>
      <c r="E63" s="3508"/>
      <c r="F63" s="3508"/>
      <c r="G63" s="3508"/>
      <c r="H63" s="3508"/>
      <c r="I63" s="3508"/>
      <c r="J63" s="3508"/>
      <c r="K63" s="3509"/>
      <c r="L63" s="3510"/>
      <c r="M63" s="3511"/>
      <c r="N63" s="3671"/>
      <c r="O63" s="3671"/>
      <c r="P63" s="3672"/>
      <c r="Q63" s="3662"/>
    </row>
    <row r="64" spans="1:29" ht="15.75" thickBot="1">
      <c r="A64" s="3514"/>
      <c r="B64" s="3515"/>
      <c r="C64" s="3516">
        <v>100</v>
      </c>
      <c r="D64" s="3516"/>
      <c r="E64" s="3516"/>
      <c r="F64" s="3516"/>
      <c r="G64" s="3516"/>
      <c r="H64" s="3516"/>
      <c r="I64" s="3516"/>
      <c r="J64" s="3516"/>
      <c r="K64" s="3516"/>
      <c r="L64" s="3516"/>
      <c r="M64" s="3517"/>
      <c r="N64" s="3673"/>
      <c r="O64" s="3673"/>
      <c r="P64" s="3672"/>
      <c r="Q64" s="3662"/>
    </row>
    <row r="65" spans="1:17" ht="27.75" thickTop="1">
      <c r="A65" s="3514"/>
      <c r="B65" s="3519" t="s">
        <v>3162</v>
      </c>
      <c r="C65" s="3520" t="s">
        <v>3214</v>
      </c>
      <c r="D65" s="3520" t="s">
        <v>3215</v>
      </c>
      <c r="E65" s="3520" t="s">
        <v>3216</v>
      </c>
      <c r="F65" s="3520" t="s">
        <v>3217</v>
      </c>
      <c r="G65" s="3520" t="s">
        <v>3218</v>
      </c>
      <c r="H65" s="3520" t="s">
        <v>3219</v>
      </c>
      <c r="I65" s="3520" t="s">
        <v>3220</v>
      </c>
      <c r="J65" s="3520"/>
      <c r="K65" s="3521"/>
      <c r="L65" s="3522"/>
      <c r="M65" s="3523"/>
      <c r="N65" s="3671"/>
      <c r="O65" s="3671"/>
      <c r="P65" s="3672"/>
      <c r="Q65" s="3662"/>
    </row>
    <row r="66" spans="1:17" ht="15.75" thickBot="1">
      <c r="A66" s="3514"/>
      <c r="B66" s="3524"/>
      <c r="C66" s="3525">
        <v>100</v>
      </c>
      <c r="D66" s="3525">
        <f t="shared" ref="D66:I66" si="20">C66-$K10</f>
        <v>95</v>
      </c>
      <c r="E66" s="3525">
        <f t="shared" si="20"/>
        <v>90</v>
      </c>
      <c r="F66" s="3525">
        <f t="shared" si="20"/>
        <v>85</v>
      </c>
      <c r="G66" s="3525">
        <f t="shared" si="20"/>
        <v>80</v>
      </c>
      <c r="H66" s="3525">
        <f t="shared" si="20"/>
        <v>75</v>
      </c>
      <c r="I66" s="3525">
        <f t="shared" si="20"/>
        <v>70</v>
      </c>
      <c r="J66" s="3525"/>
      <c r="K66" s="3525"/>
      <c r="L66" s="3525"/>
      <c r="M66" s="3526"/>
      <c r="N66" s="3673"/>
      <c r="O66" s="3673"/>
      <c r="P66" s="3672"/>
      <c r="Q66" s="3662"/>
    </row>
    <row r="67" spans="1:17" ht="15.75" thickTop="1">
      <c r="A67" s="3514"/>
      <c r="B67" s="3552" t="s">
        <v>3165</v>
      </c>
      <c r="C67" s="3674" t="str">
        <f>C68&amp;"（含）"&amp;"-"&amp;D68</f>
        <v>0（含）-1</v>
      </c>
      <c r="D67" s="3674" t="str">
        <f t="shared" ref="D67:L67" si="21">D68&amp;"（含）"&amp;"-"&amp;E68</f>
        <v>1（含）-2</v>
      </c>
      <c r="E67" s="3674" t="str">
        <f t="shared" si="21"/>
        <v>2（含）-3</v>
      </c>
      <c r="F67" s="3674" t="str">
        <f t="shared" si="21"/>
        <v>3（含）-4</v>
      </c>
      <c r="G67" s="3674" t="str">
        <f t="shared" si="21"/>
        <v>4（含）-5</v>
      </c>
      <c r="H67" s="3674" t="str">
        <f t="shared" si="21"/>
        <v>5（含）-</v>
      </c>
      <c r="I67" s="3674" t="str">
        <f t="shared" si="21"/>
        <v>（含）-</v>
      </c>
      <c r="J67" s="3674" t="str">
        <f t="shared" si="21"/>
        <v>（含）-</v>
      </c>
      <c r="K67" s="3674" t="str">
        <f>K68&amp;"（含）"&amp;"-"&amp;L68</f>
        <v>（含）-</v>
      </c>
      <c r="L67" s="3674" t="str">
        <f t="shared" si="21"/>
        <v>（含）-</v>
      </c>
      <c r="M67" s="3382" t="str">
        <f>M68&amp;"（含）"&amp;"-"&amp;P68</f>
        <v>（含）-</v>
      </c>
      <c r="N67" s="3673"/>
      <c r="O67" s="3673"/>
      <c r="P67" s="3672"/>
      <c r="Q67" s="3662"/>
    </row>
    <row r="68" spans="1:17" ht="15">
      <c r="A68" s="3514"/>
      <c r="B68" s="3675"/>
      <c r="C68" s="3528">
        <v>0</v>
      </c>
      <c r="D68" s="3528">
        <v>1</v>
      </c>
      <c r="E68" s="3528">
        <v>2</v>
      </c>
      <c r="F68" s="3528">
        <v>3</v>
      </c>
      <c r="G68" s="3528">
        <v>4</v>
      </c>
      <c r="H68" s="3528">
        <v>5</v>
      </c>
      <c r="I68" s="3528"/>
      <c r="J68" s="3528"/>
      <c r="K68" s="3529"/>
      <c r="L68" s="3530"/>
      <c r="M68" s="3531"/>
      <c r="N68" s="3671"/>
      <c r="O68" s="3671"/>
      <c r="P68" s="3672"/>
      <c r="Q68" s="3662"/>
    </row>
    <row r="69" spans="1:17" ht="15.75" thickBot="1">
      <c r="A69" s="3514"/>
      <c r="B69" s="3515"/>
      <c r="C69" s="3525">
        <v>100</v>
      </c>
      <c r="D69" s="3525">
        <f t="shared" ref="D69:M69" si="22">C69-$K11</f>
        <v>95</v>
      </c>
      <c r="E69" s="3525">
        <f t="shared" si="22"/>
        <v>90</v>
      </c>
      <c r="F69" s="3525">
        <f t="shared" si="22"/>
        <v>85</v>
      </c>
      <c r="G69" s="3525">
        <f t="shared" si="22"/>
        <v>80</v>
      </c>
      <c r="H69" s="3525">
        <f t="shared" si="22"/>
        <v>75</v>
      </c>
      <c r="I69" s="3525">
        <f t="shared" si="22"/>
        <v>70</v>
      </c>
      <c r="J69" s="3525">
        <f t="shared" si="22"/>
        <v>65</v>
      </c>
      <c r="K69" s="3525">
        <f t="shared" si="22"/>
        <v>60</v>
      </c>
      <c r="L69" s="3525">
        <f t="shared" si="22"/>
        <v>55</v>
      </c>
      <c r="M69" s="3526">
        <f t="shared" si="22"/>
        <v>50</v>
      </c>
      <c r="N69" s="3673"/>
      <c r="O69" s="3673"/>
      <c r="P69" s="3672"/>
      <c r="Q69" s="3662"/>
    </row>
    <row r="70" spans="1:17" s="3420" customFormat="1" ht="15.75" thickTop="1">
      <c r="A70" s="3533"/>
      <c r="B70" s="3519">
        <f>B12</f>
        <v>111</v>
      </c>
      <c r="C70" s="3534"/>
      <c r="D70" s="3534"/>
      <c r="E70" s="3534"/>
      <c r="F70" s="3534"/>
      <c r="G70" s="3534"/>
      <c r="H70" s="3535"/>
      <c r="I70" s="3535"/>
      <c r="J70" s="3535"/>
      <c r="K70" s="3535"/>
      <c r="L70" s="3536"/>
      <c r="M70" s="3537"/>
      <c r="N70" s="3676"/>
      <c r="O70" s="3676"/>
      <c r="P70" s="3677"/>
      <c r="Q70" s="3678"/>
    </row>
    <row r="71" spans="1:17" s="3420" customFormat="1" ht="15.75" thickBot="1">
      <c r="A71" s="3533"/>
      <c r="B71" s="3524"/>
      <c r="C71" s="3532"/>
      <c r="D71" s="3516"/>
      <c r="E71" s="3516"/>
      <c r="F71" s="3516"/>
      <c r="G71" s="3516"/>
      <c r="H71" s="3516"/>
      <c r="I71" s="3516"/>
      <c r="J71" s="3516"/>
      <c r="K71" s="3516"/>
      <c r="L71" s="3516"/>
      <c r="M71" s="3517"/>
      <c r="N71" s="3673"/>
      <c r="O71" s="3673"/>
      <c r="P71" s="3677"/>
      <c r="Q71" s="3678"/>
    </row>
    <row r="72" spans="1:17" s="3420" customFormat="1" ht="15.75" thickTop="1">
      <c r="A72" s="3533"/>
      <c r="B72" s="3519">
        <f>B13</f>
        <v>111</v>
      </c>
      <c r="C72" s="3534"/>
      <c r="D72" s="3534"/>
      <c r="E72" s="3534"/>
      <c r="F72" s="3534"/>
      <c r="G72" s="3534"/>
      <c r="H72" s="3535"/>
      <c r="I72" s="3535"/>
      <c r="J72" s="3535"/>
      <c r="K72" s="3535"/>
      <c r="L72" s="3536"/>
      <c r="M72" s="3537"/>
      <c r="N72" s="3676"/>
      <c r="O72" s="3676"/>
      <c r="P72" s="3679"/>
      <c r="Q72" s="3680"/>
    </row>
    <row r="73" spans="1:17" s="3420" customFormat="1" ht="15.75" thickBot="1">
      <c r="A73" s="3533"/>
      <c r="B73" s="3524"/>
      <c r="C73" s="3532"/>
      <c r="D73" s="3532"/>
      <c r="E73" s="3532"/>
      <c r="F73" s="3532"/>
      <c r="G73" s="3532"/>
      <c r="H73" s="3544"/>
      <c r="I73" s="3544"/>
      <c r="J73" s="3544"/>
      <c r="K73" s="3544"/>
      <c r="L73" s="3544"/>
      <c r="M73" s="3545"/>
      <c r="N73" s="3676"/>
      <c r="O73" s="3676"/>
      <c r="P73" s="3677"/>
      <c r="Q73" s="3678"/>
    </row>
    <row r="74" spans="1:17" s="3420" customFormat="1" ht="15.75" thickTop="1">
      <c r="A74" s="3533"/>
      <c r="B74" s="3552">
        <f>B14</f>
        <v>111</v>
      </c>
      <c r="C74" s="3534"/>
      <c r="D74" s="3534"/>
      <c r="E74" s="3534"/>
      <c r="F74" s="3534"/>
      <c r="G74" s="3498"/>
      <c r="H74" s="3681"/>
      <c r="I74" s="3681"/>
      <c r="J74" s="3681"/>
      <c r="K74" s="3681"/>
      <c r="L74" s="3682"/>
      <c r="M74" s="3683"/>
      <c r="N74" s="3676"/>
      <c r="O74" s="3676"/>
      <c r="P74" s="3684"/>
      <c r="Q74" s="3678"/>
    </row>
    <row r="75" spans="1:17" s="3420" customFormat="1" ht="15.75" thickBot="1">
      <c r="A75" s="3685"/>
      <c r="B75" s="3686"/>
      <c r="C75" s="3687"/>
      <c r="D75" s="3687"/>
      <c r="E75" s="3687"/>
      <c r="F75" s="3687"/>
      <c r="G75" s="3687"/>
      <c r="H75" s="3688"/>
      <c r="I75" s="3688"/>
      <c r="J75" s="3688"/>
      <c r="K75" s="3688"/>
      <c r="L75" s="3688"/>
      <c r="M75" s="3689"/>
      <c r="N75" s="3676"/>
      <c r="O75" s="3676"/>
      <c r="P75" s="3677"/>
      <c r="Q75" s="3678"/>
    </row>
    <row r="76" spans="1:17">
      <c r="A76" s="3505" t="s">
        <v>3166</v>
      </c>
      <c r="B76" s="3506" t="s">
        <v>3221</v>
      </c>
      <c r="C76" s="3546" t="s">
        <v>3222</v>
      </c>
      <c r="D76" s="3546" t="s">
        <v>3223</v>
      </c>
      <c r="E76" s="3546" t="s">
        <v>3224</v>
      </c>
      <c r="F76" s="3546" t="s">
        <v>3225</v>
      </c>
      <c r="G76" s="3546" t="s">
        <v>3226</v>
      </c>
      <c r="H76" s="3507"/>
      <c r="I76" s="3507"/>
      <c r="J76" s="3507"/>
      <c r="K76" s="3547"/>
      <c r="L76" s="3548"/>
      <c r="M76" s="3549"/>
      <c r="N76" s="3671"/>
      <c r="O76" s="3671"/>
      <c r="P76" s="3690"/>
      <c r="Q76" s="3662"/>
    </row>
    <row r="77" spans="1:17" ht="15.75" thickBot="1">
      <c r="A77" s="3514"/>
      <c r="B77" s="3524"/>
      <c r="C77" s="3525">
        <v>100</v>
      </c>
      <c r="D77" s="3525">
        <f>C77-$K15</f>
        <v>95</v>
      </c>
      <c r="E77" s="3525">
        <f>D77-$K15</f>
        <v>90</v>
      </c>
      <c r="F77" s="3525">
        <f>E77-$K15</f>
        <v>85</v>
      </c>
      <c r="G77" s="3525">
        <f>F77-$K15</f>
        <v>80</v>
      </c>
      <c r="H77" s="3525"/>
      <c r="I77" s="3525"/>
      <c r="J77" s="3525"/>
      <c r="K77" s="3525"/>
      <c r="L77" s="3525"/>
      <c r="M77" s="3526"/>
      <c r="N77" s="3673"/>
      <c r="O77" s="3673"/>
      <c r="P77" s="3672"/>
      <c r="Q77" s="3662"/>
    </row>
    <row r="78" spans="1:17" ht="15.75" thickTop="1">
      <c r="A78" s="3514"/>
      <c r="B78" s="3519" t="s">
        <v>3227</v>
      </c>
      <c r="C78" s="3551" t="s">
        <v>3222</v>
      </c>
      <c r="D78" s="3551" t="s">
        <v>3223</v>
      </c>
      <c r="E78" s="3551" t="s">
        <v>3224</v>
      </c>
      <c r="F78" s="3551" t="s">
        <v>3225</v>
      </c>
      <c r="G78" s="3551" t="s">
        <v>3226</v>
      </c>
      <c r="H78" s="3520"/>
      <c r="I78" s="3520"/>
      <c r="J78" s="3520"/>
      <c r="K78" s="3521"/>
      <c r="L78" s="3522"/>
      <c r="M78" s="3523"/>
      <c r="N78" s="3671"/>
      <c r="O78" s="3671"/>
      <c r="P78" s="3672"/>
      <c r="Q78" s="3662"/>
    </row>
    <row r="79" spans="1:17" ht="15.75" thickBot="1">
      <c r="A79" s="3514"/>
      <c r="B79" s="3524"/>
      <c r="C79" s="3525">
        <v>100</v>
      </c>
      <c r="D79" s="3525">
        <f>C79-$K17</f>
        <v>95</v>
      </c>
      <c r="E79" s="3525">
        <f>D79-$K17</f>
        <v>90</v>
      </c>
      <c r="F79" s="3525">
        <f>E79-$K17</f>
        <v>85</v>
      </c>
      <c r="G79" s="3525">
        <f>F79-$K17</f>
        <v>80</v>
      </c>
      <c r="H79" s="3525"/>
      <c r="I79" s="3525"/>
      <c r="J79" s="3525"/>
      <c r="K79" s="3525"/>
      <c r="L79" s="3525"/>
      <c r="M79" s="3526"/>
      <c r="N79" s="3673"/>
      <c r="O79" s="3673"/>
      <c r="P79" s="3672"/>
      <c r="Q79" s="3662"/>
    </row>
    <row r="80" spans="1:17" ht="15.75" thickTop="1">
      <c r="A80" s="3514"/>
      <c r="B80" s="3519" t="s">
        <v>3170</v>
      </c>
      <c r="C80" s="3551" t="s">
        <v>3222</v>
      </c>
      <c r="D80" s="3551" t="s">
        <v>3223</v>
      </c>
      <c r="E80" s="3551" t="s">
        <v>3224</v>
      </c>
      <c r="F80" s="3551" t="s">
        <v>3225</v>
      </c>
      <c r="G80" s="3551" t="s">
        <v>3226</v>
      </c>
      <c r="H80" s="3520"/>
      <c r="I80" s="3520"/>
      <c r="J80" s="3520"/>
      <c r="K80" s="3521"/>
      <c r="L80" s="3522"/>
      <c r="M80" s="3523"/>
      <c r="N80" s="3671"/>
      <c r="O80" s="3671"/>
      <c r="P80" s="3672"/>
      <c r="Q80" s="3662"/>
    </row>
    <row r="81" spans="1:17" ht="15.75" thickBot="1">
      <c r="A81" s="3514"/>
      <c r="B81" s="3524"/>
      <c r="C81" s="3525">
        <v>100</v>
      </c>
      <c r="D81" s="3525">
        <f>C81-$K19</f>
        <v>95</v>
      </c>
      <c r="E81" s="3525">
        <f>D81-$K19</f>
        <v>90</v>
      </c>
      <c r="F81" s="3525">
        <f>E81-$K19</f>
        <v>85</v>
      </c>
      <c r="G81" s="3525">
        <f>F81-$K19</f>
        <v>80</v>
      </c>
      <c r="H81" s="3525"/>
      <c r="I81" s="3525"/>
      <c r="J81" s="3525"/>
      <c r="K81" s="3525"/>
      <c r="L81" s="3525"/>
      <c r="M81" s="3526"/>
      <c r="N81" s="3673"/>
      <c r="O81" s="3673"/>
      <c r="P81" s="3672"/>
      <c r="Q81" s="3662"/>
    </row>
    <row r="82" spans="1:17" ht="15.75" thickTop="1">
      <c r="A82" s="3514"/>
      <c r="B82" s="3552" t="s">
        <v>3171</v>
      </c>
      <c r="C82" s="3520" t="s">
        <v>3228</v>
      </c>
      <c r="D82" s="3520" t="s">
        <v>3229</v>
      </c>
      <c r="E82" s="3520" t="s">
        <v>3230</v>
      </c>
      <c r="F82" s="3520" t="s">
        <v>3231</v>
      </c>
      <c r="G82" s="3520" t="s">
        <v>3232</v>
      </c>
      <c r="H82" s="3520"/>
      <c r="I82" s="3520"/>
      <c r="J82" s="3520"/>
      <c r="K82" s="3520"/>
      <c r="L82" s="3520"/>
      <c r="M82" s="3553"/>
      <c r="N82" s="3673"/>
      <c r="O82" s="3673"/>
      <c r="P82" s="3672"/>
      <c r="Q82" s="3662"/>
    </row>
    <row r="83" spans="1:17" ht="15.75" thickBot="1">
      <c r="A83" s="3514"/>
      <c r="B83" s="3552"/>
      <c r="C83" s="3527">
        <v>100</v>
      </c>
      <c r="D83" s="3527">
        <f>C83-$K21</f>
        <v>98</v>
      </c>
      <c r="E83" s="3527">
        <f t="shared" ref="E83:G83" si="23">D83-$K21</f>
        <v>96</v>
      </c>
      <c r="F83" s="3527">
        <f t="shared" si="23"/>
        <v>94</v>
      </c>
      <c r="G83" s="3527">
        <f t="shared" si="23"/>
        <v>92</v>
      </c>
      <c r="H83" s="3527"/>
      <c r="I83" s="3527"/>
      <c r="J83" s="3527"/>
      <c r="K83" s="3527"/>
      <c r="L83" s="3527"/>
      <c r="M83" s="3384"/>
      <c r="N83" s="3673"/>
      <c r="O83" s="3673"/>
      <c r="P83" s="3672"/>
      <c r="Q83" s="3662"/>
    </row>
    <row r="84" spans="1:17" ht="15.75" thickTop="1">
      <c r="A84" s="3514"/>
      <c r="B84" s="3519" t="s">
        <v>3233</v>
      </c>
      <c r="C84" s="3551" t="s">
        <v>3222</v>
      </c>
      <c r="D84" s="3551" t="s">
        <v>3223</v>
      </c>
      <c r="E84" s="3551" t="s">
        <v>3224</v>
      </c>
      <c r="F84" s="3551" t="s">
        <v>3225</v>
      </c>
      <c r="G84" s="3551" t="s">
        <v>3226</v>
      </c>
      <c r="H84" s="3520"/>
      <c r="I84" s="3520"/>
      <c r="J84" s="3520"/>
      <c r="K84" s="3521"/>
      <c r="L84" s="3522"/>
      <c r="M84" s="3523"/>
      <c r="N84" s="3671"/>
      <c r="O84" s="3671"/>
      <c r="P84" s="3672"/>
      <c r="Q84" s="3662"/>
    </row>
    <row r="85" spans="1:17" ht="15.75" thickBot="1">
      <c r="A85" s="3514"/>
      <c r="B85" s="3524"/>
      <c r="C85" s="3525">
        <v>100</v>
      </c>
      <c r="D85" s="3525">
        <f>C85-$K23</f>
        <v>97</v>
      </c>
      <c r="E85" s="3525">
        <f>D85-$K23</f>
        <v>94</v>
      </c>
      <c r="F85" s="3525">
        <f>E85-$K23</f>
        <v>91</v>
      </c>
      <c r="G85" s="3525">
        <f>F85-$K23</f>
        <v>88</v>
      </c>
      <c r="H85" s="3525"/>
      <c r="I85" s="3525"/>
      <c r="J85" s="3525"/>
      <c r="K85" s="3525"/>
      <c r="L85" s="3525"/>
      <c r="M85" s="3526"/>
      <c r="N85" s="3673"/>
      <c r="O85" s="3673"/>
      <c r="P85" s="3672"/>
      <c r="Q85" s="3662"/>
    </row>
    <row r="86" spans="1:17" s="3338" customFormat="1" ht="15.75" thickTop="1">
      <c r="A86" s="3558"/>
      <c r="B86" s="3519" t="s">
        <v>3234</v>
      </c>
      <c r="C86" s="3534"/>
      <c r="D86" s="3534"/>
      <c r="E86" s="3534"/>
      <c r="F86" s="3534"/>
      <c r="G86" s="3534"/>
      <c r="H86" s="3534"/>
      <c r="I86" s="3534"/>
      <c r="J86" s="3534"/>
      <c r="K86" s="3534"/>
      <c r="L86" s="3559"/>
      <c r="M86" s="3560"/>
      <c r="N86" s="3669"/>
      <c r="O86" s="3669"/>
      <c r="P86" s="3672"/>
      <c r="Q86" s="3662"/>
    </row>
    <row r="87" spans="1:17" s="3338" customFormat="1" ht="15.75" thickBot="1">
      <c r="A87" s="3558"/>
      <c r="B87" s="3524"/>
      <c r="C87" s="3571">
        <v>100</v>
      </c>
      <c r="D87" s="3525">
        <f t="shared" ref="D87:M87" si="24">$C$87-($C$86-D86)*$K$25</f>
        <v>100</v>
      </c>
      <c r="E87" s="3525">
        <f t="shared" si="24"/>
        <v>100</v>
      </c>
      <c r="F87" s="3525">
        <f t="shared" si="24"/>
        <v>100</v>
      </c>
      <c r="G87" s="3525">
        <f t="shared" si="24"/>
        <v>100</v>
      </c>
      <c r="H87" s="3525">
        <f t="shared" si="24"/>
        <v>100</v>
      </c>
      <c r="I87" s="3525">
        <f t="shared" si="24"/>
        <v>100</v>
      </c>
      <c r="J87" s="3525">
        <f t="shared" si="24"/>
        <v>100</v>
      </c>
      <c r="K87" s="3525">
        <f t="shared" si="24"/>
        <v>100</v>
      </c>
      <c r="L87" s="3525">
        <f t="shared" si="24"/>
        <v>100</v>
      </c>
      <c r="M87" s="3525">
        <f t="shared" si="24"/>
        <v>100</v>
      </c>
      <c r="N87" s="3673"/>
      <c r="O87" s="3673"/>
      <c r="P87" s="3672"/>
      <c r="Q87" s="3662"/>
    </row>
    <row r="88" spans="1:17" s="3338" customFormat="1" ht="15.75" thickTop="1">
      <c r="A88" s="3558"/>
      <c r="B88" s="3519" t="s">
        <v>3235</v>
      </c>
      <c r="C88" s="3534"/>
      <c r="D88" s="3534"/>
      <c r="E88" s="3534"/>
      <c r="F88" s="3691"/>
      <c r="G88" s="3534"/>
      <c r="H88" s="3534"/>
      <c r="I88" s="3534"/>
      <c r="J88" s="3534"/>
      <c r="K88" s="3534"/>
      <c r="L88" s="3534"/>
      <c r="M88" s="3560"/>
      <c r="N88" s="3669"/>
      <c r="O88" s="3669"/>
      <c r="P88" s="3672"/>
      <c r="Q88" s="3662"/>
    </row>
    <row r="89" spans="1:17" s="3338" customFormat="1" ht="15.75" thickBot="1">
      <c r="A89" s="3558"/>
      <c r="B89" s="3524"/>
      <c r="C89" s="3571">
        <v>100</v>
      </c>
      <c r="D89" s="3525">
        <f t="shared" ref="D89:M89" si="25">C89-$K26</f>
        <v>100</v>
      </c>
      <c r="E89" s="3525">
        <f t="shared" si="25"/>
        <v>100</v>
      </c>
      <c r="F89" s="3525">
        <f t="shared" si="25"/>
        <v>100</v>
      </c>
      <c r="G89" s="3525">
        <f t="shared" si="25"/>
        <v>100</v>
      </c>
      <c r="H89" s="3525">
        <f t="shared" si="25"/>
        <v>100</v>
      </c>
      <c r="I89" s="3525">
        <f t="shared" si="25"/>
        <v>100</v>
      </c>
      <c r="J89" s="3525">
        <f t="shared" si="25"/>
        <v>100</v>
      </c>
      <c r="K89" s="3525">
        <f t="shared" si="25"/>
        <v>100</v>
      </c>
      <c r="L89" s="3525">
        <f t="shared" si="25"/>
        <v>100</v>
      </c>
      <c r="M89" s="3525">
        <f t="shared" si="25"/>
        <v>100</v>
      </c>
      <c r="N89" s="3673"/>
      <c r="O89" s="3673"/>
      <c r="P89" s="3672"/>
      <c r="Q89" s="3662"/>
    </row>
    <row r="90" spans="1:17" s="3420" customFormat="1" ht="15.75" thickTop="1">
      <c r="A90" s="3533"/>
      <c r="B90" s="3519">
        <f>B27</f>
        <v>111</v>
      </c>
      <c r="C90" s="3534"/>
      <c r="D90" s="3534"/>
      <c r="E90" s="3534"/>
      <c r="F90" s="3534"/>
      <c r="G90" s="3534"/>
      <c r="H90" s="3535"/>
      <c r="I90" s="3535"/>
      <c r="J90" s="3535"/>
      <c r="K90" s="3535"/>
      <c r="L90" s="3536"/>
      <c r="M90" s="3537"/>
      <c r="N90" s="3676"/>
      <c r="O90" s="3676"/>
      <c r="P90" s="3677"/>
      <c r="Q90" s="3678"/>
    </row>
    <row r="91" spans="1:17" s="3420" customFormat="1" ht="15.75" thickBot="1">
      <c r="A91" s="3533"/>
      <c r="B91" s="3524"/>
      <c r="C91" s="3532"/>
      <c r="D91" s="3532"/>
      <c r="E91" s="3532"/>
      <c r="F91" s="3532"/>
      <c r="G91" s="3532"/>
      <c r="H91" s="3544"/>
      <c r="I91" s="3544"/>
      <c r="J91" s="3544"/>
      <c r="K91" s="3544"/>
      <c r="L91" s="3544"/>
      <c r="M91" s="3545"/>
      <c r="N91" s="3676"/>
      <c r="O91" s="3676"/>
      <c r="P91" s="3677"/>
      <c r="Q91" s="3678"/>
    </row>
    <row r="92" spans="1:17" ht="15.75" thickTop="1">
      <c r="A92" s="3514"/>
      <c r="B92" s="3519">
        <f>B28</f>
        <v>111</v>
      </c>
      <c r="C92" s="3534"/>
      <c r="D92" s="3534"/>
      <c r="E92" s="3534"/>
      <c r="F92" s="3534"/>
      <c r="G92" s="3554"/>
      <c r="H92" s="3554"/>
      <c r="I92" s="3554"/>
      <c r="J92" s="3554"/>
      <c r="K92" s="3555"/>
      <c r="L92" s="3556"/>
      <c r="M92" s="3557"/>
      <c r="N92" s="3671"/>
      <c r="O92" s="3671"/>
      <c r="P92" s="3672"/>
      <c r="Q92" s="3662"/>
    </row>
    <row r="93" spans="1:17" ht="15.75" thickBot="1">
      <c r="A93" s="3514"/>
      <c r="B93" s="3524"/>
      <c r="C93" s="3532"/>
      <c r="D93" s="3516"/>
      <c r="E93" s="3516"/>
      <c r="F93" s="3516"/>
      <c r="G93" s="3516"/>
      <c r="H93" s="3516"/>
      <c r="I93" s="3516"/>
      <c r="J93" s="3516"/>
      <c r="K93" s="3516"/>
      <c r="L93" s="3516"/>
      <c r="M93" s="3517"/>
      <c r="N93" s="3673"/>
      <c r="O93" s="3673"/>
      <c r="P93" s="3672"/>
      <c r="Q93" s="3662"/>
    </row>
    <row r="94" spans="1:17" ht="15.75" thickTop="1">
      <c r="A94" s="3514"/>
      <c r="B94" s="3519">
        <f>B29</f>
        <v>111</v>
      </c>
      <c r="C94" s="3534"/>
      <c r="D94" s="3534"/>
      <c r="E94" s="3534"/>
      <c r="F94" s="3534"/>
      <c r="G94" s="3554"/>
      <c r="H94" s="3554"/>
      <c r="I94" s="3554"/>
      <c r="J94" s="3554"/>
      <c r="K94" s="3555"/>
      <c r="L94" s="3556"/>
      <c r="M94" s="3557"/>
      <c r="N94" s="3671"/>
      <c r="O94" s="3671"/>
      <c r="P94" s="3672"/>
      <c r="Q94" s="3662"/>
    </row>
    <row r="95" spans="1:17" ht="15.75" thickBot="1">
      <c r="A95" s="3514"/>
      <c r="B95" s="3524"/>
      <c r="C95" s="3532"/>
      <c r="D95" s="3532"/>
      <c r="E95" s="3532"/>
      <c r="F95" s="3532"/>
      <c r="G95" s="3516"/>
      <c r="H95" s="3516"/>
      <c r="I95" s="3516"/>
      <c r="J95" s="3516"/>
      <c r="K95" s="3516"/>
      <c r="L95" s="3516"/>
      <c r="M95" s="3517"/>
      <c r="N95" s="3673"/>
      <c r="O95" s="3673"/>
      <c r="P95" s="3672"/>
      <c r="Q95" s="3662"/>
    </row>
    <row r="96" spans="1:17" ht="15.75" thickTop="1">
      <c r="A96" s="3514"/>
      <c r="B96" s="3519">
        <f>B30</f>
        <v>111</v>
      </c>
      <c r="C96" s="3534"/>
      <c r="D96" s="3534"/>
      <c r="E96" s="3534"/>
      <c r="F96" s="3534"/>
      <c r="G96" s="3554"/>
      <c r="H96" s="3554"/>
      <c r="I96" s="3554"/>
      <c r="J96" s="3554"/>
      <c r="K96" s="3555"/>
      <c r="L96" s="3556"/>
      <c r="M96" s="3557"/>
      <c r="N96" s="3671"/>
      <c r="O96" s="3671"/>
      <c r="P96" s="3672"/>
      <c r="Q96" s="3662"/>
    </row>
    <row r="97" spans="1:17" ht="15.75" thickBot="1">
      <c r="A97" s="3514"/>
      <c r="B97" s="3524"/>
      <c r="C97" s="3687"/>
      <c r="D97" s="3687"/>
      <c r="E97" s="3687"/>
      <c r="F97" s="3687"/>
      <c r="G97" s="3516"/>
      <c r="H97" s="3516"/>
      <c r="I97" s="3516"/>
      <c r="J97" s="3516"/>
      <c r="K97" s="3516"/>
      <c r="L97" s="3516"/>
      <c r="M97" s="3517"/>
      <c r="N97" s="3673"/>
      <c r="O97" s="3673"/>
      <c r="P97" s="3672"/>
      <c r="Q97" s="3662"/>
    </row>
    <row r="98" spans="1:17" ht="15.75" thickTop="1">
      <c r="A98" s="3514"/>
      <c r="B98" s="3552">
        <f>B31</f>
        <v>111</v>
      </c>
      <c r="C98" s="3692"/>
      <c r="D98" s="3692"/>
      <c r="E98" s="3692"/>
      <c r="F98" s="3692"/>
      <c r="G98" s="3692"/>
      <c r="H98" s="3692"/>
      <c r="I98" s="3692"/>
      <c r="J98" s="3692"/>
      <c r="K98" s="3693"/>
      <c r="L98" s="3694"/>
      <c r="M98" s="3695"/>
      <c r="N98" s="3671"/>
      <c r="O98" s="3671"/>
      <c r="P98" s="3672"/>
      <c r="Q98" s="3662"/>
    </row>
    <row r="99" spans="1:17" ht="15.75" thickBot="1">
      <c r="A99" s="3696"/>
      <c r="B99" s="3686"/>
      <c r="C99" s="3697"/>
      <c r="D99" s="3697"/>
      <c r="E99" s="3697"/>
      <c r="F99" s="3697"/>
      <c r="G99" s="3697"/>
      <c r="H99" s="3697"/>
      <c r="I99" s="3697"/>
      <c r="J99" s="3697"/>
      <c r="K99" s="3697"/>
      <c r="L99" s="3697"/>
      <c r="M99" s="3698"/>
      <c r="N99" s="3673"/>
      <c r="O99" s="3673"/>
      <c r="P99" s="3672"/>
      <c r="Q99" s="3662"/>
    </row>
    <row r="100" spans="1:17">
      <c r="A100" s="3505" t="s">
        <v>3176</v>
      </c>
      <c r="B100" s="3506" t="s">
        <v>3236</v>
      </c>
      <c r="C100" s="3699" t="s">
        <v>3237</v>
      </c>
      <c r="D100" s="3699" t="s">
        <v>3238</v>
      </c>
      <c r="E100" s="3699" t="s">
        <v>3239</v>
      </c>
      <c r="F100" s="3699" t="s">
        <v>3240</v>
      </c>
      <c r="G100" s="3699" t="s">
        <v>3241</v>
      </c>
      <c r="H100" s="3699" t="s">
        <v>3242</v>
      </c>
      <c r="I100" s="3699" t="s">
        <v>3243</v>
      </c>
      <c r="J100" s="3508"/>
      <c r="K100" s="3509"/>
      <c r="L100" s="3510"/>
      <c r="M100" s="3511"/>
      <c r="N100" s="3671"/>
      <c r="O100" s="3671"/>
      <c r="P100" s="3672"/>
      <c r="Q100" s="3662"/>
    </row>
    <row r="101" spans="1:17" ht="15.75" thickBot="1">
      <c r="A101" s="3514"/>
      <c r="B101" s="3524"/>
      <c r="C101" s="3525">
        <v>100</v>
      </c>
      <c r="D101" s="3525">
        <f t="shared" ref="D101:M101" si="26">C101-$K32</f>
        <v>98</v>
      </c>
      <c r="E101" s="3525">
        <f t="shared" si="26"/>
        <v>96</v>
      </c>
      <c r="F101" s="3525">
        <f t="shared" si="26"/>
        <v>94</v>
      </c>
      <c r="G101" s="3525">
        <f t="shared" si="26"/>
        <v>92</v>
      </c>
      <c r="H101" s="3525">
        <f t="shared" si="26"/>
        <v>90</v>
      </c>
      <c r="I101" s="3525">
        <f t="shared" si="26"/>
        <v>88</v>
      </c>
      <c r="J101" s="3525">
        <f t="shared" si="26"/>
        <v>86</v>
      </c>
      <c r="K101" s="3525">
        <f t="shared" si="26"/>
        <v>84</v>
      </c>
      <c r="L101" s="3525">
        <f t="shared" si="26"/>
        <v>82</v>
      </c>
      <c r="M101" s="3525">
        <f t="shared" si="26"/>
        <v>80</v>
      </c>
      <c r="N101" s="3673"/>
      <c r="O101" s="3673"/>
      <c r="P101" s="3672"/>
      <c r="Q101" s="3662"/>
    </row>
    <row r="102" spans="1:17" ht="29.25" thickTop="1">
      <c r="A102" s="3514"/>
      <c r="B102" s="3519" t="s">
        <v>3244</v>
      </c>
      <c r="C102" s="3551" t="str">
        <f>C103&amp;"(含)"&amp;"-"&amp;D103</f>
        <v>0(含)-200</v>
      </c>
      <c r="D102" s="3551" t="str">
        <f t="shared" ref="D102:L102" si="27">D103&amp;"(含)"&amp;"-"&amp;E103</f>
        <v>200(含)-400</v>
      </c>
      <c r="E102" s="3551" t="str">
        <f t="shared" si="27"/>
        <v>400(含)-600</v>
      </c>
      <c r="F102" s="3551" t="str">
        <f t="shared" si="27"/>
        <v>600(含)-800</v>
      </c>
      <c r="G102" s="3551" t="str">
        <f t="shared" si="27"/>
        <v>800(含)-1000</v>
      </c>
      <c r="H102" s="3551" t="str">
        <f t="shared" si="27"/>
        <v>1000(含)-2000</v>
      </c>
      <c r="I102" s="3551" t="str">
        <f t="shared" si="27"/>
        <v>2000(含)-</v>
      </c>
      <c r="J102" s="3551" t="str">
        <f t="shared" si="27"/>
        <v>(含)-</v>
      </c>
      <c r="K102" s="3551" t="str">
        <f>K103&amp;"(含)"&amp;"-"&amp;L103</f>
        <v>(含)-</v>
      </c>
      <c r="L102" s="3551" t="str">
        <f t="shared" si="27"/>
        <v>(含)-</v>
      </c>
      <c r="M102" s="3551" t="str">
        <f>M103&amp;"(含)"&amp;"-"&amp;P103</f>
        <v>(含)-</v>
      </c>
      <c r="N102" s="3669"/>
      <c r="O102" s="3669"/>
      <c r="P102" s="3672"/>
      <c r="Q102" s="3662"/>
    </row>
    <row r="103" spans="1:17" s="3420" customFormat="1">
      <c r="A103" s="3572"/>
      <c r="B103" s="3700"/>
      <c r="C103" s="3574">
        <v>0</v>
      </c>
      <c r="D103" s="3574">
        <v>200</v>
      </c>
      <c r="E103" s="3574">
        <v>400</v>
      </c>
      <c r="F103" s="3574">
        <v>600</v>
      </c>
      <c r="G103" s="3574">
        <v>800</v>
      </c>
      <c r="H103" s="3574">
        <v>1000</v>
      </c>
      <c r="I103" s="3574">
        <v>2000</v>
      </c>
      <c r="J103" s="3575"/>
      <c r="K103" s="3575"/>
      <c r="L103" s="3576"/>
      <c r="M103" s="3577"/>
      <c r="N103" s="3676"/>
      <c r="O103" s="3676"/>
      <c r="P103" s="3677"/>
      <c r="Q103" s="3678"/>
    </row>
    <row r="104" spans="1:17" s="3420" customFormat="1" ht="15.75" thickBot="1">
      <c r="A104" s="3533"/>
      <c r="B104" s="3524"/>
      <c r="C104" s="3532">
        <v>100</v>
      </c>
      <c r="D104" s="3516">
        <v>99</v>
      </c>
      <c r="E104" s="3532">
        <v>98</v>
      </c>
      <c r="F104" s="3516">
        <v>97</v>
      </c>
      <c r="G104" s="3532">
        <v>96</v>
      </c>
      <c r="H104" s="3516">
        <v>95</v>
      </c>
      <c r="I104" s="3532">
        <v>94</v>
      </c>
      <c r="J104" s="3516"/>
      <c r="K104" s="3516"/>
      <c r="L104" s="3516"/>
      <c r="M104" s="3516"/>
      <c r="N104" s="3673"/>
      <c r="O104" s="3673"/>
      <c r="P104" s="3677"/>
      <c r="Q104" s="3678"/>
    </row>
    <row r="105" spans="1:17" ht="15" thickTop="1">
      <c r="A105" s="3565"/>
      <c r="B105" s="3519" t="s">
        <v>3245</v>
      </c>
      <c r="C105" s="3534"/>
      <c r="D105" s="3534"/>
      <c r="E105" s="3554"/>
      <c r="F105" s="3554"/>
      <c r="G105" s="3554"/>
      <c r="H105" s="3554"/>
      <c r="I105" s="3554"/>
      <c r="J105" s="3554"/>
      <c r="K105" s="3555"/>
      <c r="L105" s="3556"/>
      <c r="M105" s="3557"/>
      <c r="N105" s="3671"/>
      <c r="O105" s="3671"/>
      <c r="P105" s="3672"/>
      <c r="Q105" s="3662"/>
    </row>
    <row r="106" spans="1:17" ht="15.75" thickBot="1">
      <c r="A106" s="3514"/>
      <c r="B106" s="3524"/>
      <c r="C106" s="3525">
        <v>100</v>
      </c>
      <c r="D106" s="3525">
        <f t="shared" ref="D106:M106" si="28">C106-$K34</f>
        <v>100</v>
      </c>
      <c r="E106" s="3525">
        <f t="shared" si="28"/>
        <v>100</v>
      </c>
      <c r="F106" s="3525">
        <f t="shared" si="28"/>
        <v>100</v>
      </c>
      <c r="G106" s="3525">
        <f t="shared" si="28"/>
        <v>100</v>
      </c>
      <c r="H106" s="3525">
        <f t="shared" si="28"/>
        <v>100</v>
      </c>
      <c r="I106" s="3525">
        <f t="shared" si="28"/>
        <v>100</v>
      </c>
      <c r="J106" s="3525">
        <f t="shared" si="28"/>
        <v>100</v>
      </c>
      <c r="K106" s="3525">
        <f t="shared" si="28"/>
        <v>100</v>
      </c>
      <c r="L106" s="3525">
        <f t="shared" si="28"/>
        <v>100</v>
      </c>
      <c r="M106" s="3525">
        <f t="shared" si="28"/>
        <v>100</v>
      </c>
      <c r="N106" s="3673"/>
      <c r="O106" s="3673"/>
      <c r="P106" s="3672"/>
      <c r="Q106" s="3662"/>
    </row>
    <row r="107" spans="1:17" ht="15" thickTop="1">
      <c r="A107" s="3565"/>
      <c r="B107" s="3519" t="s">
        <v>3246</v>
      </c>
      <c r="C107" s="3554"/>
      <c r="D107" s="3554"/>
      <c r="E107" s="3554"/>
      <c r="F107" s="3554"/>
      <c r="G107" s="3554"/>
      <c r="H107" s="3554"/>
      <c r="I107" s="3554"/>
      <c r="J107" s="3554"/>
      <c r="K107" s="3555"/>
      <c r="L107" s="3556"/>
      <c r="M107" s="3557"/>
      <c r="N107" s="3671"/>
      <c r="O107" s="3671"/>
      <c r="P107" s="3672"/>
      <c r="Q107" s="3662"/>
    </row>
    <row r="108" spans="1:17" ht="15.75" thickBot="1">
      <c r="A108" s="3514"/>
      <c r="B108" s="3524"/>
      <c r="C108" s="3525">
        <v>100</v>
      </c>
      <c r="D108" s="3525">
        <f t="shared" ref="D108:M108" si="29">C108-$K35</f>
        <v>100</v>
      </c>
      <c r="E108" s="3525">
        <f t="shared" si="29"/>
        <v>100</v>
      </c>
      <c r="F108" s="3525">
        <f t="shared" si="29"/>
        <v>100</v>
      </c>
      <c r="G108" s="3525">
        <f t="shared" si="29"/>
        <v>100</v>
      </c>
      <c r="H108" s="3525">
        <f t="shared" si="29"/>
        <v>100</v>
      </c>
      <c r="I108" s="3525">
        <f t="shared" si="29"/>
        <v>100</v>
      </c>
      <c r="J108" s="3525">
        <f t="shared" si="29"/>
        <v>100</v>
      </c>
      <c r="K108" s="3525">
        <f t="shared" si="29"/>
        <v>100</v>
      </c>
      <c r="L108" s="3525">
        <f t="shared" si="29"/>
        <v>100</v>
      </c>
      <c r="M108" s="3525">
        <f t="shared" si="29"/>
        <v>100</v>
      </c>
      <c r="N108" s="3673"/>
      <c r="O108" s="3673"/>
      <c r="P108" s="3672"/>
      <c r="Q108" s="3662"/>
    </row>
    <row r="109" spans="1:17" ht="15" thickTop="1">
      <c r="A109" s="3565"/>
      <c r="B109" s="3519" t="s">
        <v>3247</v>
      </c>
      <c r="C109" s="3534"/>
      <c r="D109" s="3534"/>
      <c r="E109" s="3534"/>
      <c r="F109" s="3554"/>
      <c r="G109" s="3554"/>
      <c r="H109" s="3554"/>
      <c r="I109" s="3554"/>
      <c r="J109" s="3554"/>
      <c r="K109" s="3555"/>
      <c r="L109" s="3556"/>
      <c r="M109" s="3557"/>
      <c r="N109" s="3671"/>
      <c r="O109" s="3671"/>
      <c r="P109" s="3672"/>
      <c r="Q109" s="3662"/>
    </row>
    <row r="110" spans="1:17" ht="15.75" thickBot="1">
      <c r="A110" s="3514"/>
      <c r="B110" s="3524"/>
      <c r="C110" s="3525">
        <v>100</v>
      </c>
      <c r="D110" s="3525">
        <f t="shared" ref="D110:M110" si="30">C110-$K36</f>
        <v>100</v>
      </c>
      <c r="E110" s="3525">
        <f t="shared" si="30"/>
        <v>100</v>
      </c>
      <c r="F110" s="3525">
        <f t="shared" si="30"/>
        <v>100</v>
      </c>
      <c r="G110" s="3525">
        <f t="shared" si="30"/>
        <v>100</v>
      </c>
      <c r="H110" s="3525">
        <f t="shared" si="30"/>
        <v>100</v>
      </c>
      <c r="I110" s="3525">
        <f t="shared" si="30"/>
        <v>100</v>
      </c>
      <c r="J110" s="3525">
        <f t="shared" si="30"/>
        <v>100</v>
      </c>
      <c r="K110" s="3525">
        <f t="shared" si="30"/>
        <v>100</v>
      </c>
      <c r="L110" s="3525">
        <f t="shared" si="30"/>
        <v>100</v>
      </c>
      <c r="M110" s="3525">
        <f t="shared" si="30"/>
        <v>100</v>
      </c>
      <c r="N110" s="3673"/>
      <c r="O110" s="3673"/>
      <c r="P110" s="3672"/>
      <c r="Q110" s="3662"/>
    </row>
    <row r="111" spans="1:17" s="3420" customFormat="1" ht="15" thickTop="1">
      <c r="A111" s="3572"/>
      <c r="B111" s="3519" t="s">
        <v>3248</v>
      </c>
      <c r="C111" s="3551" t="str">
        <f>C112&amp;"(含)"&amp;"-"&amp;D112</f>
        <v>0.5(含)-0.6</v>
      </c>
      <c r="D111" s="3551" t="str">
        <f>D112&amp;"(含)"&amp;"-"&amp;E112</f>
        <v>0.6(含)-0.7</v>
      </c>
      <c r="E111" s="3551" t="str">
        <f>E112&amp;"(含)"&amp;"-"&amp;F112</f>
        <v>0.7(含)-0.8</v>
      </c>
      <c r="F111" s="3551" t="str">
        <f>F112&amp;"(含)"&amp;"-"&amp;G112</f>
        <v>0.8(含)-0.9</v>
      </c>
      <c r="G111" s="3551" t="str">
        <f>G112&amp;"(含)"&amp;"-"&amp;ROUND(H112,0)&amp;"(含)"</f>
        <v>0.9(含)-1(含)</v>
      </c>
      <c r="H111" s="3551" t="str">
        <f>ROUND(H112,0)&amp;"(含)"&amp;"-"&amp;I112</f>
        <v>1(含)-</v>
      </c>
      <c r="I111" s="3551"/>
      <c r="J111" s="3701"/>
      <c r="K111" s="3701"/>
      <c r="L111" s="3702"/>
      <c r="M111" s="3703"/>
      <c r="N111" s="3676"/>
      <c r="O111" s="3676"/>
      <c r="P111" s="3677"/>
      <c r="Q111" s="3678"/>
    </row>
    <row r="112" spans="1:17" s="3420" customFormat="1">
      <c r="A112" s="3572"/>
      <c r="B112" s="3552"/>
      <c r="C112" s="3566">
        <v>0.5</v>
      </c>
      <c r="D112" s="3566">
        <v>0.6</v>
      </c>
      <c r="E112" s="3566">
        <v>0.7</v>
      </c>
      <c r="F112" s="3566">
        <v>0.8</v>
      </c>
      <c r="G112" s="3566">
        <v>0.9</v>
      </c>
      <c r="H112" s="3566">
        <v>1.0001</v>
      </c>
      <c r="I112" s="3566"/>
      <c r="J112" s="3704"/>
      <c r="K112" s="3704"/>
      <c r="L112" s="3705"/>
      <c r="M112" s="3706"/>
      <c r="N112" s="3676"/>
      <c r="O112" s="3676"/>
      <c r="P112" s="3677"/>
      <c r="Q112" s="3678"/>
    </row>
    <row r="113" spans="1:17" s="3420" customFormat="1" ht="15.75" thickBot="1">
      <c r="A113" s="3533"/>
      <c r="B113" s="3524"/>
      <c r="C113" s="3571">
        <v>100</v>
      </c>
      <c r="D113" s="3525">
        <f>C113+$K37</f>
        <v>102</v>
      </c>
      <c r="E113" s="3525">
        <f>D113+$K37</f>
        <v>104</v>
      </c>
      <c r="F113" s="3525">
        <f>E113+$K37</f>
        <v>106</v>
      </c>
      <c r="G113" s="3525">
        <f>F113+$K37</f>
        <v>108</v>
      </c>
      <c r="H113" s="3525">
        <f>G113+$K37</f>
        <v>110</v>
      </c>
      <c r="I113" s="3571"/>
      <c r="J113" s="3707"/>
      <c r="K113" s="3707"/>
      <c r="L113" s="3707"/>
      <c r="M113" s="3708"/>
      <c r="N113" s="3676"/>
      <c r="O113" s="3676"/>
      <c r="P113" s="3677"/>
      <c r="Q113" s="3678"/>
    </row>
    <row r="114" spans="1:17" ht="15" thickTop="1">
      <c r="A114" s="3565"/>
      <c r="B114" s="3519" t="s">
        <v>3249</v>
      </c>
      <c r="C114" s="3534"/>
      <c r="D114" s="3534"/>
      <c r="E114" s="3554"/>
      <c r="F114" s="3554"/>
      <c r="G114" s="3554"/>
      <c r="H114" s="3554"/>
      <c r="I114" s="3554"/>
      <c r="J114" s="3554"/>
      <c r="K114" s="3555"/>
      <c r="L114" s="3556"/>
      <c r="M114" s="3557"/>
      <c r="N114" s="3671"/>
      <c r="O114" s="3671"/>
      <c r="P114" s="3672"/>
      <c r="Q114" s="3662"/>
    </row>
    <row r="115" spans="1:17" ht="15.75" thickBot="1">
      <c r="A115" s="3514"/>
      <c r="B115" s="3524"/>
      <c r="C115" s="3525">
        <v>100</v>
      </c>
      <c r="D115" s="3525">
        <f t="shared" ref="D115:M115" si="31">C115-$K38</f>
        <v>100</v>
      </c>
      <c r="E115" s="3525">
        <f t="shared" si="31"/>
        <v>100</v>
      </c>
      <c r="F115" s="3525">
        <f t="shared" si="31"/>
        <v>100</v>
      </c>
      <c r="G115" s="3525">
        <f t="shared" si="31"/>
        <v>100</v>
      </c>
      <c r="H115" s="3525">
        <f t="shared" si="31"/>
        <v>100</v>
      </c>
      <c r="I115" s="3525">
        <f t="shared" si="31"/>
        <v>100</v>
      </c>
      <c r="J115" s="3525">
        <f t="shared" si="31"/>
        <v>100</v>
      </c>
      <c r="K115" s="3525">
        <f t="shared" si="31"/>
        <v>100</v>
      </c>
      <c r="L115" s="3525">
        <f t="shared" si="31"/>
        <v>100</v>
      </c>
      <c r="M115" s="3525">
        <f t="shared" si="31"/>
        <v>100</v>
      </c>
      <c r="N115" s="3673"/>
      <c r="O115" s="3673"/>
      <c r="P115" s="3672"/>
      <c r="Q115" s="3662"/>
    </row>
    <row r="116" spans="1:17" ht="15" thickTop="1">
      <c r="A116" s="3565"/>
      <c r="B116" s="3519" t="s">
        <v>3250</v>
      </c>
      <c r="C116" s="3534"/>
      <c r="D116" s="3534"/>
      <c r="E116" s="3534"/>
      <c r="F116" s="3534"/>
      <c r="G116" s="3534"/>
      <c r="H116" s="3554"/>
      <c r="I116" s="3554"/>
      <c r="J116" s="3554"/>
      <c r="K116" s="3555"/>
      <c r="L116" s="3556"/>
      <c r="M116" s="3557"/>
      <c r="N116" s="3671"/>
      <c r="O116" s="3671"/>
      <c r="P116" s="3672"/>
      <c r="Q116" s="3662"/>
    </row>
    <row r="117" spans="1:17" ht="15.75" thickBot="1">
      <c r="A117" s="3514"/>
      <c r="B117" s="3524"/>
      <c r="C117" s="3525">
        <v>100</v>
      </c>
      <c r="D117" s="3525">
        <f>C117-$K39</f>
        <v>100</v>
      </c>
      <c r="E117" s="3525">
        <f>D117-$K39</f>
        <v>100</v>
      </c>
      <c r="F117" s="3525">
        <f>E117-$K39</f>
        <v>100</v>
      </c>
      <c r="G117" s="3525">
        <f>F117-$K39</f>
        <v>100</v>
      </c>
      <c r="H117" s="3525"/>
      <c r="I117" s="3525"/>
      <c r="J117" s="3525"/>
      <c r="K117" s="3525"/>
      <c r="L117" s="3525"/>
      <c r="M117" s="3526"/>
      <c r="N117" s="3673"/>
      <c r="O117" s="3673"/>
      <c r="P117" s="3672"/>
      <c r="Q117" s="3662"/>
    </row>
    <row r="118" spans="1:17" ht="15" thickTop="1">
      <c r="A118" s="3565"/>
      <c r="B118" s="3519" t="s">
        <v>3251</v>
      </c>
      <c r="C118" s="3554"/>
      <c r="D118" s="3554"/>
      <c r="E118" s="3554"/>
      <c r="F118" s="3554"/>
      <c r="G118" s="3554"/>
      <c r="H118" s="3554"/>
      <c r="I118" s="3554"/>
      <c r="J118" s="3554"/>
      <c r="K118" s="3555"/>
      <c r="L118" s="3556"/>
      <c r="M118" s="3557"/>
      <c r="N118" s="3671"/>
      <c r="O118" s="3671"/>
      <c r="P118" s="3672"/>
      <c r="Q118" s="3662"/>
    </row>
    <row r="119" spans="1:17" ht="15.75" thickBot="1">
      <c r="A119" s="3514"/>
      <c r="B119" s="3524"/>
      <c r="C119" s="3525">
        <v>100</v>
      </c>
      <c r="D119" s="3525">
        <f t="shared" ref="D119:M119" si="32">C119-$K40</f>
        <v>100</v>
      </c>
      <c r="E119" s="3525">
        <f t="shared" si="32"/>
        <v>100</v>
      </c>
      <c r="F119" s="3525">
        <f t="shared" si="32"/>
        <v>100</v>
      </c>
      <c r="G119" s="3525">
        <f t="shared" si="32"/>
        <v>100</v>
      </c>
      <c r="H119" s="3525">
        <f t="shared" si="32"/>
        <v>100</v>
      </c>
      <c r="I119" s="3525">
        <f t="shared" si="32"/>
        <v>100</v>
      </c>
      <c r="J119" s="3525">
        <f t="shared" si="32"/>
        <v>100</v>
      </c>
      <c r="K119" s="3525">
        <f t="shared" si="32"/>
        <v>100</v>
      </c>
      <c r="L119" s="3525">
        <f t="shared" si="32"/>
        <v>100</v>
      </c>
      <c r="M119" s="3525">
        <f t="shared" si="32"/>
        <v>100</v>
      </c>
      <c r="N119" s="3673"/>
      <c r="O119" s="3673"/>
      <c r="P119" s="3672"/>
      <c r="Q119" s="3662"/>
    </row>
    <row r="120" spans="1:17" s="3420" customFormat="1" ht="28.5" thickTop="1">
      <c r="A120" s="3572"/>
      <c r="B120" s="3519" t="s">
        <v>3193</v>
      </c>
      <c r="C120" s="3534"/>
      <c r="D120" s="3534"/>
      <c r="E120" s="3534"/>
      <c r="F120" s="3534"/>
      <c r="G120" s="3534"/>
      <c r="H120" s="3534"/>
      <c r="I120" s="3534"/>
      <c r="J120" s="3534"/>
      <c r="K120" s="3534"/>
      <c r="L120" s="3559"/>
      <c r="M120" s="3560"/>
      <c r="N120" s="3676"/>
      <c r="O120" s="3676"/>
      <c r="P120" s="3677"/>
      <c r="Q120" s="3678"/>
    </row>
    <row r="121" spans="1:17" s="3420" customFormat="1" ht="15.75" thickBot="1">
      <c r="A121" s="3533"/>
      <c r="B121" s="3515"/>
      <c r="C121" s="3532"/>
      <c r="D121" s="3516"/>
      <c r="E121" s="3516"/>
      <c r="F121" s="3516"/>
      <c r="G121" s="3516"/>
      <c r="H121" s="3516"/>
      <c r="I121" s="3516"/>
      <c r="J121" s="3516"/>
      <c r="K121" s="3516"/>
      <c r="L121" s="3516"/>
      <c r="M121" s="3516"/>
      <c r="N121" s="3676"/>
      <c r="O121" s="3676"/>
      <c r="P121" s="3677"/>
      <c r="Q121" s="3678"/>
    </row>
    <row r="122" spans="1:17" ht="15" thickTop="1">
      <c r="A122" s="3565"/>
      <c r="B122" s="3519" t="s">
        <v>3252</v>
      </c>
      <c r="C122" s="3709" t="s">
        <v>3253</v>
      </c>
      <c r="D122" s="3709" t="s">
        <v>3254</v>
      </c>
      <c r="E122" s="3709" t="s">
        <v>3255</v>
      </c>
      <c r="F122" s="3710" t="s">
        <v>3256</v>
      </c>
      <c r="G122" s="3554"/>
      <c r="H122" s="3554"/>
      <c r="I122" s="3554"/>
      <c r="J122" s="3554"/>
      <c r="K122" s="3555"/>
      <c r="L122" s="3556"/>
      <c r="M122" s="3557"/>
      <c r="N122" s="3671"/>
      <c r="O122" s="3671"/>
      <c r="P122" s="3672"/>
      <c r="Q122" s="3662"/>
    </row>
    <row r="123" spans="1:17" ht="15.75" thickBot="1">
      <c r="A123" s="3514"/>
      <c r="B123" s="3524"/>
      <c r="C123" s="3525">
        <v>100</v>
      </c>
      <c r="D123" s="3525">
        <f t="shared" ref="D123:M123" si="33">C123-$K42</f>
        <v>100</v>
      </c>
      <c r="E123" s="3525">
        <f t="shared" si="33"/>
        <v>100</v>
      </c>
      <c r="F123" s="3525">
        <f t="shared" si="33"/>
        <v>100</v>
      </c>
      <c r="G123" s="3525">
        <f t="shared" si="33"/>
        <v>100</v>
      </c>
      <c r="H123" s="3525">
        <f t="shared" si="33"/>
        <v>100</v>
      </c>
      <c r="I123" s="3525">
        <f t="shared" si="33"/>
        <v>100</v>
      </c>
      <c r="J123" s="3525">
        <f t="shared" si="33"/>
        <v>100</v>
      </c>
      <c r="K123" s="3525">
        <f t="shared" si="33"/>
        <v>100</v>
      </c>
      <c r="L123" s="3525">
        <f t="shared" si="33"/>
        <v>100</v>
      </c>
      <c r="M123" s="3525">
        <f t="shared" si="33"/>
        <v>100</v>
      </c>
      <c r="N123" s="3673"/>
      <c r="O123" s="3673"/>
      <c r="P123" s="3672"/>
      <c r="Q123" s="3662"/>
    </row>
    <row r="124" spans="1:17" ht="15" thickTop="1">
      <c r="A124" s="3565"/>
      <c r="B124" s="3519" t="s">
        <v>3257</v>
      </c>
      <c r="C124" s="3551" t="s">
        <v>3222</v>
      </c>
      <c r="D124" s="3551" t="s">
        <v>3223</v>
      </c>
      <c r="E124" s="3551" t="s">
        <v>3224</v>
      </c>
      <c r="F124" s="3551" t="s">
        <v>3225</v>
      </c>
      <c r="G124" s="3551" t="s">
        <v>3226</v>
      </c>
      <c r="H124" s="3520"/>
      <c r="I124" s="3520"/>
      <c r="J124" s="3520"/>
      <c r="K124" s="3521"/>
      <c r="L124" s="3522"/>
      <c r="M124" s="3523"/>
      <c r="N124" s="3671"/>
      <c r="O124" s="3671"/>
      <c r="P124" s="3677"/>
      <c r="Q124" s="3662"/>
    </row>
    <row r="125" spans="1:17" ht="15.75" thickBot="1">
      <c r="A125" s="3514"/>
      <c r="B125" s="3524"/>
      <c r="C125" s="3525">
        <v>100</v>
      </c>
      <c r="D125" s="3525">
        <f>C125-$K43</f>
        <v>100</v>
      </c>
      <c r="E125" s="3525">
        <f>D125-$K43</f>
        <v>100</v>
      </c>
      <c r="F125" s="3525">
        <f>E125-$K43</f>
        <v>100</v>
      </c>
      <c r="G125" s="3525">
        <f>F125-$K43</f>
        <v>100</v>
      </c>
      <c r="H125" s="3525"/>
      <c r="I125" s="3525"/>
      <c r="J125" s="3525"/>
      <c r="K125" s="3525"/>
      <c r="L125" s="3525"/>
      <c r="M125" s="3526"/>
      <c r="N125" s="3673"/>
      <c r="O125" s="3673"/>
      <c r="P125" s="3672"/>
      <c r="Q125" s="3662"/>
    </row>
    <row r="126" spans="1:17" s="3420" customFormat="1" ht="15" thickTop="1">
      <c r="A126" s="3572"/>
      <c r="B126" s="3519" t="str">
        <f>B44</f>
        <v>现状</v>
      </c>
      <c r="C126" s="3709" t="s">
        <v>3258</v>
      </c>
      <c r="D126" s="3709" t="s">
        <v>3259</v>
      </c>
      <c r="E126" s="3534"/>
      <c r="F126" s="3534"/>
      <c r="G126" s="3534"/>
      <c r="H126" s="3535"/>
      <c r="I126" s="3535"/>
      <c r="J126" s="3535"/>
      <c r="K126" s="3535"/>
      <c r="L126" s="3536"/>
      <c r="M126" s="3537"/>
      <c r="N126" s="3676"/>
      <c r="O126" s="3676"/>
      <c r="P126" s="3677"/>
      <c r="Q126" s="3678"/>
    </row>
    <row r="127" spans="1:17" s="3420" customFormat="1" ht="15.75" thickBot="1">
      <c r="A127" s="3533"/>
      <c r="B127" s="3524"/>
      <c r="C127" s="3532">
        <v>100</v>
      </c>
      <c r="D127" s="3516">
        <v>110</v>
      </c>
      <c r="E127" s="3516"/>
      <c r="F127" s="3516"/>
      <c r="G127" s="3532"/>
      <c r="H127" s="3544"/>
      <c r="I127" s="3544"/>
      <c r="J127" s="3544"/>
      <c r="K127" s="3544"/>
      <c r="L127" s="3544"/>
      <c r="M127" s="3545"/>
      <c r="N127" s="3676"/>
      <c r="O127" s="3676"/>
      <c r="P127" s="3677"/>
      <c r="Q127" s="3678"/>
    </row>
    <row r="128" spans="1:17" ht="15" thickTop="1">
      <c r="A128" s="3565"/>
      <c r="B128" s="3519" t="str">
        <f>B45</f>
        <v>赠送花园</v>
      </c>
      <c r="C128" s="3709" t="s">
        <v>3260</v>
      </c>
      <c r="D128" s="3709" t="s">
        <v>3261</v>
      </c>
      <c r="E128" s="3534"/>
      <c r="F128" s="3534"/>
      <c r="G128" s="3554"/>
      <c r="H128" s="3554"/>
      <c r="I128" s="3554"/>
      <c r="J128" s="3554"/>
      <c r="K128" s="3555"/>
      <c r="L128" s="3556"/>
      <c r="M128" s="3557"/>
      <c r="N128" s="3671"/>
      <c r="O128" s="3671"/>
      <c r="P128" s="3672"/>
      <c r="Q128" s="3662"/>
    </row>
    <row r="129" spans="1:17" ht="15.75" thickBot="1">
      <c r="A129" s="3514"/>
      <c r="B129" s="3524"/>
      <c r="C129" s="3532">
        <v>105</v>
      </c>
      <c r="D129" s="3532">
        <v>100</v>
      </c>
      <c r="E129" s="3532"/>
      <c r="F129" s="3532"/>
      <c r="G129" s="3516"/>
      <c r="H129" s="3516"/>
      <c r="I129" s="3516"/>
      <c r="J129" s="3516"/>
      <c r="K129" s="3516"/>
      <c r="L129" s="3516"/>
      <c r="M129" s="3517"/>
      <c r="N129" s="3673"/>
      <c r="O129" s="3673"/>
      <c r="P129" s="3672"/>
      <c r="Q129" s="3662"/>
    </row>
    <row r="130" spans="1:17" ht="15" thickTop="1">
      <c r="A130" s="3565"/>
      <c r="B130" s="3552">
        <f>B46</f>
        <v>111</v>
      </c>
      <c r="C130" s="3534"/>
      <c r="D130" s="3534"/>
      <c r="E130" s="3534"/>
      <c r="F130" s="3534"/>
      <c r="G130" s="3692"/>
      <c r="H130" s="3692"/>
      <c r="I130" s="3692"/>
      <c r="J130" s="3692"/>
      <c r="K130" s="3498"/>
      <c r="L130" s="3499"/>
      <c r="M130" s="3695"/>
      <c r="N130" s="3671"/>
      <c r="O130" s="3671"/>
      <c r="P130" s="3672"/>
      <c r="Q130" s="3662"/>
    </row>
    <row r="131" spans="1:17" ht="15.75" thickBot="1">
      <c r="A131" s="3696"/>
      <c r="B131" s="3686"/>
      <c r="C131" s="3687"/>
      <c r="D131" s="3687"/>
      <c r="E131" s="3687"/>
      <c r="F131" s="3687"/>
      <c r="G131" s="3697"/>
      <c r="H131" s="3697"/>
      <c r="I131" s="3697"/>
      <c r="J131" s="3697"/>
      <c r="K131" s="3697"/>
      <c r="L131" s="3697"/>
      <c r="M131" s="3698"/>
      <c r="N131" s="3673"/>
      <c r="O131" s="3673"/>
      <c r="P131" s="3672"/>
      <c r="Q131" s="3662"/>
    </row>
    <row r="136" spans="1:17" ht="15" thickBot="1">
      <c r="B136" s="3711" t="s">
        <v>3262</v>
      </c>
    </row>
    <row r="137" spans="1:17" ht="15">
      <c r="B137" s="3712" t="s">
        <v>3263</v>
      </c>
      <c r="C137" s="3713"/>
      <c r="D137" s="3713"/>
      <c r="E137" s="3713"/>
      <c r="F137" s="3713"/>
      <c r="G137" s="3714"/>
      <c r="H137" s="3715"/>
      <c r="I137" s="3716" t="s">
        <v>3264</v>
      </c>
      <c r="J137" s="3713"/>
      <c r="K137" s="3717"/>
    </row>
    <row r="138" spans="1:17" ht="15">
      <c r="B138" s="3718"/>
      <c r="C138" s="3719" t="s">
        <v>3265</v>
      </c>
      <c r="D138" s="3719" t="s">
        <v>3266</v>
      </c>
      <c r="E138" s="3720" t="s">
        <v>3267</v>
      </c>
      <c r="F138" s="3721" t="s">
        <v>3268</v>
      </c>
      <c r="G138" s="3719" t="s">
        <v>3266</v>
      </c>
      <c r="H138" s="3722" t="s">
        <v>3267</v>
      </c>
      <c r="I138" s="3723"/>
      <c r="J138" s="3719" t="s">
        <v>3269</v>
      </c>
      <c r="K138" s="3722" t="s">
        <v>3270</v>
      </c>
    </row>
    <row r="139" spans="1:17" ht="15">
      <c r="B139" s="3724">
        <v>6</v>
      </c>
      <c r="C139" s="3725">
        <v>96</v>
      </c>
      <c r="D139" s="3726" t="s">
        <v>3271</v>
      </c>
      <c r="E139" s="3727">
        <v>100</v>
      </c>
      <c r="F139" s="3728">
        <v>102.5</v>
      </c>
      <c r="G139" s="3726" t="s">
        <v>3271</v>
      </c>
      <c r="H139" s="3729">
        <v>105</v>
      </c>
      <c r="I139" s="3730" t="s">
        <v>3272</v>
      </c>
      <c r="J139" s="3725">
        <v>20</v>
      </c>
      <c r="K139" s="3731">
        <f>C145/(J139-2)</f>
        <v>4.0555555555555553E-3</v>
      </c>
    </row>
    <row r="140" spans="1:17" ht="15">
      <c r="B140" s="3732">
        <v>5</v>
      </c>
      <c r="C140" s="3733">
        <v>100</v>
      </c>
      <c r="D140" s="3733"/>
      <c r="E140" s="3734"/>
      <c r="F140" s="3735">
        <v>102</v>
      </c>
      <c r="G140" s="3733"/>
      <c r="H140" s="3736"/>
      <c r="I140" s="3737" t="s">
        <v>3273</v>
      </c>
      <c r="J140" s="3738">
        <f>ROUNDUP((J139-1)/2,0)</f>
        <v>10</v>
      </c>
      <c r="K140" s="3739">
        <v>100</v>
      </c>
    </row>
    <row r="141" spans="1:17" ht="15">
      <c r="B141" s="3732">
        <v>4</v>
      </c>
      <c r="C141" s="3733">
        <v>102</v>
      </c>
      <c r="D141" s="3733"/>
      <c r="E141" s="3734"/>
      <c r="F141" s="3735">
        <v>101.5</v>
      </c>
      <c r="G141" s="3733"/>
      <c r="H141" s="3736"/>
      <c r="I141" s="3737" t="s">
        <v>3274</v>
      </c>
      <c r="J141" s="3738">
        <v>1</v>
      </c>
      <c r="K141" s="3740">
        <f>ROUND(100+(J141-J140)*K139*100,1)</f>
        <v>96.4</v>
      </c>
    </row>
    <row r="142" spans="1:17" ht="15">
      <c r="B142" s="3732">
        <v>3</v>
      </c>
      <c r="C142" s="3733">
        <v>103</v>
      </c>
      <c r="D142" s="3733"/>
      <c r="E142" s="3734"/>
      <c r="F142" s="3735">
        <v>101</v>
      </c>
      <c r="G142" s="3733"/>
      <c r="H142" s="3736"/>
      <c r="I142" s="3737" t="s">
        <v>3275</v>
      </c>
      <c r="J142" s="3738">
        <f>J139</f>
        <v>20</v>
      </c>
      <c r="K142" s="3741">
        <v>95</v>
      </c>
    </row>
    <row r="143" spans="1:17" ht="15">
      <c r="B143" s="3732">
        <v>2</v>
      </c>
      <c r="C143" s="3733">
        <v>100</v>
      </c>
      <c r="D143" s="3733"/>
      <c r="E143" s="3734"/>
      <c r="F143" s="3735">
        <v>100.5</v>
      </c>
      <c r="G143" s="3733"/>
      <c r="H143" s="3736"/>
      <c r="I143" s="3737" t="s">
        <v>3276</v>
      </c>
      <c r="J143" s="3733">
        <v>15</v>
      </c>
      <c r="K143" s="3740">
        <f>ROUND(100+(J143-J140)*K139*100,1)</f>
        <v>102</v>
      </c>
    </row>
    <row r="144" spans="1:17" ht="15">
      <c r="B144" s="3732">
        <v>1</v>
      </c>
      <c r="C144" s="3733">
        <v>98</v>
      </c>
      <c r="D144" s="3742" t="s">
        <v>3277</v>
      </c>
      <c r="E144" s="3734">
        <v>102</v>
      </c>
      <c r="F144" s="3743">
        <v>100</v>
      </c>
      <c r="G144" s="3742" t="s">
        <v>3277</v>
      </c>
      <c r="H144" s="3736">
        <v>105</v>
      </c>
      <c r="I144" s="3737" t="s">
        <v>3276</v>
      </c>
      <c r="J144" s="3733">
        <v>18</v>
      </c>
      <c r="K144" s="3740">
        <f>ROUND(100+(J144-J140)*K139*100,1)</f>
        <v>103.2</v>
      </c>
    </row>
    <row r="145" spans="2:11" ht="15.75" thickBot="1">
      <c r="B145" s="3744" t="s">
        <v>3278</v>
      </c>
      <c r="C145" s="3745">
        <f>ROUND(MAX(C139:C144)/MIN(C139:C144)-1,3)</f>
        <v>7.2999999999999995E-2</v>
      </c>
      <c r="D145" s="3746"/>
      <c r="E145" s="3746"/>
      <c r="F145" s="3747" t="s">
        <v>3279</v>
      </c>
      <c r="G145" s="3748"/>
      <c r="H145" s="3749"/>
      <c r="I145" s="3750" t="s">
        <v>3276</v>
      </c>
      <c r="J145" s="3751">
        <v>8</v>
      </c>
      <c r="K145" s="3752">
        <f>ROUND(100+(J145-J140)*K139*100,1)</f>
        <v>99.2</v>
      </c>
    </row>
    <row r="147" spans="2:11">
      <c r="B147" s="3711" t="s">
        <v>3280</v>
      </c>
    </row>
    <row r="148" spans="2:11">
      <c r="B148" s="3711" t="s">
        <v>3281</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9"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10" zoomScale="85" zoomScaleNormal="60" zoomScaleSheetLayoutView="85" workbookViewId="0">
      <selection activeCell="M34" sqref="M34"/>
    </sheetView>
  </sheetViews>
  <sheetFormatPr defaultColWidth="9" defaultRowHeight="14.25"/>
  <cols>
    <col min="1" max="1" width="10.5" style="3320" customWidth="1"/>
    <col min="2" max="2" width="15.75" style="3320" customWidth="1"/>
    <col min="3" max="3" width="14.375" style="3320" customWidth="1"/>
    <col min="4" max="4" width="12.25" style="3320" customWidth="1"/>
    <col min="5" max="5" width="14.375" style="3320" customWidth="1"/>
    <col min="6" max="6" width="12.25" style="3320" customWidth="1"/>
    <col min="7" max="7" width="14.5" style="3320" customWidth="1"/>
    <col min="8" max="8" width="12.25" style="3320" customWidth="1"/>
    <col min="9" max="9" width="15.5" style="3320" customWidth="1"/>
    <col min="10" max="10" width="12.25" style="3320" customWidth="1"/>
    <col min="11" max="11" width="12.25" style="3581" customWidth="1"/>
    <col min="12" max="12" width="12.25" style="3582" customWidth="1"/>
    <col min="13" max="15" width="12.25" style="3320" customWidth="1"/>
    <col min="16" max="16" width="4.75" style="3583" customWidth="1"/>
    <col min="17" max="17" width="19.5" style="3320" customWidth="1"/>
    <col min="18" max="22" width="6.125" style="3320" customWidth="1"/>
    <col min="23" max="23" width="5.75" style="3320" customWidth="1"/>
    <col min="24" max="24" width="4.25" style="3320" customWidth="1"/>
    <col min="25" max="25" width="3.5" style="3320" customWidth="1"/>
    <col min="26" max="26" width="19.75" style="3320" customWidth="1"/>
    <col min="27" max="28" width="9.375" style="3320" customWidth="1"/>
    <col min="29" max="16384" width="9" style="3320"/>
  </cols>
  <sheetData>
    <row r="1" spans="1:29" s="3294" customFormat="1" ht="28.5" customHeight="1" thickBot="1">
      <c r="A1" s="3282" t="s">
        <v>3034</v>
      </c>
      <c r="B1" s="3283" t="s">
        <v>914</v>
      </c>
      <c r="C1" s="3284" t="s">
        <v>3035</v>
      </c>
      <c r="D1" s="3285" t="s">
        <v>3031</v>
      </c>
      <c r="E1" s="3286"/>
      <c r="F1" s="3287" t="s">
        <v>3036</v>
      </c>
      <c r="G1" s="3288" t="s">
        <v>3037</v>
      </c>
      <c r="H1" s="3286"/>
      <c r="I1" s="3286"/>
      <c r="J1" s="3286"/>
      <c r="K1" s="3289"/>
      <c r="L1" s="3290"/>
      <c r="M1" s="3291"/>
      <c r="N1" s="3291"/>
      <c r="O1" s="3291"/>
      <c r="P1" s="3292"/>
      <c r="Q1" s="3284"/>
      <c r="R1" s="3284"/>
      <c r="S1" s="3284"/>
      <c r="T1" s="3284"/>
      <c r="U1" s="3284"/>
      <c r="V1" s="3284"/>
      <c r="W1" s="3284"/>
      <c r="X1" s="3284"/>
      <c r="Y1" s="3284"/>
      <c r="Z1" s="3284"/>
      <c r="AA1" s="3284"/>
      <c r="AB1" s="3284"/>
      <c r="AC1" s="3293"/>
    </row>
    <row r="2" spans="1:29" s="3308" customFormat="1" ht="28.5" customHeight="1" thickTop="1">
      <c r="A2" s="3295" t="s">
        <v>3038</v>
      </c>
      <c r="B2" s="3296">
        <f>IF(C2="——",IF(B37="元/平方米",ROUND(C39*D3/10000,0),ROUND(F3*C39/10000,0)),IF(B37="元/平方米",ROUND(C39*D3/10000,0),ROUND(F3*C39/10000,0))-D2)</f>
        <v>17923</v>
      </c>
      <c r="C2" s="3297" t="s">
        <v>943</v>
      </c>
      <c r="D2" s="3298" t="e">
        <f ca="1">SUMIF(INDIRECT("'"&amp;F2&amp;"'"&amp;"!A:A"),"承租人权益价值",INDIRECT("'"&amp;F2&amp;"'"&amp;"!c:c"))</f>
        <v>#REF!</v>
      </c>
      <c r="E2" s="3299" t="s">
        <v>3039</v>
      </c>
      <c r="F2" s="3300"/>
      <c r="G2" s="3301"/>
      <c r="H2" s="3301"/>
      <c r="I2" s="3301"/>
      <c r="J2" s="3301"/>
      <c r="K2" s="3302"/>
      <c r="L2" s="3303"/>
      <c r="M2" s="3304"/>
      <c r="N2" s="3304"/>
      <c r="O2" s="3304"/>
      <c r="P2" s="3305"/>
      <c r="Q2" s="3306"/>
      <c r="R2" s="3306"/>
      <c r="S2" s="3306"/>
      <c r="T2" s="3306"/>
      <c r="U2" s="3306"/>
      <c r="V2" s="3306"/>
      <c r="W2" s="3306"/>
      <c r="X2" s="3306"/>
      <c r="Y2" s="3306"/>
      <c r="Z2" s="3306"/>
      <c r="AA2" s="3306"/>
      <c r="AB2" s="3306"/>
      <c r="AC2" s="3307"/>
    </row>
    <row r="3" spans="1:29" s="3308" customFormat="1" ht="28.5" customHeight="1" thickBot="1">
      <c r="A3" s="503" t="s">
        <v>3040</v>
      </c>
      <c r="B3" s="3309">
        <f>IF(AND(C2="——",B37="元/平方米"),C39,ROUND(B2*10000/D3,0))</f>
        <v>12012</v>
      </c>
      <c r="C3" s="3310" t="s">
        <v>3041</v>
      </c>
      <c r="D3" s="3311">
        <f>SUMIF('[1]数据-汇总表'!$C19:$C33,D1,'[1]数据-汇总表'!$E19:$E33)</f>
        <v>14921</v>
      </c>
      <c r="E3" s="3310" t="s">
        <v>3042</v>
      </c>
      <c r="F3" s="3311">
        <f>SUMIF('[1]数据-取费表'!A5:A15,D1,'[1]数据-取费表'!AH5:AH15)</f>
        <v>376</v>
      </c>
      <c r="G3" s="3301"/>
      <c r="H3" s="3301"/>
      <c r="I3" s="3301"/>
      <c r="J3" s="3301"/>
      <c r="K3" s="3302"/>
      <c r="L3" s="3303"/>
      <c r="M3" s="3304"/>
      <c r="N3" s="3304"/>
      <c r="O3" s="3304"/>
      <c r="P3" s="3305"/>
      <c r="Q3" s="3306"/>
      <c r="R3" s="3306"/>
      <c r="S3" s="3306"/>
      <c r="T3" s="3306"/>
      <c r="U3" s="3306"/>
      <c r="V3" s="3306"/>
      <c r="W3" s="3306"/>
      <c r="X3" s="3306"/>
      <c r="Y3" s="3306"/>
      <c r="Z3" s="3306"/>
      <c r="AA3" s="3306"/>
      <c r="AB3" s="3312"/>
      <c r="AC3" s="3313"/>
    </row>
    <row r="4" spans="1:29" ht="15">
      <c r="A4" s="3314" t="s">
        <v>3043</v>
      </c>
      <c r="B4" s="3315"/>
      <c r="C4" s="4093" t="s">
        <v>3044</v>
      </c>
      <c r="D4" s="4094"/>
      <c r="E4" s="4095" t="s">
        <v>3045</v>
      </c>
      <c r="F4" s="4096"/>
      <c r="G4" s="4093" t="s">
        <v>3046</v>
      </c>
      <c r="H4" s="4094"/>
      <c r="I4" s="4093" t="s">
        <v>3047</v>
      </c>
      <c r="J4" s="4094"/>
      <c r="K4" s="3316" t="s">
        <v>3048</v>
      </c>
      <c r="L4" s="3317"/>
      <c r="M4" s="3318"/>
      <c r="N4" s="3318"/>
      <c r="O4" s="3318"/>
      <c r="P4" s="4097" t="s">
        <v>3049</v>
      </c>
      <c r="Q4" s="4098"/>
      <c r="R4" s="4083" t="s">
        <v>3045</v>
      </c>
      <c r="S4" s="4084"/>
      <c r="T4" s="4083" t="s">
        <v>3046</v>
      </c>
      <c r="U4" s="4084"/>
      <c r="V4" s="4089" t="s">
        <v>3047</v>
      </c>
      <c r="W4" s="4089"/>
      <c r="X4" s="3319"/>
      <c r="Y4" s="4083" t="s">
        <v>3049</v>
      </c>
      <c r="Z4" s="4084"/>
      <c r="AA4" s="4090" t="s">
        <v>3045</v>
      </c>
      <c r="AB4" s="4091" t="s">
        <v>3046</v>
      </c>
      <c r="AC4" s="4090" t="s">
        <v>3047</v>
      </c>
    </row>
    <row r="5" spans="1:29" ht="15">
      <c r="A5" s="3321"/>
      <c r="B5" s="3322"/>
      <c r="C5" s="4103" t="s">
        <v>3050</v>
      </c>
      <c r="D5" s="4104"/>
      <c r="E5" s="4105" t="s">
        <v>3051</v>
      </c>
      <c r="F5" s="4106"/>
      <c r="G5" s="4110" t="s">
        <v>3052</v>
      </c>
      <c r="H5" s="4104"/>
      <c r="I5" s="4110" t="s">
        <v>3053</v>
      </c>
      <c r="J5" s="4104"/>
      <c r="K5" s="3316"/>
      <c r="L5" s="3317"/>
      <c r="M5" s="3318"/>
      <c r="N5" s="3318"/>
      <c r="O5" s="3318"/>
      <c r="P5" s="4099"/>
      <c r="Q5" s="4100"/>
      <c r="R5" s="4085"/>
      <c r="S5" s="4086"/>
      <c r="T5" s="4085"/>
      <c r="U5" s="4086"/>
      <c r="V5" s="4089"/>
      <c r="W5" s="4089"/>
      <c r="X5" s="3319"/>
      <c r="Y5" s="4085"/>
      <c r="Z5" s="4086"/>
      <c r="AA5" s="4091"/>
      <c r="AB5" s="4091"/>
      <c r="AC5" s="4091"/>
    </row>
    <row r="6" spans="1:29" ht="15.75" thickBot="1">
      <c r="A6" s="3323"/>
      <c r="B6" s="3324"/>
      <c r="C6" s="4078" t="s">
        <v>3021</v>
      </c>
      <c r="D6" s="4079"/>
      <c r="E6" s="4080" t="s">
        <v>3021</v>
      </c>
      <c r="F6" s="4081"/>
      <c r="G6" s="4078" t="s">
        <v>3021</v>
      </c>
      <c r="H6" s="4079"/>
      <c r="I6" s="4078" t="s">
        <v>3021</v>
      </c>
      <c r="J6" s="4079"/>
      <c r="K6" s="3316" t="s">
        <v>3054</v>
      </c>
      <c r="L6" s="3317"/>
      <c r="M6" s="3318"/>
      <c r="N6" s="3318"/>
      <c r="O6" s="3318"/>
      <c r="P6" s="4101"/>
      <c r="Q6" s="4102"/>
      <c r="R6" s="4085"/>
      <c r="S6" s="4086"/>
      <c r="T6" s="4087"/>
      <c r="U6" s="4088"/>
      <c r="V6" s="4089"/>
      <c r="W6" s="4089"/>
      <c r="X6" s="3319"/>
      <c r="Y6" s="4087"/>
      <c r="Z6" s="4088"/>
      <c r="AA6" s="4092"/>
      <c r="AB6" s="4092"/>
      <c r="AC6" s="4092"/>
    </row>
    <row r="7" spans="1:29" s="3338" customFormat="1" ht="15.75" thickBot="1">
      <c r="A7" s="3325" t="s">
        <v>3055</v>
      </c>
      <c r="B7" s="3326"/>
      <c r="C7" s="3327">
        <f>'[1]数据-取费表'!B2</f>
        <v>44232</v>
      </c>
      <c r="D7" s="3328">
        <v>100</v>
      </c>
      <c r="E7" s="3329">
        <f>C7</f>
        <v>44232</v>
      </c>
      <c r="F7" s="3330">
        <f>SUMIF(48:48,YEAR(E7)&amp;"-"&amp;MONTH(E7),49:49)</f>
        <v>100</v>
      </c>
      <c r="G7" s="3329">
        <f>E7</f>
        <v>44232</v>
      </c>
      <c r="H7" s="3328">
        <f>SUMIF(48:48,YEAR(G7)&amp;"-"&amp;MONTH(G7),49:49)</f>
        <v>100</v>
      </c>
      <c r="I7" s="3329">
        <f>G7</f>
        <v>44232</v>
      </c>
      <c r="J7" s="3328">
        <f>SUMIF(48:48,YEAR(I7)&amp;"-"&amp;MONTH(I7),49:49)</f>
        <v>100</v>
      </c>
      <c r="K7" s="3331"/>
      <c r="L7" s="3332"/>
      <c r="M7" s="3333"/>
      <c r="N7" s="3333"/>
      <c r="O7" s="3333"/>
      <c r="P7" s="4070" t="s">
        <v>3056</v>
      </c>
      <c r="Q7" s="4082"/>
      <c r="R7" s="3334" t="s">
        <v>3057</v>
      </c>
      <c r="S7" s="3335">
        <f t="shared" ref="S7:S14" si="0">F7</f>
        <v>100</v>
      </c>
      <c r="T7" s="3334" t="s">
        <v>3057</v>
      </c>
      <c r="U7" s="3335">
        <f t="shared" ref="U7:U14" si="1">H7</f>
        <v>100</v>
      </c>
      <c r="V7" s="3334" t="s">
        <v>3057</v>
      </c>
      <c r="W7" s="3335">
        <f t="shared" ref="W7:W14" si="2">J7</f>
        <v>100</v>
      </c>
      <c r="X7" s="3336"/>
      <c r="Y7" s="4070" t="s">
        <v>3056</v>
      </c>
      <c r="Z7" s="4071"/>
      <c r="AA7" s="3337">
        <f>D7/F7</f>
        <v>1</v>
      </c>
      <c r="AB7" s="3337">
        <f>D7/H7</f>
        <v>1</v>
      </c>
      <c r="AC7" s="3337">
        <f>D7/J7</f>
        <v>1</v>
      </c>
    </row>
    <row r="8" spans="1:29" s="3338" customFormat="1" ht="15.75" thickBot="1">
      <c r="A8" s="3325" t="s">
        <v>3058</v>
      </c>
      <c r="B8" s="3326"/>
      <c r="C8" s="3339" t="s">
        <v>3059</v>
      </c>
      <c r="D8" s="3328">
        <v>100</v>
      </c>
      <c r="E8" s="3339" t="s">
        <v>3022</v>
      </c>
      <c r="F8" s="3330">
        <f>SUMIF(51:51,E8,52:52)-SUMIF(51:51,C8,52:52)+100</f>
        <v>100</v>
      </c>
      <c r="G8" s="3339" t="s">
        <v>3022</v>
      </c>
      <c r="H8" s="3328">
        <f>SUMIF(51:51,G8,52:52)-SUMIF(51:51,C8,52:52)+100</f>
        <v>100</v>
      </c>
      <c r="I8" s="3339" t="s">
        <v>3022</v>
      </c>
      <c r="J8" s="3328">
        <f>SUMIF(51:51,I8,52:52)-SUMIF(51:51,C8,52:52)+100</f>
        <v>100</v>
      </c>
      <c r="K8" s="3331"/>
      <c r="L8" s="3332"/>
      <c r="M8" s="3333"/>
      <c r="N8" s="3333"/>
      <c r="O8" s="3333"/>
      <c r="P8" s="4070" t="s">
        <v>3060</v>
      </c>
      <c r="Q8" s="4071"/>
      <c r="R8" s="3334" t="s">
        <v>3057</v>
      </c>
      <c r="S8" s="3335">
        <f t="shared" si="0"/>
        <v>100</v>
      </c>
      <c r="T8" s="3334" t="s">
        <v>3057</v>
      </c>
      <c r="U8" s="3335">
        <f t="shared" si="1"/>
        <v>100</v>
      </c>
      <c r="V8" s="3334" t="s">
        <v>3057</v>
      </c>
      <c r="W8" s="3335">
        <f t="shared" si="2"/>
        <v>100</v>
      </c>
      <c r="X8" s="3336"/>
      <c r="Y8" s="4070" t="s">
        <v>3060</v>
      </c>
      <c r="Z8" s="4071"/>
      <c r="AA8" s="3337">
        <f t="shared" ref="AA8:AA36" si="3">D8/F8</f>
        <v>1</v>
      </c>
      <c r="AB8" s="3337">
        <f t="shared" ref="AB8:AB36" si="4">D8/H8</f>
        <v>1</v>
      </c>
      <c r="AC8" s="3337">
        <f t="shared" ref="AC8:AC36" si="5">D8/J8</f>
        <v>1</v>
      </c>
    </row>
    <row r="9" spans="1:29" s="3338" customFormat="1">
      <c r="A9" s="3340" t="s">
        <v>3061</v>
      </c>
      <c r="B9" s="3341" t="s">
        <v>3062</v>
      </c>
      <c r="C9" s="3342"/>
      <c r="D9" s="3343">
        <v>100</v>
      </c>
      <c r="E9" s="3344"/>
      <c r="F9" s="3343">
        <f>SUMIF(53:53,E9,54:54)-SUMIF(53:53,C9,54:54)+100</f>
        <v>100</v>
      </c>
      <c r="G9" s="3345"/>
      <c r="H9" s="3343">
        <f>SUMIF(53:53,G9,54:54)-SUMIF(53:53,C9,54:54)+100</f>
        <v>100</v>
      </c>
      <c r="I9" s="3345"/>
      <c r="J9" s="3343">
        <f>SUMIF(53:53,I9,54:54)-SUMIF(53:53,C9,54:54)+100</f>
        <v>100</v>
      </c>
      <c r="K9" s="3331"/>
      <c r="L9" s="3332"/>
      <c r="M9" s="3333"/>
      <c r="N9" s="3333"/>
      <c r="O9" s="3333"/>
      <c r="P9" s="4060" t="s">
        <v>3063</v>
      </c>
      <c r="Q9" s="3346" t="str">
        <f t="shared" ref="Q9:Q14" si="6">B9</f>
        <v>用途</v>
      </c>
      <c r="R9" s="3334" t="s">
        <v>3057</v>
      </c>
      <c r="S9" s="3335">
        <f t="shared" si="0"/>
        <v>100</v>
      </c>
      <c r="T9" s="3334" t="s">
        <v>3057</v>
      </c>
      <c r="U9" s="3335">
        <f t="shared" si="1"/>
        <v>100</v>
      </c>
      <c r="V9" s="3334" t="s">
        <v>3057</v>
      </c>
      <c r="W9" s="3335">
        <f t="shared" si="2"/>
        <v>100</v>
      </c>
      <c r="X9" s="3336"/>
      <c r="Y9" s="4073" t="s">
        <v>3064</v>
      </c>
      <c r="Z9" s="3347" t="str">
        <f t="shared" ref="Z9:Z14" si="7">Q9</f>
        <v>用途</v>
      </c>
      <c r="AA9" s="3337">
        <f t="shared" si="3"/>
        <v>1</v>
      </c>
      <c r="AB9" s="3337">
        <f t="shared" si="4"/>
        <v>1</v>
      </c>
      <c r="AC9" s="3337">
        <f t="shared" si="5"/>
        <v>1</v>
      </c>
    </row>
    <row r="10" spans="1:29" s="3356" customFormat="1" ht="27">
      <c r="A10" s="3348"/>
      <c r="B10" s="3349" t="s">
        <v>3065</v>
      </c>
      <c r="C10" s="3350" t="s">
        <v>3066</v>
      </c>
      <c r="D10" s="3351">
        <v>100</v>
      </c>
      <c r="E10" s="3350" t="s">
        <v>3067</v>
      </c>
      <c r="F10" s="3351">
        <f>SUMIF(55:55,E10,56:56)-SUMIF(55:55,C10,56:56)+100</f>
        <v>104</v>
      </c>
      <c r="G10" s="3352" t="s">
        <v>3067</v>
      </c>
      <c r="H10" s="3351">
        <f>SUMIF(55:55,G10,56:56)-SUMIF(55:55,C10,56:56)+100</f>
        <v>104</v>
      </c>
      <c r="I10" s="3350" t="s">
        <v>3067</v>
      </c>
      <c r="J10" s="3351">
        <f>SUMIF(55:55,I10,56:56)-SUMIF(55:55,C10,56:56)+100</f>
        <v>104</v>
      </c>
      <c r="K10" s="3353">
        <v>2</v>
      </c>
      <c r="L10" s="3354"/>
      <c r="M10" s="3355"/>
      <c r="N10" s="3355"/>
      <c r="O10" s="3355"/>
      <c r="P10" s="4060"/>
      <c r="Q10" s="3346" t="str">
        <f t="shared" si="6"/>
        <v>土地使用年限（年）</v>
      </c>
      <c r="R10" s="3334" t="s">
        <v>3057</v>
      </c>
      <c r="S10" s="3335">
        <f t="shared" si="0"/>
        <v>104</v>
      </c>
      <c r="T10" s="3334" t="s">
        <v>3057</v>
      </c>
      <c r="U10" s="3335">
        <f t="shared" si="1"/>
        <v>104</v>
      </c>
      <c r="V10" s="3334" t="s">
        <v>3057</v>
      </c>
      <c r="W10" s="3335">
        <f t="shared" si="2"/>
        <v>104</v>
      </c>
      <c r="X10" s="3336"/>
      <c r="Y10" s="4073"/>
      <c r="Z10" s="3347" t="str">
        <f t="shared" si="7"/>
        <v>土地使用年限（年）</v>
      </c>
      <c r="AA10" s="3337">
        <f t="shared" si="3"/>
        <v>0.96153846153846156</v>
      </c>
      <c r="AB10" s="3337">
        <f t="shared" si="4"/>
        <v>0.96153846153846156</v>
      </c>
      <c r="AC10" s="3337">
        <f t="shared" si="5"/>
        <v>0.96153846153846156</v>
      </c>
    </row>
    <row r="11" spans="1:29" ht="15">
      <c r="A11" s="3357"/>
      <c r="B11" s="3358">
        <v>111</v>
      </c>
      <c r="C11" s="3359"/>
      <c r="D11" s="3351">
        <v>100</v>
      </c>
      <c r="E11" s="3359"/>
      <c r="F11" s="3351">
        <f>SUMIF(57:57,E11,58:58)-SUMIF(57:57,C11,58:58)+100</f>
        <v>100</v>
      </c>
      <c r="G11" s="3359"/>
      <c r="H11" s="3351">
        <f>SUMIF(57:57,G11,58:58)-SUMIF(57:57,C11,58:58)+100</f>
        <v>100</v>
      </c>
      <c r="I11" s="3359"/>
      <c r="J11" s="3351">
        <f>SUMIF(57:57,I11,58:58)-SUMIF(57:57,C11,58:58)+100</f>
        <v>100</v>
      </c>
      <c r="K11" s="3360"/>
      <c r="L11" s="3361"/>
      <c r="M11" s="3318"/>
      <c r="N11" s="3318"/>
      <c r="O11" s="3318"/>
      <c r="P11" s="4060"/>
      <c r="Q11" s="3346">
        <f t="shared" si="6"/>
        <v>111</v>
      </c>
      <c r="R11" s="3334" t="s">
        <v>3057</v>
      </c>
      <c r="S11" s="3335">
        <f t="shared" si="0"/>
        <v>100</v>
      </c>
      <c r="T11" s="3334" t="s">
        <v>3057</v>
      </c>
      <c r="U11" s="3335">
        <f t="shared" si="1"/>
        <v>100</v>
      </c>
      <c r="V11" s="3334" t="s">
        <v>3057</v>
      </c>
      <c r="W11" s="3335">
        <f t="shared" si="2"/>
        <v>100</v>
      </c>
      <c r="X11" s="3336"/>
      <c r="Y11" s="4073"/>
      <c r="Z11" s="3347">
        <f t="shared" si="7"/>
        <v>111</v>
      </c>
      <c r="AA11" s="3337">
        <f t="shared" si="3"/>
        <v>1</v>
      </c>
      <c r="AB11" s="3337">
        <f t="shared" si="4"/>
        <v>1</v>
      </c>
      <c r="AC11" s="3337">
        <f t="shared" si="5"/>
        <v>1</v>
      </c>
    </row>
    <row r="12" spans="1:29" s="3338" customFormat="1" ht="15">
      <c r="A12" s="3362"/>
      <c r="B12" s="3358">
        <v>111</v>
      </c>
      <c r="C12" s="3359"/>
      <c r="D12" s="3363">
        <v>100</v>
      </c>
      <c r="E12" s="3359"/>
      <c r="F12" s="3351">
        <f>SUMIF(59:59,E12,60:60)-SUMIF(59:59,C12,60:60)+100</f>
        <v>100</v>
      </c>
      <c r="G12" s="3359"/>
      <c r="H12" s="3351">
        <f>SUMIF(59:59,G12,60:60)-SUMIF(59:59,C12,60:60)+100</f>
        <v>100</v>
      </c>
      <c r="I12" s="3359"/>
      <c r="J12" s="3351">
        <f>SUMIF(59:59,I12,60:60)-SUMIF(59:59,C12,60:60)+100</f>
        <v>100</v>
      </c>
      <c r="K12" s="3360"/>
      <c r="L12" s="3332"/>
      <c r="M12" s="3333"/>
      <c r="N12" s="3333"/>
      <c r="O12" s="3333"/>
      <c r="P12" s="4060"/>
      <c r="Q12" s="3346">
        <f t="shared" si="6"/>
        <v>111</v>
      </c>
      <c r="R12" s="3334" t="s">
        <v>3057</v>
      </c>
      <c r="S12" s="3335">
        <f t="shared" si="0"/>
        <v>100</v>
      </c>
      <c r="T12" s="3334" t="s">
        <v>3057</v>
      </c>
      <c r="U12" s="3335">
        <f t="shared" si="1"/>
        <v>100</v>
      </c>
      <c r="V12" s="3334" t="s">
        <v>3057</v>
      </c>
      <c r="W12" s="3335">
        <f t="shared" si="2"/>
        <v>100</v>
      </c>
      <c r="X12" s="3336"/>
      <c r="Y12" s="4073"/>
      <c r="Z12" s="3347">
        <f t="shared" si="7"/>
        <v>111</v>
      </c>
      <c r="AA12" s="3337">
        <f>D12/F12</f>
        <v>1</v>
      </c>
      <c r="AB12" s="3337">
        <f>D12/H12</f>
        <v>1</v>
      </c>
      <c r="AC12" s="3337">
        <f>D12/J12</f>
        <v>1</v>
      </c>
    </row>
    <row r="13" spans="1:29" ht="15.75" thickBot="1">
      <c r="A13" s="3364"/>
      <c r="B13" s="3358">
        <v>111</v>
      </c>
      <c r="C13" s="3365"/>
      <c r="D13" s="3366">
        <v>100</v>
      </c>
      <c r="E13" s="3359"/>
      <c r="F13" s="3351">
        <f>SUMIF(61:61,E13,62:62)-SUMIF(61:61,C13,62:62)+100</f>
        <v>100</v>
      </c>
      <c r="G13" s="3359"/>
      <c r="H13" s="3366">
        <f>SUMIF(61:61,G13,62:62)-SUMIF(61:61,C13,62:62)+100</f>
        <v>100</v>
      </c>
      <c r="I13" s="3359"/>
      <c r="J13" s="3366">
        <f>SUMIF(61:61,I13,62:62)-SUMIF(61:61,C13,62:62)+100</f>
        <v>100</v>
      </c>
      <c r="K13" s="3360"/>
      <c r="L13" s="3367"/>
      <c r="M13" s="3318"/>
      <c r="N13" s="3318"/>
      <c r="O13" s="3318"/>
      <c r="P13" s="4060"/>
      <c r="Q13" s="3346">
        <f t="shared" si="6"/>
        <v>111</v>
      </c>
      <c r="R13" s="3334" t="s">
        <v>3057</v>
      </c>
      <c r="S13" s="3335">
        <f t="shared" si="0"/>
        <v>100</v>
      </c>
      <c r="T13" s="3334" t="s">
        <v>3057</v>
      </c>
      <c r="U13" s="3335">
        <f t="shared" si="1"/>
        <v>100</v>
      </c>
      <c r="V13" s="3334" t="s">
        <v>3057</v>
      </c>
      <c r="W13" s="3335">
        <f t="shared" si="2"/>
        <v>100</v>
      </c>
      <c r="X13" s="3336"/>
      <c r="Y13" s="4073"/>
      <c r="Z13" s="3347">
        <f t="shared" si="7"/>
        <v>111</v>
      </c>
      <c r="AA13" s="3337">
        <f t="shared" si="3"/>
        <v>1</v>
      </c>
      <c r="AB13" s="3337">
        <f t="shared" si="4"/>
        <v>1</v>
      </c>
      <c r="AC13" s="3337">
        <f t="shared" si="5"/>
        <v>1</v>
      </c>
    </row>
    <row r="14" spans="1:29" ht="85.5">
      <c r="A14" s="3314" t="s">
        <v>3068</v>
      </c>
      <c r="B14" s="3368" t="s">
        <v>3069</v>
      </c>
      <c r="C14" s="3369" t="str">
        <f>IF(B1="工业",[1]估价对象房地状况!G4,[1]估价对象房地状况!C6)</f>
        <v>估价对象周边道路状况、公共交通通达情况、停车便捷程度，综合评价交通便捷度较好</v>
      </c>
      <c r="D14" s="3370">
        <v>100</v>
      </c>
      <c r="E14" s="3371"/>
      <c r="F14" s="3372">
        <f>SUMIF(63:63,E15,64:64)-SUMIF(63:63,C15,64:64)+100</f>
        <v>103</v>
      </c>
      <c r="G14" s="3373"/>
      <c r="H14" s="3370">
        <f>SUMIF(63:63,G15,64:64)-SUMIF(63:63,C15,64:64)+100</f>
        <v>106</v>
      </c>
      <c r="I14" s="3371"/>
      <c r="J14" s="3370">
        <f>SUMIF(63:63,I15,64:64)-SUMIF(63:63,C15,64:64)+100</f>
        <v>100</v>
      </c>
      <c r="K14" s="3374">
        <v>3</v>
      </c>
      <c r="L14" s="3367"/>
      <c r="M14" s="3318"/>
      <c r="N14" s="3318"/>
      <c r="O14" s="3318"/>
      <c r="P14" s="4076" t="s">
        <v>3070</v>
      </c>
      <c r="Q14" s="3375" t="str">
        <f t="shared" si="6"/>
        <v>交通便捷度</v>
      </c>
      <c r="R14" s="3376" t="s">
        <v>3057</v>
      </c>
      <c r="S14" s="3377">
        <f t="shared" si="0"/>
        <v>103</v>
      </c>
      <c r="T14" s="3376" t="s">
        <v>3057</v>
      </c>
      <c r="U14" s="3377">
        <f t="shared" si="1"/>
        <v>106</v>
      </c>
      <c r="V14" s="3376" t="s">
        <v>3057</v>
      </c>
      <c r="W14" s="3377">
        <f t="shared" si="2"/>
        <v>100</v>
      </c>
      <c r="X14" s="3319"/>
      <c r="Y14" s="4076" t="s">
        <v>3070</v>
      </c>
      <c r="Z14" s="3378" t="str">
        <f t="shared" si="7"/>
        <v>交通便捷度</v>
      </c>
      <c r="AA14" s="3379">
        <f t="shared" si="3"/>
        <v>0.970873786407767</v>
      </c>
      <c r="AB14" s="3379">
        <f t="shared" si="4"/>
        <v>0.94339622641509435</v>
      </c>
      <c r="AC14" s="3379">
        <f t="shared" si="5"/>
        <v>1</v>
      </c>
    </row>
    <row r="15" spans="1:29" ht="15">
      <c r="A15" s="3321"/>
      <c r="B15" s="3380"/>
      <c r="C15" s="3381" t="s">
        <v>3023</v>
      </c>
      <c r="D15" s="3382"/>
      <c r="E15" s="3381" t="s">
        <v>3024</v>
      </c>
      <c r="F15" s="3383"/>
      <c r="G15" s="3381" t="s">
        <v>3071</v>
      </c>
      <c r="H15" s="3384"/>
      <c r="I15" s="3381" t="s">
        <v>3023</v>
      </c>
      <c r="J15" s="3382"/>
      <c r="K15" s="3385"/>
      <c r="L15" s="3367"/>
      <c r="M15" s="3318"/>
      <c r="N15" s="3318"/>
      <c r="O15" s="3318"/>
      <c r="P15" s="4077"/>
      <c r="Q15" s="3375"/>
      <c r="R15" s="3376"/>
      <c r="S15" s="3377"/>
      <c r="T15" s="3376"/>
      <c r="U15" s="3377"/>
      <c r="V15" s="3376"/>
      <c r="W15" s="3377"/>
      <c r="X15" s="3319"/>
      <c r="Y15" s="4077"/>
      <c r="Z15" s="3378"/>
      <c r="AA15" s="3379">
        <v>1</v>
      </c>
      <c r="AB15" s="3379">
        <v>1</v>
      </c>
      <c r="AC15" s="3379">
        <v>1</v>
      </c>
    </row>
    <row r="16" spans="1:29" ht="42.75">
      <c r="A16" s="3321"/>
      <c r="B16" s="3386" t="s">
        <v>3072</v>
      </c>
      <c r="C16" s="3387" t="str">
        <f>IF(B1="工业",[1]估价对象房地状况!G5,[1]估价对象房地状况!C7)</f>
        <v>估价对象所在区域公共配套设施齐备情况</v>
      </c>
      <c r="D16" s="3388">
        <v>100</v>
      </c>
      <c r="E16" s="3389"/>
      <c r="F16" s="3390">
        <f>SUMIF(65:65,E17,66:66)-SUMIF(65:65,C17,66:66)+100</f>
        <v>103</v>
      </c>
      <c r="G16" s="3391"/>
      <c r="H16" s="3388">
        <f>SUMIF(65:65,G17,66:66)-SUMIF(65:65,C17,66:66)+100</f>
        <v>106</v>
      </c>
      <c r="I16" s="3389"/>
      <c r="J16" s="3388">
        <f>SUMIF(65:65,I17,66:66)-SUMIF(65:65,C17,66:66)+100</f>
        <v>100</v>
      </c>
      <c r="K16" s="3374">
        <v>3</v>
      </c>
      <c r="L16" s="3367"/>
      <c r="M16" s="3318"/>
      <c r="N16" s="3318"/>
      <c r="O16" s="3318"/>
      <c r="P16" s="4077"/>
      <c r="Q16" s="3375" t="str">
        <f>B16</f>
        <v>公共配套设施</v>
      </c>
      <c r="R16" s="3376" t="s">
        <v>3057</v>
      </c>
      <c r="S16" s="3377">
        <f>F16</f>
        <v>103</v>
      </c>
      <c r="T16" s="3376" t="s">
        <v>3057</v>
      </c>
      <c r="U16" s="3377">
        <f>H16</f>
        <v>106</v>
      </c>
      <c r="V16" s="3376" t="s">
        <v>3057</v>
      </c>
      <c r="W16" s="3377">
        <f>J16</f>
        <v>100</v>
      </c>
      <c r="X16" s="3319"/>
      <c r="Y16" s="4077"/>
      <c r="Z16" s="3378" t="str">
        <f>Q16</f>
        <v>公共配套设施</v>
      </c>
      <c r="AA16" s="3379">
        <f t="shared" si="3"/>
        <v>0.970873786407767</v>
      </c>
      <c r="AB16" s="3379">
        <f t="shared" si="4"/>
        <v>0.94339622641509435</v>
      </c>
      <c r="AC16" s="3379">
        <f t="shared" si="5"/>
        <v>1</v>
      </c>
    </row>
    <row r="17" spans="1:29" ht="15">
      <c r="A17" s="3321"/>
      <c r="B17" s="3392"/>
      <c r="C17" s="3381" t="s">
        <v>3023</v>
      </c>
      <c r="D17" s="3382"/>
      <c r="E17" s="3381" t="s">
        <v>3024</v>
      </c>
      <c r="F17" s="3383"/>
      <c r="G17" s="3381" t="s">
        <v>3071</v>
      </c>
      <c r="H17" s="3382"/>
      <c r="I17" s="3381" t="s">
        <v>3023</v>
      </c>
      <c r="J17" s="3382"/>
      <c r="K17" s="3385"/>
      <c r="L17" s="3367"/>
      <c r="M17" s="3318"/>
      <c r="N17" s="3318"/>
      <c r="O17" s="3318"/>
      <c r="P17" s="4077"/>
      <c r="Q17" s="3375"/>
      <c r="R17" s="3376"/>
      <c r="S17" s="3377"/>
      <c r="T17" s="3376"/>
      <c r="U17" s="3377"/>
      <c r="V17" s="3376"/>
      <c r="W17" s="3377"/>
      <c r="X17" s="3319"/>
      <c r="Y17" s="4077"/>
      <c r="Z17" s="3378"/>
      <c r="AA17" s="3379">
        <v>1</v>
      </c>
      <c r="AB17" s="3379">
        <v>1</v>
      </c>
      <c r="AC17" s="3379">
        <v>1</v>
      </c>
    </row>
    <row r="18" spans="1:29" ht="28.5">
      <c r="A18" s="3321"/>
      <c r="B18" s="3393" t="s">
        <v>3073</v>
      </c>
      <c r="C18" s="3387" t="str">
        <f>IF(B1="工业",[1]估价对象房地状况!G6,[1]估价对象房地状况!C8)</f>
        <v>估价对象所在区域基础设施水平</v>
      </c>
      <c r="D18" s="3384">
        <v>100</v>
      </c>
      <c r="E18" s="3394"/>
      <c r="F18" s="3390">
        <f>SUMIF(67:67,E19,68:68)-SUMIF(67:67,C19,68:68)+100</f>
        <v>100</v>
      </c>
      <c r="G18" s="3395"/>
      <c r="H18" s="3388">
        <f>SUMIF(67:67,G19,68:68)-SUMIF(67:67,C19,68:68)+100</f>
        <v>100</v>
      </c>
      <c r="I18" s="3394"/>
      <c r="J18" s="3388">
        <f>SUMIF(67:67,I19,68:68)-SUMIF(67:67,C19,68:68)+100</f>
        <v>100</v>
      </c>
      <c r="K18" s="3374">
        <v>2</v>
      </c>
      <c r="L18" s="3367"/>
      <c r="M18" s="3318"/>
      <c r="N18" s="3318"/>
      <c r="O18" s="3318"/>
      <c r="P18" s="4077"/>
      <c r="Q18" s="3375" t="str">
        <f>B18</f>
        <v>基础设施水平</v>
      </c>
      <c r="R18" s="3376" t="s">
        <v>3057</v>
      </c>
      <c r="S18" s="3377">
        <f>F18</f>
        <v>100</v>
      </c>
      <c r="T18" s="3376" t="s">
        <v>3057</v>
      </c>
      <c r="U18" s="3377">
        <f>H18</f>
        <v>100</v>
      </c>
      <c r="V18" s="3376" t="s">
        <v>3057</v>
      </c>
      <c r="W18" s="3377">
        <f>J18</f>
        <v>100</v>
      </c>
      <c r="X18" s="3319"/>
      <c r="Y18" s="4077"/>
      <c r="Z18" s="3378" t="str">
        <f>Q18</f>
        <v>基础设施水平</v>
      </c>
      <c r="AA18" s="3379">
        <f t="shared" ref="AA18" si="8">D18/F18</f>
        <v>1</v>
      </c>
      <c r="AB18" s="3379">
        <f t="shared" ref="AB18" si="9">D18/H18</f>
        <v>1</v>
      </c>
      <c r="AC18" s="3379">
        <f t="shared" ref="AC18" si="10">D18/J18</f>
        <v>1</v>
      </c>
    </row>
    <row r="19" spans="1:29" ht="15">
      <c r="A19" s="3321"/>
      <c r="B19" s="3393"/>
      <c r="C19" s="3396" t="s">
        <v>3027</v>
      </c>
      <c r="D19" s="3384"/>
      <c r="E19" s="3396" t="s">
        <v>3027</v>
      </c>
      <c r="F19" s="3397"/>
      <c r="G19" s="3396" t="s">
        <v>3027</v>
      </c>
      <c r="H19" s="3382"/>
      <c r="I19" s="3396" t="s">
        <v>3027</v>
      </c>
      <c r="J19" s="3382"/>
      <c r="K19" s="3398"/>
      <c r="L19" s="3367"/>
      <c r="M19" s="3318"/>
      <c r="N19" s="3318"/>
      <c r="O19" s="3318"/>
      <c r="P19" s="4077"/>
      <c r="Q19" s="3375"/>
      <c r="R19" s="3376"/>
      <c r="S19" s="3377"/>
      <c r="T19" s="3376"/>
      <c r="U19" s="3377"/>
      <c r="V19" s="3376"/>
      <c r="W19" s="3377"/>
      <c r="X19" s="3319"/>
      <c r="Y19" s="4077"/>
      <c r="Z19" s="3378"/>
      <c r="AA19" s="3379">
        <v>1</v>
      </c>
      <c r="AB19" s="3379">
        <v>1</v>
      </c>
      <c r="AC19" s="3379">
        <v>1</v>
      </c>
    </row>
    <row r="20" spans="1:29" ht="57">
      <c r="A20" s="3321"/>
      <c r="B20" s="3386" t="s">
        <v>3074</v>
      </c>
      <c r="C20" s="3387" t="str">
        <f>IF(B1="工业",[1]估价对象房地状况!G7,[1]估价对象房地状况!C9)</f>
        <v>区域自然环境：；人文环境；综合评价环境状况一般</v>
      </c>
      <c r="D20" s="3388">
        <v>100</v>
      </c>
      <c r="E20" s="3389"/>
      <c r="F20" s="3390">
        <f>SUMIF(69:69,E21,70:70)-SUMIF(69:69,C21,70:70)+100</f>
        <v>100</v>
      </c>
      <c r="G20" s="3391"/>
      <c r="H20" s="3384">
        <f>SUMIF(69:69,G21,70:70)-SUMIF(69:69,C21,70:70)+100</f>
        <v>100</v>
      </c>
      <c r="I20" s="3394"/>
      <c r="J20" s="3384">
        <f>SUMIF(69:69,I21,70:70)-SUMIF(69:69,C21,70:70)+100</f>
        <v>100</v>
      </c>
      <c r="K20" s="3374">
        <v>2</v>
      </c>
      <c r="L20" s="3367"/>
      <c r="M20" s="3318"/>
      <c r="N20" s="3318"/>
      <c r="O20" s="3318"/>
      <c r="P20" s="4077"/>
      <c r="Q20" s="3375" t="str">
        <f>B20</f>
        <v>自然及人文环境</v>
      </c>
      <c r="R20" s="3376" t="s">
        <v>3057</v>
      </c>
      <c r="S20" s="3377">
        <f>F20</f>
        <v>100</v>
      </c>
      <c r="T20" s="3376" t="s">
        <v>3057</v>
      </c>
      <c r="U20" s="3377">
        <f>H20</f>
        <v>100</v>
      </c>
      <c r="V20" s="3376" t="s">
        <v>3057</v>
      </c>
      <c r="W20" s="3377">
        <f>J20</f>
        <v>100</v>
      </c>
      <c r="X20" s="3319"/>
      <c r="Y20" s="4077"/>
      <c r="Z20" s="3378" t="str">
        <f>Q20</f>
        <v>自然及人文环境</v>
      </c>
      <c r="AA20" s="3379">
        <f t="shared" si="3"/>
        <v>1</v>
      </c>
      <c r="AB20" s="3379">
        <f t="shared" si="4"/>
        <v>1</v>
      </c>
      <c r="AC20" s="3379">
        <f t="shared" si="5"/>
        <v>1</v>
      </c>
    </row>
    <row r="21" spans="1:29" ht="15">
      <c r="A21" s="3321"/>
      <c r="B21" s="3392"/>
      <c r="C21" s="3381" t="s">
        <v>3024</v>
      </c>
      <c r="D21" s="3382"/>
      <c r="E21" s="3381" t="s">
        <v>3024</v>
      </c>
      <c r="F21" s="3383"/>
      <c r="G21" s="3381" t="s">
        <v>3024</v>
      </c>
      <c r="H21" s="3382"/>
      <c r="I21" s="3381" t="s">
        <v>3024</v>
      </c>
      <c r="J21" s="3382"/>
      <c r="K21" s="3385"/>
      <c r="L21" s="3367"/>
      <c r="M21" s="3318"/>
      <c r="N21" s="3318"/>
      <c r="O21" s="3318"/>
      <c r="P21" s="4077"/>
      <c r="Q21" s="3375"/>
      <c r="R21" s="3376"/>
      <c r="S21" s="3377"/>
      <c r="T21" s="3376"/>
      <c r="U21" s="3377"/>
      <c r="V21" s="3376"/>
      <c r="W21" s="3377"/>
      <c r="X21" s="3319"/>
      <c r="Y21" s="4077"/>
      <c r="Z21" s="3378"/>
      <c r="AA21" s="3379">
        <v>1</v>
      </c>
      <c r="AB21" s="3379">
        <v>1</v>
      </c>
      <c r="AC21" s="3379">
        <v>1</v>
      </c>
    </row>
    <row r="22" spans="1:29" ht="15">
      <c r="A22" s="3321"/>
      <c r="B22" s="3386" t="s">
        <v>3075</v>
      </c>
      <c r="C22" s="3399"/>
      <c r="D22" s="3384">
        <v>100</v>
      </c>
      <c r="E22" s="3399"/>
      <c r="F22" s="3400">
        <f>SUMIF(71:71,E22,72:72)-SUMIF(71:71,C22,72:72)+100</f>
        <v>100</v>
      </c>
      <c r="G22" s="3399"/>
      <c r="H22" s="3366">
        <f>SUMIF(71:71,G22,72:72)-SUMIF(71:71,C22,72:72)+100</f>
        <v>100</v>
      </c>
      <c r="I22" s="3399"/>
      <c r="J22" s="3366">
        <f>SUMIF(71:71,I22,72:72)-SUMIF(71:71,C22,72:72)+100</f>
        <v>100</v>
      </c>
      <c r="K22" s="3353">
        <v>2</v>
      </c>
      <c r="L22" s="3367"/>
      <c r="M22" s="3318"/>
      <c r="N22" s="3318"/>
      <c r="O22" s="3318"/>
      <c r="P22" s="4077"/>
      <c r="Q22" s="3375" t="str">
        <f>B22</f>
        <v>楼层</v>
      </c>
      <c r="R22" s="3376" t="s">
        <v>3057</v>
      </c>
      <c r="S22" s="3377">
        <f>F22</f>
        <v>100</v>
      </c>
      <c r="T22" s="3376" t="s">
        <v>3057</v>
      </c>
      <c r="U22" s="3377">
        <f>H22</f>
        <v>100</v>
      </c>
      <c r="V22" s="3376" t="s">
        <v>3057</v>
      </c>
      <c r="W22" s="3377">
        <f>J22</f>
        <v>100</v>
      </c>
      <c r="X22" s="3319"/>
      <c r="Y22" s="4077"/>
      <c r="Z22" s="3378" t="str">
        <f>Q22</f>
        <v>楼层</v>
      </c>
      <c r="AA22" s="3379">
        <f t="shared" si="3"/>
        <v>1</v>
      </c>
      <c r="AB22" s="3379">
        <f t="shared" si="4"/>
        <v>1</v>
      </c>
      <c r="AC22" s="3379">
        <f t="shared" si="5"/>
        <v>1</v>
      </c>
    </row>
    <row r="23" spans="1:29" ht="15">
      <c r="A23" s="3321"/>
      <c r="B23" s="3401">
        <v>111</v>
      </c>
      <c r="C23" s="3359"/>
      <c r="D23" s="3366">
        <v>100</v>
      </c>
      <c r="E23" s="3359"/>
      <c r="F23" s="3400">
        <f>SUMIF(73:73,E23,74:74)-SUMIF(73:73,C23,74:74)+100</f>
        <v>100</v>
      </c>
      <c r="G23" s="3359"/>
      <c r="H23" s="3366">
        <f>SUMIF(73:73,G23,74:74)-SUMIF(73:73,C23,74:74)+100</f>
        <v>100</v>
      </c>
      <c r="I23" s="3359"/>
      <c r="J23" s="3366">
        <f>SUMIF(73:73,I23,74:74)-SUMIF(73:73,C23,74:74)+100</f>
        <v>100</v>
      </c>
      <c r="K23" s="3360"/>
      <c r="L23" s="3367"/>
      <c r="M23" s="3318"/>
      <c r="N23" s="3318"/>
      <c r="O23" s="3318"/>
      <c r="P23" s="4077"/>
      <c r="Q23" s="3375">
        <f>B23</f>
        <v>111</v>
      </c>
      <c r="R23" s="3376" t="s">
        <v>3057</v>
      </c>
      <c r="S23" s="3377">
        <f>F23</f>
        <v>100</v>
      </c>
      <c r="T23" s="3376" t="s">
        <v>3057</v>
      </c>
      <c r="U23" s="3377">
        <f>H23</f>
        <v>100</v>
      </c>
      <c r="V23" s="3376" t="s">
        <v>3057</v>
      </c>
      <c r="W23" s="3377">
        <f>J23</f>
        <v>100</v>
      </c>
      <c r="X23" s="3319"/>
      <c r="Y23" s="4077"/>
      <c r="Z23" s="3378">
        <f>Q23</f>
        <v>111</v>
      </c>
      <c r="AA23" s="3379">
        <f t="shared" si="3"/>
        <v>1</v>
      </c>
      <c r="AB23" s="3379">
        <f t="shared" si="4"/>
        <v>1</v>
      </c>
      <c r="AC23" s="3379">
        <f t="shared" si="5"/>
        <v>1</v>
      </c>
    </row>
    <row r="24" spans="1:29" ht="15">
      <c r="A24" s="3321"/>
      <c r="B24" s="3401">
        <v>111</v>
      </c>
      <c r="C24" s="3359"/>
      <c r="D24" s="3366">
        <v>100</v>
      </c>
      <c r="E24" s="3359"/>
      <c r="F24" s="3400">
        <f>SUMIF(75:75,E24,76:76)-SUMIF(75:75,C24,76:76)+100</f>
        <v>100</v>
      </c>
      <c r="G24" s="3359"/>
      <c r="H24" s="3366">
        <f>SUMIF(75:75,G24,76:76)-SUMIF(75:75,C24,76:76)+100</f>
        <v>100</v>
      </c>
      <c r="I24" s="3359"/>
      <c r="J24" s="3366">
        <f>SUMIF(75:75,I24,76:76)-SUMIF(75:75,C24,76:76)+100</f>
        <v>100</v>
      </c>
      <c r="K24" s="3360"/>
      <c r="L24" s="3367"/>
      <c r="M24" s="3318"/>
      <c r="N24" s="3318"/>
      <c r="O24" s="3318"/>
      <c r="P24" s="4077"/>
      <c r="Q24" s="3375">
        <f t="shared" ref="Q24:Q36" si="11">B24</f>
        <v>111</v>
      </c>
      <c r="R24" s="3376" t="s">
        <v>3057</v>
      </c>
      <c r="S24" s="3377">
        <f>F24</f>
        <v>100</v>
      </c>
      <c r="T24" s="3376" t="s">
        <v>3057</v>
      </c>
      <c r="U24" s="3377">
        <f>H24</f>
        <v>100</v>
      </c>
      <c r="V24" s="3376" t="s">
        <v>3057</v>
      </c>
      <c r="W24" s="3377">
        <f>J24</f>
        <v>100</v>
      </c>
      <c r="X24" s="3319"/>
      <c r="Y24" s="4077"/>
      <c r="Z24" s="3378">
        <f>Q24</f>
        <v>111</v>
      </c>
      <c r="AA24" s="3379">
        <f t="shared" si="3"/>
        <v>1</v>
      </c>
      <c r="AB24" s="3379">
        <f t="shared" si="4"/>
        <v>1</v>
      </c>
      <c r="AC24" s="3379">
        <f t="shared" si="5"/>
        <v>1</v>
      </c>
    </row>
    <row r="25" spans="1:29" s="3338" customFormat="1" ht="15.75" thickBot="1">
      <c r="A25" s="3402"/>
      <c r="B25" s="3403">
        <v>111</v>
      </c>
      <c r="C25" s="3404"/>
      <c r="D25" s="3405">
        <v>100</v>
      </c>
      <c r="E25" s="3406"/>
      <c r="F25" s="3407">
        <f>SUMIF(77:77,E25,78:78)-SUMIF(77:77,C25,78:78)+100</f>
        <v>100</v>
      </c>
      <c r="G25" s="3406"/>
      <c r="H25" s="3405">
        <f>SUMIF(77:77,G25,78:78)-SUMIF(77:77,C25,78:78)+100</f>
        <v>100</v>
      </c>
      <c r="I25" s="3406"/>
      <c r="J25" s="3405">
        <f>SUMIF(77:77,I25,78:78)-SUMIF(77:77,C25,78:78)+100</f>
        <v>100</v>
      </c>
      <c r="K25" s="3360"/>
      <c r="L25" s="3332"/>
      <c r="M25" s="3333"/>
      <c r="N25" s="3333"/>
      <c r="O25" s="3333"/>
      <c r="P25" s="4077"/>
      <c r="Q25" s="3346">
        <f t="shared" si="11"/>
        <v>111</v>
      </c>
      <c r="R25" s="3334" t="s">
        <v>3057</v>
      </c>
      <c r="S25" s="3335">
        <f>F25</f>
        <v>100</v>
      </c>
      <c r="T25" s="3334" t="s">
        <v>3057</v>
      </c>
      <c r="U25" s="3335">
        <f>H25</f>
        <v>100</v>
      </c>
      <c r="V25" s="3334" t="s">
        <v>3057</v>
      </c>
      <c r="W25" s="3335">
        <f>J25</f>
        <v>100</v>
      </c>
      <c r="X25" s="3336"/>
      <c r="Y25" s="4077"/>
      <c r="Z25" s="3347">
        <f>Q25</f>
        <v>111</v>
      </c>
      <c r="AA25" s="3379">
        <f>D25/F25</f>
        <v>1</v>
      </c>
      <c r="AB25" s="3379">
        <f>D25/H25</f>
        <v>1</v>
      </c>
      <c r="AC25" s="3379">
        <f>D25/J25</f>
        <v>1</v>
      </c>
    </row>
    <row r="26" spans="1:29" ht="28.5">
      <c r="A26" s="3408" t="s">
        <v>3076</v>
      </c>
      <c r="B26" s="3409" t="s">
        <v>3077</v>
      </c>
      <c r="C26" s="3410" t="str">
        <f>B1</f>
        <v>住宅</v>
      </c>
      <c r="D26" s="3382">
        <v>100</v>
      </c>
      <c r="E26" s="3381" t="s">
        <v>914</v>
      </c>
      <c r="F26" s="3383">
        <f>SUMIF(79:79,E26,80:80)-SUMIF(79:79,C26,80:80)+100</f>
        <v>100</v>
      </c>
      <c r="G26" s="3381" t="s">
        <v>914</v>
      </c>
      <c r="H26" s="3382">
        <f>SUMIF(79:79,G26,80:80)-SUMIF(79:79,C26,80:80)+100</f>
        <v>100</v>
      </c>
      <c r="I26" s="3381" t="s">
        <v>914</v>
      </c>
      <c r="J26" s="3382">
        <f>SUMIF(79:79,I26,80:80)-SUMIF(79:79,C26,80:80)+100</f>
        <v>100</v>
      </c>
      <c r="K26" s="3353"/>
      <c r="L26" s="3367"/>
      <c r="M26" s="3318"/>
      <c r="N26" s="3318"/>
      <c r="O26" s="3318"/>
      <c r="P26" s="4109" t="s">
        <v>3078</v>
      </c>
      <c r="Q26" s="3375" t="str">
        <f t="shared" si="11"/>
        <v>配套类型</v>
      </c>
      <c r="R26" s="3376" t="s">
        <v>3057</v>
      </c>
      <c r="S26" s="3377">
        <f t="shared" ref="S26:S36" si="12">F26</f>
        <v>100</v>
      </c>
      <c r="T26" s="3376" t="s">
        <v>3057</v>
      </c>
      <c r="U26" s="3377">
        <f t="shared" ref="U26:U36" si="13">H26</f>
        <v>100</v>
      </c>
      <c r="V26" s="3376" t="s">
        <v>3057</v>
      </c>
      <c r="W26" s="3377">
        <f t="shared" ref="W26:W36" si="14">J26</f>
        <v>100</v>
      </c>
      <c r="X26" s="3319"/>
      <c r="Y26" s="4068" t="s">
        <v>3078</v>
      </c>
      <c r="Z26" s="3378" t="str">
        <f t="shared" ref="Z26:Z36" si="15">Q26</f>
        <v>配套类型</v>
      </c>
      <c r="AA26" s="3379">
        <f t="shared" si="3"/>
        <v>1</v>
      </c>
      <c r="AB26" s="3379">
        <f t="shared" si="4"/>
        <v>1</v>
      </c>
      <c r="AC26" s="3379">
        <f t="shared" si="5"/>
        <v>1</v>
      </c>
    </row>
    <row r="27" spans="1:29" s="3420" customFormat="1" ht="15">
      <c r="A27" s="3411"/>
      <c r="B27" s="3412" t="s">
        <v>3079</v>
      </c>
      <c r="C27" s="3413"/>
      <c r="D27" s="3351">
        <v>100</v>
      </c>
      <c r="E27" s="3413"/>
      <c r="F27" s="3400">
        <f>SUMIF(81:81,E27,82:82)-SUMIF(81:81,C27,82:82)+100</f>
        <v>100</v>
      </c>
      <c r="G27" s="3413"/>
      <c r="H27" s="3366">
        <f>SUMIF(81:81,G27,82:82)-SUMIF(81:81,C27,82:82)+100</f>
        <v>100</v>
      </c>
      <c r="I27" s="3413"/>
      <c r="J27" s="3366">
        <f>SUMIF(81:81,I27,82:82)-SUMIF(81:81,C27,82:82)+100</f>
        <v>100</v>
      </c>
      <c r="K27" s="3360"/>
      <c r="L27" s="3361"/>
      <c r="M27" s="3414"/>
      <c r="N27" s="3414"/>
      <c r="O27" s="3414"/>
      <c r="P27" s="4068"/>
      <c r="Q27" s="3415" t="str">
        <f t="shared" si="11"/>
        <v>项目停车位配比</v>
      </c>
      <c r="R27" s="3416" t="s">
        <v>3057</v>
      </c>
      <c r="S27" s="3417">
        <f t="shared" si="12"/>
        <v>100</v>
      </c>
      <c r="T27" s="3416" t="s">
        <v>3057</v>
      </c>
      <c r="U27" s="3417">
        <f t="shared" si="13"/>
        <v>100</v>
      </c>
      <c r="V27" s="3416" t="s">
        <v>3057</v>
      </c>
      <c r="W27" s="3417">
        <f t="shared" si="14"/>
        <v>100</v>
      </c>
      <c r="X27" s="3418"/>
      <c r="Y27" s="4068"/>
      <c r="Z27" s="3419" t="str">
        <f t="shared" si="15"/>
        <v>项目停车位配比</v>
      </c>
      <c r="AA27" s="3379">
        <f t="shared" si="3"/>
        <v>1</v>
      </c>
      <c r="AB27" s="3379">
        <f t="shared" si="4"/>
        <v>1</v>
      </c>
      <c r="AC27" s="3379">
        <f t="shared" si="5"/>
        <v>1</v>
      </c>
    </row>
    <row r="28" spans="1:29" ht="15">
      <c r="A28" s="3421"/>
      <c r="B28" s="3412" t="s">
        <v>3080</v>
      </c>
      <c r="C28" s="3422"/>
      <c r="D28" s="3366">
        <v>100</v>
      </c>
      <c r="E28" s="3422"/>
      <c r="F28" s="3400">
        <f>SUMIF(83:83,E28,84:84)-SUMIF(83:83,C28,84:84)+100</f>
        <v>100</v>
      </c>
      <c r="G28" s="3422"/>
      <c r="H28" s="3366">
        <f>SUMIF(83:83,G28,84:84)-SUMIF(83:83,C28,84:84)+100</f>
        <v>100</v>
      </c>
      <c r="I28" s="3422"/>
      <c r="J28" s="3366">
        <f>SUMIF(83:83,I28,84:84)-SUMIF(83:83,C28,84:84)+100</f>
        <v>100</v>
      </c>
      <c r="K28" s="3353"/>
      <c r="L28" s="3367"/>
      <c r="M28" s="3318"/>
      <c r="N28" s="3318"/>
      <c r="O28" s="3318"/>
      <c r="P28" s="4068"/>
      <c r="Q28" s="3375" t="str">
        <f t="shared" si="11"/>
        <v>公共部分装修</v>
      </c>
      <c r="R28" s="3376" t="s">
        <v>3057</v>
      </c>
      <c r="S28" s="3377">
        <f t="shared" si="12"/>
        <v>100</v>
      </c>
      <c r="T28" s="3376" t="s">
        <v>3057</v>
      </c>
      <c r="U28" s="3377">
        <f t="shared" si="13"/>
        <v>100</v>
      </c>
      <c r="V28" s="3376" t="s">
        <v>3057</v>
      </c>
      <c r="W28" s="3377">
        <f t="shared" si="14"/>
        <v>100</v>
      </c>
      <c r="X28" s="3319"/>
      <c r="Y28" s="4068"/>
      <c r="Z28" s="3378" t="str">
        <f t="shared" si="15"/>
        <v>公共部分装修</v>
      </c>
      <c r="AA28" s="3379">
        <f t="shared" si="3"/>
        <v>1</v>
      </c>
      <c r="AB28" s="3379">
        <f t="shared" si="4"/>
        <v>1</v>
      </c>
      <c r="AC28" s="3379">
        <f t="shared" si="5"/>
        <v>1</v>
      </c>
    </row>
    <row r="29" spans="1:29" ht="15">
      <c r="A29" s="3421"/>
      <c r="B29" s="3412" t="s">
        <v>3081</v>
      </c>
      <c r="C29" s="3423">
        <v>100</v>
      </c>
      <c r="D29" s="3366">
        <v>100</v>
      </c>
      <c r="E29" s="3424">
        <v>1</v>
      </c>
      <c r="F29" s="3400">
        <f>LOOKUP(E29,86:86,87:87)-LOOKUP(C29,86:86,87:87)+100</f>
        <v>100</v>
      </c>
      <c r="G29" s="3424">
        <v>1</v>
      </c>
      <c r="H29" s="3400">
        <f>LOOKUP(G29,86:86,87:87)-LOOKUP(C29,86:86,87:87)+100</f>
        <v>100</v>
      </c>
      <c r="I29" s="3424">
        <v>1</v>
      </c>
      <c r="J29" s="3366">
        <f>LOOKUP(I29,86:86,87:87)-LOOKUP(C29,86:86,87:87)+100</f>
        <v>100</v>
      </c>
      <c r="K29" s="3353"/>
      <c r="L29" s="3367"/>
      <c r="M29" s="3318"/>
      <c r="N29" s="3318"/>
      <c r="O29" s="3318"/>
      <c r="P29" s="4068"/>
      <c r="Q29" s="3375" t="str">
        <f t="shared" si="11"/>
        <v>成新率</v>
      </c>
      <c r="R29" s="3376" t="s">
        <v>3057</v>
      </c>
      <c r="S29" s="3377">
        <f t="shared" si="12"/>
        <v>100</v>
      </c>
      <c r="T29" s="3376" t="s">
        <v>3057</v>
      </c>
      <c r="U29" s="3377">
        <f t="shared" si="13"/>
        <v>100</v>
      </c>
      <c r="V29" s="3376" t="s">
        <v>3057</v>
      </c>
      <c r="W29" s="3377">
        <f t="shared" si="14"/>
        <v>100</v>
      </c>
      <c r="X29" s="3319"/>
      <c r="Y29" s="4068"/>
      <c r="Z29" s="3378" t="str">
        <f t="shared" si="15"/>
        <v>成新率</v>
      </c>
      <c r="AA29" s="3379">
        <f t="shared" si="3"/>
        <v>1</v>
      </c>
      <c r="AB29" s="3379">
        <f t="shared" si="4"/>
        <v>1</v>
      </c>
      <c r="AC29" s="3379">
        <f t="shared" si="5"/>
        <v>1</v>
      </c>
    </row>
    <row r="30" spans="1:29" ht="15">
      <c r="A30" s="3421"/>
      <c r="B30" s="3412" t="s">
        <v>3082</v>
      </c>
      <c r="C30" s="3425"/>
      <c r="D30" s="3366">
        <v>100</v>
      </c>
      <c r="E30" s="3425"/>
      <c r="F30" s="3400">
        <f>SUMIF(88:88,E30,89:89)-SUMIF(88:88,C30,89:89)+100</f>
        <v>100</v>
      </c>
      <c r="G30" s="3425"/>
      <c r="H30" s="3366">
        <f>SUMIF(88:88,E30,89:89)-SUMIF(88:88,C30,89:89)+100</f>
        <v>100</v>
      </c>
      <c r="I30" s="3425"/>
      <c r="J30" s="3366">
        <f>SUMIF(88:88,E30,89:89)-SUMIF(88:88,C30,89:89)+100</f>
        <v>100</v>
      </c>
      <c r="K30" s="3353"/>
      <c r="L30" s="3367"/>
      <c r="M30" s="3318"/>
      <c r="N30" s="3318"/>
      <c r="O30" s="3318"/>
      <c r="P30" s="4068"/>
      <c r="Q30" s="3375" t="str">
        <f t="shared" si="11"/>
        <v>物业等级</v>
      </c>
      <c r="R30" s="3376" t="s">
        <v>3057</v>
      </c>
      <c r="S30" s="3377">
        <f t="shared" si="12"/>
        <v>100</v>
      </c>
      <c r="T30" s="3376" t="s">
        <v>3057</v>
      </c>
      <c r="U30" s="3377">
        <f t="shared" si="13"/>
        <v>100</v>
      </c>
      <c r="V30" s="3376" t="s">
        <v>3057</v>
      </c>
      <c r="W30" s="3377">
        <f t="shared" si="14"/>
        <v>100</v>
      </c>
      <c r="X30" s="3319"/>
      <c r="Y30" s="4068"/>
      <c r="Z30" s="3378" t="str">
        <f t="shared" si="15"/>
        <v>物业等级</v>
      </c>
      <c r="AA30" s="3379">
        <f t="shared" si="3"/>
        <v>1</v>
      </c>
      <c r="AB30" s="3379">
        <f t="shared" si="4"/>
        <v>1</v>
      </c>
      <c r="AC30" s="3379">
        <f t="shared" si="5"/>
        <v>1</v>
      </c>
    </row>
    <row r="31" spans="1:29" s="3338" customFormat="1" ht="15">
      <c r="A31" s="3426"/>
      <c r="B31" s="3412" t="s">
        <v>3083</v>
      </c>
      <c r="C31" s="3423">
        <v>40</v>
      </c>
      <c r="D31" s="3351">
        <v>100</v>
      </c>
      <c r="E31" s="3423">
        <v>39.020000000000003</v>
      </c>
      <c r="F31" s="3400">
        <f>LOOKUP(E31,91:91,92:92)-LOOKUP(C31,91:91,92:92)+100</f>
        <v>100</v>
      </c>
      <c r="G31" s="3423">
        <v>48.5</v>
      </c>
      <c r="H31" s="3366">
        <f>LOOKUP(G31,91:91,92:92)-LOOKUP(C31,91:91,92:92)+100</f>
        <v>100</v>
      </c>
      <c r="I31" s="3423">
        <v>43</v>
      </c>
      <c r="J31" s="3366">
        <f>LOOKUP(I31,91:91,92:92)-LOOKUP(C31,91:91,92:92)+100</f>
        <v>100</v>
      </c>
      <c r="K31" s="3353">
        <v>2</v>
      </c>
      <c r="L31" s="3332"/>
      <c r="M31" s="3333"/>
      <c r="N31" s="3333"/>
      <c r="O31" s="3333"/>
      <c r="P31" s="4068"/>
      <c r="Q31" s="3346" t="str">
        <f t="shared" si="11"/>
        <v>停车位面积</v>
      </c>
      <c r="R31" s="3334" t="s">
        <v>3057</v>
      </c>
      <c r="S31" s="3335">
        <f t="shared" si="12"/>
        <v>100</v>
      </c>
      <c r="T31" s="3334" t="s">
        <v>3057</v>
      </c>
      <c r="U31" s="3335">
        <f t="shared" si="13"/>
        <v>100</v>
      </c>
      <c r="V31" s="3334" t="s">
        <v>3057</v>
      </c>
      <c r="W31" s="3335">
        <f t="shared" si="14"/>
        <v>100</v>
      </c>
      <c r="X31" s="3336"/>
      <c r="Y31" s="4068"/>
      <c r="Z31" s="3347" t="str">
        <f t="shared" si="15"/>
        <v>停车位面积</v>
      </c>
      <c r="AA31" s="3337">
        <f t="shared" si="3"/>
        <v>1</v>
      </c>
      <c r="AB31" s="3337">
        <f t="shared" si="4"/>
        <v>1</v>
      </c>
      <c r="AC31" s="3337">
        <f t="shared" si="5"/>
        <v>1</v>
      </c>
    </row>
    <row r="32" spans="1:29" ht="15">
      <c r="A32" s="3421"/>
      <c r="B32" s="3412" t="s">
        <v>3084</v>
      </c>
      <c r="C32" s="3422"/>
      <c r="D32" s="3366">
        <v>100</v>
      </c>
      <c r="E32" s="3422"/>
      <c r="F32" s="3400">
        <f>SUMIF(93:93,E32,94:94)-SUMIF(93:93,C32,94:94)+100</f>
        <v>100</v>
      </c>
      <c r="G32" s="3422"/>
      <c r="H32" s="3366">
        <f>SUMIF(93:93,G32,94:94)-SUMIF(93:93,C32,94:94)+100</f>
        <v>100</v>
      </c>
      <c r="I32" s="3422"/>
      <c r="J32" s="3366">
        <f>SUMIF(93:93,I32,94:94)-SUMIF(93:93,C32,94:94)+100</f>
        <v>100</v>
      </c>
      <c r="K32" s="3353"/>
      <c r="L32" s="3367"/>
      <c r="M32" s="3318"/>
      <c r="N32" s="3318"/>
      <c r="O32" s="3318"/>
      <c r="P32" s="4068" t="s">
        <v>3078</v>
      </c>
      <c r="Q32" s="3375" t="str">
        <f t="shared" si="11"/>
        <v>车位类型</v>
      </c>
      <c r="R32" s="3376" t="s">
        <v>3057</v>
      </c>
      <c r="S32" s="3377">
        <f t="shared" si="12"/>
        <v>100</v>
      </c>
      <c r="T32" s="3376" t="s">
        <v>3057</v>
      </c>
      <c r="U32" s="3377">
        <f t="shared" si="13"/>
        <v>100</v>
      </c>
      <c r="V32" s="3376" t="s">
        <v>3057</v>
      </c>
      <c r="W32" s="3377">
        <f t="shared" si="14"/>
        <v>100</v>
      </c>
      <c r="X32" s="3319"/>
      <c r="Y32" s="4068" t="s">
        <v>3078</v>
      </c>
      <c r="Z32" s="3378" t="str">
        <f t="shared" si="15"/>
        <v>车位类型</v>
      </c>
      <c r="AA32" s="3379">
        <f t="shared" si="3"/>
        <v>1</v>
      </c>
      <c r="AB32" s="3379">
        <f t="shared" si="4"/>
        <v>1</v>
      </c>
      <c r="AC32" s="3379">
        <f t="shared" si="5"/>
        <v>1</v>
      </c>
    </row>
    <row r="33" spans="1:29" ht="15">
      <c r="A33" s="3421"/>
      <c r="B33" s="3412" t="s">
        <v>3085</v>
      </c>
      <c r="C33" s="3422"/>
      <c r="D33" s="3366">
        <v>100</v>
      </c>
      <c r="E33" s="3422"/>
      <c r="F33" s="3400">
        <f>SUMIF(95:95,E33,96:96)-SUMIF(95:95,C33,96:96)+100</f>
        <v>100</v>
      </c>
      <c r="G33" s="3422"/>
      <c r="H33" s="3366">
        <f>SUMIF(95:95,G33,96:96)-SUMIF(95:95,C33,96:96)+100</f>
        <v>100</v>
      </c>
      <c r="I33" s="3422"/>
      <c r="J33" s="3366">
        <f>SUMIF(95:95,I33,96:96)-SUMIF(95:95,C33,96:96)+100</f>
        <v>100</v>
      </c>
      <c r="K33" s="3353"/>
      <c r="L33" s="3367"/>
      <c r="M33" s="3318"/>
      <c r="N33" s="3318"/>
      <c r="O33" s="3318"/>
      <c r="P33" s="4068"/>
      <c r="Q33" s="3375" t="str">
        <f t="shared" si="11"/>
        <v>是否直接入户</v>
      </c>
      <c r="R33" s="3376" t="s">
        <v>3057</v>
      </c>
      <c r="S33" s="3377">
        <f t="shared" si="12"/>
        <v>100</v>
      </c>
      <c r="T33" s="3376" t="s">
        <v>3057</v>
      </c>
      <c r="U33" s="3377">
        <f t="shared" si="13"/>
        <v>100</v>
      </c>
      <c r="V33" s="3376" t="s">
        <v>3057</v>
      </c>
      <c r="W33" s="3377">
        <f t="shared" si="14"/>
        <v>100</v>
      </c>
      <c r="X33" s="3319"/>
      <c r="Y33" s="4068"/>
      <c r="Z33" s="3378" t="str">
        <f t="shared" si="15"/>
        <v>是否直接入户</v>
      </c>
      <c r="AA33" s="3379">
        <f t="shared" si="3"/>
        <v>1</v>
      </c>
      <c r="AB33" s="3379">
        <f t="shared" si="4"/>
        <v>1</v>
      </c>
      <c r="AC33" s="3379">
        <f t="shared" si="5"/>
        <v>1</v>
      </c>
    </row>
    <row r="34" spans="1:29" ht="15">
      <c r="A34" s="3421"/>
      <c r="B34" s="3401">
        <v>111</v>
      </c>
      <c r="C34" s="3359"/>
      <c r="D34" s="3366">
        <v>100</v>
      </c>
      <c r="E34" s="3359"/>
      <c r="F34" s="3400">
        <f>SUMIF(97:97,E34,98:98)-SUMIF(97:97,C34,98:98)+100</f>
        <v>100</v>
      </c>
      <c r="G34" s="3359"/>
      <c r="H34" s="3366">
        <f>SUMIF(97:97,G34,98:98)-SUMIF(97:97,C34,98:98)+100</f>
        <v>100</v>
      </c>
      <c r="I34" s="3359"/>
      <c r="J34" s="3366">
        <f>SUMIF(97:97,I34,98:98)-SUMIF(97:97,C34,98:98)+100</f>
        <v>100</v>
      </c>
      <c r="K34" s="3360"/>
      <c r="L34" s="3367"/>
      <c r="M34" s="3318"/>
      <c r="N34" s="3318"/>
      <c r="O34" s="3318"/>
      <c r="P34" s="4068"/>
      <c r="Q34" s="3375">
        <f t="shared" si="11"/>
        <v>111</v>
      </c>
      <c r="R34" s="3376" t="s">
        <v>3057</v>
      </c>
      <c r="S34" s="3377">
        <f t="shared" si="12"/>
        <v>100</v>
      </c>
      <c r="T34" s="3376" t="s">
        <v>3057</v>
      </c>
      <c r="U34" s="3377">
        <f t="shared" si="13"/>
        <v>100</v>
      </c>
      <c r="V34" s="3376" t="s">
        <v>3057</v>
      </c>
      <c r="W34" s="3377">
        <f t="shared" si="14"/>
        <v>100</v>
      </c>
      <c r="X34" s="3319"/>
      <c r="Y34" s="4068"/>
      <c r="Z34" s="3378">
        <f t="shared" si="15"/>
        <v>111</v>
      </c>
      <c r="AA34" s="3379">
        <f t="shared" si="3"/>
        <v>1</v>
      </c>
      <c r="AB34" s="3379">
        <f t="shared" si="4"/>
        <v>1</v>
      </c>
      <c r="AC34" s="3379">
        <f t="shared" si="5"/>
        <v>1</v>
      </c>
    </row>
    <row r="35" spans="1:29" s="3420" customFormat="1" ht="15">
      <c r="A35" s="3411"/>
      <c r="B35" s="3401">
        <v>111</v>
      </c>
      <c r="C35" s="3359"/>
      <c r="D35" s="3366">
        <v>100</v>
      </c>
      <c r="E35" s="3359"/>
      <c r="F35" s="3400">
        <f>SUMIF(99:99,E35,100:100)-SUMIF(99:99,C35,100:100)+100</f>
        <v>100</v>
      </c>
      <c r="G35" s="3359"/>
      <c r="H35" s="3366">
        <f>SUMIF(99:99,G35,100:100)-SUMIF(99:99,C35,100:100)+100</f>
        <v>100</v>
      </c>
      <c r="I35" s="3359"/>
      <c r="J35" s="3366">
        <f>SUMIF(99:99,I35,100:100)-SUMIF(99:99,C35,100:100)+100</f>
        <v>100</v>
      </c>
      <c r="K35" s="3360"/>
      <c r="L35" s="3361"/>
      <c r="M35" s="3414"/>
      <c r="N35" s="3414"/>
      <c r="O35" s="3414"/>
      <c r="P35" s="4068"/>
      <c r="Q35" s="3415">
        <f t="shared" si="11"/>
        <v>111</v>
      </c>
      <c r="R35" s="3416" t="s">
        <v>3057</v>
      </c>
      <c r="S35" s="3417">
        <f t="shared" si="12"/>
        <v>100</v>
      </c>
      <c r="T35" s="3416" t="s">
        <v>3057</v>
      </c>
      <c r="U35" s="3417">
        <f t="shared" si="13"/>
        <v>100</v>
      </c>
      <c r="V35" s="3416" t="s">
        <v>3057</v>
      </c>
      <c r="W35" s="3417">
        <f t="shared" si="14"/>
        <v>100</v>
      </c>
      <c r="X35" s="3418"/>
      <c r="Y35" s="4068"/>
      <c r="Z35" s="3419">
        <f t="shared" si="15"/>
        <v>111</v>
      </c>
      <c r="AA35" s="3379">
        <f t="shared" si="3"/>
        <v>1</v>
      </c>
      <c r="AB35" s="3379">
        <f t="shared" si="4"/>
        <v>1</v>
      </c>
      <c r="AC35" s="3379">
        <f t="shared" si="5"/>
        <v>1</v>
      </c>
    </row>
    <row r="36" spans="1:29" ht="15.75" thickBot="1">
      <c r="A36" s="3427"/>
      <c r="B36" s="3403">
        <v>111</v>
      </c>
      <c r="C36" s="3365"/>
      <c r="D36" s="3366">
        <v>100</v>
      </c>
      <c r="E36" s="3359"/>
      <c r="F36" s="3400">
        <f>SUMIF(101:101,E36,102:102)-SUMIF(101:101,C36,102:102)+100</f>
        <v>100</v>
      </c>
      <c r="G36" s="3359"/>
      <c r="H36" s="3366">
        <f>SUMIF(101:101,G36,102:102)-SUMIF(101:101,C36,102:102)+100</f>
        <v>100</v>
      </c>
      <c r="I36" s="3359"/>
      <c r="J36" s="3366">
        <f>SUMIF(101:101,I36,102:102)-SUMIF(101:101,C36,102:102)+100</f>
        <v>100</v>
      </c>
      <c r="K36" s="3360"/>
      <c r="L36" s="3367"/>
      <c r="M36" s="3318"/>
      <c r="N36" s="3318"/>
      <c r="O36" s="3318"/>
      <c r="P36" s="4068"/>
      <c r="Q36" s="3375">
        <f t="shared" si="11"/>
        <v>111</v>
      </c>
      <c r="R36" s="3376" t="s">
        <v>3057</v>
      </c>
      <c r="S36" s="3377">
        <f t="shared" si="12"/>
        <v>100</v>
      </c>
      <c r="T36" s="3376" t="s">
        <v>3057</v>
      </c>
      <c r="U36" s="3377">
        <f t="shared" si="13"/>
        <v>100</v>
      </c>
      <c r="V36" s="3376" t="s">
        <v>3057</v>
      </c>
      <c r="W36" s="3377">
        <f t="shared" si="14"/>
        <v>100</v>
      </c>
      <c r="X36" s="3319"/>
      <c r="Y36" s="4068"/>
      <c r="Z36" s="3378">
        <f t="shared" si="15"/>
        <v>111</v>
      </c>
      <c r="AA36" s="3379">
        <f t="shared" si="3"/>
        <v>1</v>
      </c>
      <c r="AB36" s="3379">
        <f t="shared" si="4"/>
        <v>1</v>
      </c>
      <c r="AC36" s="3379">
        <f t="shared" si="5"/>
        <v>1</v>
      </c>
    </row>
    <row r="37" spans="1:29" ht="15">
      <c r="A37" s="3428" t="s">
        <v>3086</v>
      </c>
      <c r="B37" s="3429" t="s">
        <v>3087</v>
      </c>
      <c r="C37" s="3430" t="s">
        <v>1755</v>
      </c>
      <c r="D37" s="3431"/>
      <c r="E37" s="3432">
        <v>600000</v>
      </c>
      <c r="F37" s="3433"/>
      <c r="G37" s="3434">
        <v>530000</v>
      </c>
      <c r="H37" s="3435"/>
      <c r="I37" s="3432">
        <v>450000</v>
      </c>
      <c r="J37" s="3435"/>
      <c r="K37" s="3436"/>
      <c r="L37" s="3437"/>
      <c r="M37" s="3438"/>
      <c r="N37" s="3318"/>
      <c r="O37" s="3438"/>
      <c r="P37" s="4060" t="str">
        <f>A37</f>
        <v>成交单价</v>
      </c>
      <c r="Q37" s="4060"/>
      <c r="R37" s="4061">
        <f>E37</f>
        <v>600000</v>
      </c>
      <c r="S37" s="4061"/>
      <c r="T37" s="4061">
        <f>G37</f>
        <v>530000</v>
      </c>
      <c r="U37" s="4061"/>
      <c r="V37" s="4061">
        <f>I37</f>
        <v>450000</v>
      </c>
      <c r="W37" s="4061"/>
      <c r="X37" s="3439"/>
      <c r="Y37" s="3440"/>
      <c r="Z37" s="3439"/>
      <c r="AA37" s="3439"/>
      <c r="AB37" s="3439"/>
      <c r="AC37" s="3439"/>
    </row>
    <row r="38" spans="1:29" ht="15.75" thickBot="1">
      <c r="A38" s="3441" t="s">
        <v>3088</v>
      </c>
      <c r="B38" s="3442" t="str">
        <f>B37</f>
        <v>元/车位</v>
      </c>
      <c r="C38" s="3443">
        <f>R39</f>
        <v>476684</v>
      </c>
      <c r="D38" s="3444" t="s">
        <v>2970</v>
      </c>
      <c r="E38" s="3445">
        <f>R38</f>
        <v>543805</v>
      </c>
      <c r="F38" s="3446"/>
      <c r="G38" s="3443">
        <f>T38</f>
        <v>453556</v>
      </c>
      <c r="H38" s="3446"/>
      <c r="I38" s="3445">
        <f>V38</f>
        <v>432692</v>
      </c>
      <c r="J38" s="3446"/>
      <c r="K38" s="3447">
        <f>F38+H38+J38</f>
        <v>0</v>
      </c>
      <c r="L38" s="3437"/>
      <c r="M38" s="3438"/>
      <c r="N38" s="3438"/>
      <c r="O38" s="3438"/>
      <c r="P38" s="4060" t="str">
        <f>A38</f>
        <v>比较价值（元/平方米）</v>
      </c>
      <c r="Q38" s="4060"/>
      <c r="R38" s="4061">
        <f>IF(F1="售价",ROUND(PRODUCT(R37,AA7:AA36),0),ROUND(PRODUCT(R37,AA7:AA36),1))</f>
        <v>543805</v>
      </c>
      <c r="S38" s="4061"/>
      <c r="T38" s="4061">
        <f>IF(F1="售价",ROUND(PRODUCT(T37,AB7:AB36),0),ROUND(PRODUCT(T37,AB7:AB36),1))</f>
        <v>453556</v>
      </c>
      <c r="U38" s="4061"/>
      <c r="V38" s="4061">
        <f>IF(F1="售价",ROUND(PRODUCT(V37,AC7:AC36),0),ROUND(PRODUCT(V37,AC7:AC36),1))</f>
        <v>432692</v>
      </c>
      <c r="W38" s="4061"/>
      <c r="X38" s="3439"/>
      <c r="Y38" s="3439"/>
      <c r="Z38" s="3439"/>
      <c r="AA38" s="3439"/>
      <c r="AB38" s="3439"/>
      <c r="AC38" s="3439"/>
    </row>
    <row r="39" spans="1:29" ht="15.75" thickBot="1">
      <c r="A39" s="3448" t="s">
        <v>3089</v>
      </c>
      <c r="B39" s="3449"/>
      <c r="C39" s="3450">
        <f>R39</f>
        <v>476684</v>
      </c>
      <c r="D39" s="3450"/>
      <c r="E39" s="3450"/>
      <c r="F39" s="3450"/>
      <c r="G39" s="3450"/>
      <c r="H39" s="3450"/>
      <c r="I39" s="3450"/>
      <c r="J39" s="3450"/>
      <c r="K39" s="3451"/>
      <c r="L39" s="3437"/>
      <c r="M39" s="3438"/>
      <c r="N39" s="3438"/>
      <c r="O39" s="3438"/>
      <c r="P39" s="4062" t="str">
        <f>A39</f>
        <v>估价对象XX用房的比较价值（楼面单价，元/平方米）</v>
      </c>
      <c r="Q39" s="4063"/>
      <c r="R39" s="4108">
        <f>IF(F1="售价",ROUND(IF(D38="简单平均",AVERAGE(R38:W38),R38*F38+T38*H38+V38*J38),0),ROUND(IF(D38="简单平均",AVERAGE(R38:V38),R38*F38+T38*H38+V38*J38),1))</f>
        <v>476684</v>
      </c>
      <c r="S39" s="4108"/>
      <c r="T39" s="4108"/>
      <c r="U39" s="4108"/>
      <c r="V39" s="4108"/>
      <c r="W39" s="4108"/>
      <c r="X39" s="3439"/>
      <c r="Y39" s="3439"/>
      <c r="Z39" s="3439"/>
      <c r="AA39" s="3439"/>
      <c r="AB39" s="3439"/>
      <c r="AC39" s="3439"/>
    </row>
    <row r="40" spans="1:29">
      <c r="A40" s="3438"/>
      <c r="B40" s="3438"/>
      <c r="C40" s="3438"/>
      <c r="D40" s="3438"/>
      <c r="E40" s="3438"/>
      <c r="F40" s="3438"/>
      <c r="G40" s="3452"/>
      <c r="H40" s="3438"/>
      <c r="I40" s="3438"/>
      <c r="J40" s="3438"/>
      <c r="K40" s="3453"/>
      <c r="L40" s="3454"/>
      <c r="M40" s="3438"/>
      <c r="N40" s="3438"/>
      <c r="O40" s="3438"/>
      <c r="P40" s="3455"/>
      <c r="Q40" s="3438"/>
      <c r="R40" s="3438"/>
      <c r="S40" s="3438"/>
      <c r="T40" s="3438"/>
      <c r="U40" s="3438"/>
      <c r="V40" s="3438"/>
      <c r="W40" s="3438"/>
      <c r="X40" s="3438"/>
      <c r="Y40" s="3438"/>
      <c r="Z40" s="3438"/>
      <c r="AA40" s="3438"/>
      <c r="AB40" s="3438"/>
      <c r="AC40" s="3438"/>
    </row>
    <row r="41" spans="1:29">
      <c r="A41" s="3438"/>
      <c r="B41" s="3438"/>
      <c r="C41" s="3438"/>
      <c r="D41" s="3438"/>
      <c r="E41" s="3438"/>
      <c r="F41" s="3438"/>
      <c r="G41" s="3438"/>
      <c r="H41" s="3438"/>
      <c r="I41" s="3438"/>
      <c r="J41" s="3438"/>
      <c r="K41" s="3453"/>
      <c r="L41" s="3454"/>
      <c r="M41" s="3438"/>
      <c r="N41" s="3438"/>
      <c r="O41" s="3438"/>
      <c r="P41" s="3455"/>
      <c r="Q41" s="3438"/>
      <c r="R41" s="3438"/>
      <c r="S41" s="3438"/>
      <c r="T41" s="3438"/>
      <c r="U41" s="3438"/>
      <c r="V41" s="3438"/>
      <c r="W41" s="3438"/>
      <c r="X41" s="3438"/>
      <c r="Y41" s="3438"/>
      <c r="Z41" s="3438"/>
      <c r="AA41" s="3438"/>
      <c r="AB41" s="3438"/>
      <c r="AC41" s="3438"/>
    </row>
    <row r="42" spans="1:29" ht="13.5" customHeight="1">
      <c r="A42" s="3438"/>
      <c r="B42" s="3438"/>
      <c r="C42" s="3456" t="s">
        <v>3090</v>
      </c>
      <c r="D42" s="3457"/>
      <c r="E42" s="3458">
        <f>IF(E37&lt;E38,E38/E37-1,E37/E38-1)</f>
        <v>0.10333667399159618</v>
      </c>
      <c r="F42" s="3459" t="str">
        <f>IF(OR(E42&gt;=0.3,E42&lt;=-0.3),"超过30%","")</f>
        <v/>
      </c>
      <c r="G42" s="3458">
        <f>IF(G37&lt;G38,G38/G37-1,G37/G38-1)</f>
        <v>0.16854368589545721</v>
      </c>
      <c r="H42" s="3459" t="str">
        <f>IF(OR(G42&gt;=0.3,G42&lt;=-0.3),"超过30%","")</f>
        <v/>
      </c>
      <c r="I42" s="3458">
        <f>IF(I37&lt;I38,I38/I37-1,I37/I38-1)</f>
        <v>4.0000739556081522E-2</v>
      </c>
      <c r="J42" s="3459" t="str">
        <f>IF(OR(I42&gt;=0.3,I42&lt;=-0.3),"超过30%","")</f>
        <v/>
      </c>
      <c r="K42" s="3453"/>
      <c r="L42" s="3454"/>
      <c r="M42" s="3438"/>
      <c r="N42" s="3438"/>
      <c r="O42" s="3438"/>
      <c r="P42" s="3455"/>
      <c r="Q42" s="3438"/>
      <c r="R42" s="3438"/>
      <c r="S42" s="3438"/>
      <c r="T42" s="3438"/>
      <c r="U42" s="3438"/>
      <c r="V42" s="3438"/>
      <c r="W42" s="3438"/>
      <c r="X42" s="3438"/>
      <c r="Y42" s="3438"/>
      <c r="Z42" s="3438"/>
      <c r="AA42" s="3438"/>
      <c r="AB42" s="3438"/>
      <c r="AC42" s="3438"/>
    </row>
    <row r="43" spans="1:29" ht="13.5" customHeight="1">
      <c r="A43" s="3438"/>
      <c r="B43" s="3438"/>
      <c r="C43" s="3456" t="s">
        <v>3091</v>
      </c>
      <c r="D43" s="3460"/>
      <c r="E43" s="3458">
        <f>IF(E38&lt;G38,G38/E38-1,E38/G38-1)</f>
        <v>0.19898094171392278</v>
      </c>
      <c r="F43" s="3459" t="str">
        <f>IF(OR(E43&gt;=0.2,E43&lt;=-0.2),"超过20%","")</f>
        <v/>
      </c>
      <c r="G43" s="3458">
        <f>IF(G38&lt;I38,I38/G38-1,G38/I38-1)</f>
        <v>4.8219056511329184E-2</v>
      </c>
      <c r="H43" s="3459" t="str">
        <f>IF(OR(G43&gt;=0.2,G43&lt;=-0.2),"超过20%","")</f>
        <v/>
      </c>
      <c r="I43" s="3458">
        <f>IF(I38&lt;E38,E38/I38-1,I38/E38-1)</f>
        <v>0.25679467149843305</v>
      </c>
      <c r="J43" s="3459" t="str">
        <f>IF(OR(I43&gt;=0.2,I43&lt;=-0.2),"超过20%","")</f>
        <v>超过20%</v>
      </c>
      <c r="K43" s="3453"/>
      <c r="L43" s="3454"/>
      <c r="M43" s="3438"/>
      <c r="N43" s="3438"/>
      <c r="O43" s="3438"/>
      <c r="P43" s="3455"/>
      <c r="Q43" s="3438"/>
      <c r="R43" s="3438"/>
      <c r="S43" s="3438"/>
      <c r="T43" s="3438"/>
      <c r="U43" s="3438"/>
      <c r="V43" s="3438"/>
      <c r="W43" s="3438"/>
      <c r="X43" s="3438"/>
      <c r="Y43" s="3438"/>
      <c r="Z43" s="3438"/>
      <c r="AA43" s="3438"/>
      <c r="AB43" s="3438"/>
      <c r="AC43" s="3438"/>
    </row>
    <row r="44" spans="1:29" s="3465" customFormat="1" ht="13.5" customHeight="1">
      <c r="A44" s="3461"/>
      <c r="B44" s="3461"/>
      <c r="C44" s="3456" t="s">
        <v>3092</v>
      </c>
      <c r="D44" s="3460"/>
      <c r="E44" s="3458">
        <f>IF(E37&lt;G37,G37/E37-1,E37/G37-1)</f>
        <v>0.13207547169811318</v>
      </c>
      <c r="F44" s="3459" t="str">
        <f>IF(OR(E44&gt;=0.3,E44&lt;=-0.3),"超过30%","")</f>
        <v/>
      </c>
      <c r="G44" s="3458">
        <f>IF(G37&lt;I37,I37/G37-1,G37/I37-1)</f>
        <v>0.17777777777777781</v>
      </c>
      <c r="H44" s="3459" t="str">
        <f>IF(OR(G44&gt;=0.3,G44&lt;=-0.3),"超过30%","")</f>
        <v/>
      </c>
      <c r="I44" s="3458">
        <f>IF(I37&lt;E37,E37/I37-1,I37/E37-1)</f>
        <v>0.33333333333333326</v>
      </c>
      <c r="J44" s="3459" t="str">
        <f>IF(OR(I44&gt;=0.3,I44&lt;=-0.3),"超过30%","")</f>
        <v>超过30%</v>
      </c>
      <c r="K44" s="3462"/>
      <c r="L44" s="3463"/>
      <c r="M44" s="3461"/>
      <c r="N44" s="3461"/>
      <c r="O44" s="3461"/>
      <c r="P44" s="3464"/>
      <c r="Q44" s="3461"/>
      <c r="R44" s="3461"/>
      <c r="S44" s="3461"/>
      <c r="T44" s="3461"/>
      <c r="U44" s="3461"/>
      <c r="V44" s="3461"/>
      <c r="W44" s="3461"/>
      <c r="X44" s="3461"/>
      <c r="Y44" s="3461"/>
      <c r="Z44" s="3461"/>
      <c r="AA44" s="3461"/>
      <c r="AB44" s="3461"/>
      <c r="AC44" s="3461"/>
    </row>
    <row r="45" spans="1:29" s="3465" customFormat="1">
      <c r="A45" s="3461"/>
      <c r="B45" s="3466"/>
      <c r="C45" s="3467"/>
      <c r="D45" s="3461"/>
      <c r="E45" s="3461"/>
      <c r="F45" s="3461"/>
      <c r="G45" s="3461"/>
      <c r="H45" s="3461"/>
      <c r="I45" s="3461"/>
      <c r="J45" s="3461"/>
      <c r="K45" s="3462"/>
      <c r="L45" s="3463"/>
      <c r="M45" s="3461"/>
      <c r="N45" s="3461"/>
      <c r="O45" s="3461"/>
      <c r="P45" s="3464"/>
      <c r="Q45" s="3461"/>
      <c r="R45" s="3461"/>
      <c r="S45" s="3461"/>
      <c r="T45" s="3461"/>
      <c r="U45" s="3461"/>
      <c r="V45" s="3461"/>
      <c r="W45" s="3461"/>
      <c r="X45" s="3461"/>
      <c r="Y45" s="3461"/>
      <c r="Z45" s="3461"/>
      <c r="AA45" s="3461"/>
      <c r="AB45" s="3461"/>
      <c r="AC45" s="3461"/>
    </row>
    <row r="46" spans="1:29">
      <c r="A46" s="3438"/>
      <c r="B46" s="3466"/>
      <c r="C46" s="3467"/>
      <c r="D46" s="3438"/>
      <c r="E46" s="3438"/>
      <c r="F46" s="3438"/>
      <c r="G46" s="3438"/>
      <c r="H46" s="3438"/>
      <c r="I46" s="3438"/>
      <c r="J46" s="3438"/>
      <c r="K46" s="3453"/>
      <c r="L46" s="3454"/>
      <c r="M46" s="3438"/>
      <c r="N46" s="3438"/>
      <c r="O46" s="3438"/>
      <c r="P46" s="3455"/>
      <c r="Q46" s="3438"/>
      <c r="R46" s="3438"/>
      <c r="S46" s="3438"/>
      <c r="T46" s="3438"/>
      <c r="U46" s="3438"/>
      <c r="V46" s="3438"/>
      <c r="W46" s="3438"/>
      <c r="X46" s="3438"/>
      <c r="Y46" s="3438"/>
      <c r="Z46" s="3438"/>
      <c r="AA46" s="3438"/>
      <c r="AB46" s="3438"/>
      <c r="AC46" s="3438"/>
    </row>
    <row r="47" spans="1:29" ht="21.75" thickBot="1">
      <c r="A47" s="3468" t="s">
        <v>3093</v>
      </c>
      <c r="B47" s="3469"/>
      <c r="C47" s="3470"/>
      <c r="D47" s="3470"/>
      <c r="E47" s="3470"/>
      <c r="F47" s="3471"/>
      <c r="G47" s="3471"/>
      <c r="H47" s="3470"/>
      <c r="I47" s="3470"/>
      <c r="J47" s="3470"/>
      <c r="K47" s="3472"/>
      <c r="L47" s="3473"/>
      <c r="M47" s="3470"/>
      <c r="N47" s="3474"/>
      <c r="O47" s="3474"/>
      <c r="P47" s="3475"/>
      <c r="Q47" s="3476"/>
      <c r="R47" s="3438"/>
      <c r="S47" s="3438"/>
      <c r="T47" s="3438"/>
      <c r="U47" s="3438"/>
      <c r="V47" s="3438"/>
      <c r="W47" s="3438"/>
      <c r="X47" s="3438"/>
      <c r="Y47" s="3438"/>
      <c r="Z47" s="3438"/>
      <c r="AA47" s="3438"/>
      <c r="AB47" s="3438"/>
      <c r="AC47" s="3438"/>
    </row>
    <row r="48" spans="1:29" s="3483" customFormat="1" ht="15">
      <c r="A48" s="3477" t="s">
        <v>3055</v>
      </c>
      <c r="B48" s="3478"/>
      <c r="C48" s="3479" t="str">
        <f>YEAR(C7)&amp;"-"&amp;MONTH(C7)</f>
        <v>2021-2</v>
      </c>
      <c r="D48" s="3480">
        <f>EDATE(C48,-1)</f>
        <v>44197</v>
      </c>
      <c r="E48" s="3480">
        <f t="shared" ref="E48:O48" si="16">EDATE(D48,-1)</f>
        <v>44166</v>
      </c>
      <c r="F48" s="3480">
        <f t="shared" si="16"/>
        <v>44136</v>
      </c>
      <c r="G48" s="3480">
        <f t="shared" si="16"/>
        <v>44105</v>
      </c>
      <c r="H48" s="3480">
        <f t="shared" si="16"/>
        <v>44075</v>
      </c>
      <c r="I48" s="3480">
        <f t="shared" si="16"/>
        <v>44044</v>
      </c>
      <c r="J48" s="3480">
        <f t="shared" si="16"/>
        <v>44013</v>
      </c>
      <c r="K48" s="3480">
        <f t="shared" si="16"/>
        <v>43983</v>
      </c>
      <c r="L48" s="3480">
        <f t="shared" si="16"/>
        <v>43952</v>
      </c>
      <c r="M48" s="3480">
        <f t="shared" si="16"/>
        <v>43922</v>
      </c>
      <c r="N48" s="3480">
        <f t="shared" si="16"/>
        <v>43891</v>
      </c>
      <c r="O48" s="3480">
        <f t="shared" si="16"/>
        <v>43862</v>
      </c>
      <c r="P48" s="3481"/>
      <c r="Q48" s="3482"/>
      <c r="R48" s="3482"/>
      <c r="S48" s="3482"/>
      <c r="T48" s="3482"/>
      <c r="U48" s="3482"/>
      <c r="V48" s="3482"/>
      <c r="W48" s="3482"/>
      <c r="X48" s="3482"/>
      <c r="Y48" s="3482"/>
      <c r="Z48" s="3482"/>
      <c r="AA48" s="3482"/>
      <c r="AB48" s="3482"/>
      <c r="AC48" s="3482"/>
    </row>
    <row r="49" spans="1:29" s="3338" customFormat="1" ht="15">
      <c r="A49" s="3484"/>
      <c r="B49" s="3485"/>
      <c r="C49" s="3486">
        <v>100</v>
      </c>
      <c r="D49" s="3487"/>
      <c r="E49" s="3487"/>
      <c r="F49" s="3487"/>
      <c r="G49" s="3487"/>
      <c r="H49" s="3487"/>
      <c r="I49" s="3487"/>
      <c r="J49" s="3487"/>
      <c r="K49" s="3487"/>
      <c r="L49" s="3487"/>
      <c r="M49" s="3488"/>
      <c r="N49" s="3487"/>
      <c r="O49" s="3488"/>
      <c r="P49" s="3489"/>
      <c r="Q49" s="3490"/>
      <c r="R49" s="3490"/>
      <c r="S49" s="3490"/>
      <c r="T49" s="3490"/>
      <c r="U49" s="3490"/>
      <c r="V49" s="3490"/>
      <c r="W49" s="3490"/>
      <c r="X49" s="3490"/>
      <c r="Y49" s="3490"/>
      <c r="Z49" s="3490"/>
      <c r="AA49" s="3490"/>
      <c r="AB49" s="3490"/>
      <c r="AC49" s="3490"/>
    </row>
    <row r="50" spans="1:29" s="3338" customFormat="1" ht="15.75" thickBot="1">
      <c r="A50" s="3491" t="s">
        <v>3094</v>
      </c>
      <c r="B50" s="3492"/>
      <c r="C50" s="3493"/>
      <c r="D50" s="3494"/>
      <c r="E50" s="3494"/>
      <c r="F50" s="3494"/>
      <c r="G50" s="3494"/>
      <c r="H50" s="3494"/>
      <c r="I50" s="3494"/>
      <c r="J50" s="3494"/>
      <c r="K50" s="3494"/>
      <c r="L50" s="3494"/>
      <c r="M50" s="3495"/>
      <c r="N50" s="3494"/>
      <c r="O50" s="3495"/>
      <c r="P50" s="3489"/>
      <c r="Q50" s="3476"/>
      <c r="R50" s="3490"/>
      <c r="S50" s="3490"/>
      <c r="T50" s="3490"/>
      <c r="U50" s="3490"/>
      <c r="V50" s="3490"/>
      <c r="W50" s="3490"/>
      <c r="X50" s="3490"/>
      <c r="Y50" s="3490"/>
      <c r="Z50" s="3490"/>
      <c r="AA50" s="3490"/>
      <c r="AB50" s="3490"/>
      <c r="AC50" s="3490"/>
    </row>
    <row r="51" spans="1:29" s="3338" customFormat="1" ht="15">
      <c r="A51" s="3496" t="s">
        <v>3058</v>
      </c>
      <c r="B51" s="3485"/>
      <c r="C51" s="3497" t="s">
        <v>3059</v>
      </c>
      <c r="D51" s="3498"/>
      <c r="E51" s="3498"/>
      <c r="F51" s="3498"/>
      <c r="G51" s="3498"/>
      <c r="H51" s="3498"/>
      <c r="I51" s="3498"/>
      <c r="J51" s="3498"/>
      <c r="K51" s="3498"/>
      <c r="L51" s="3499"/>
      <c r="M51" s="3500"/>
      <c r="N51" s="3501"/>
      <c r="O51" s="3501"/>
      <c r="P51" s="3502"/>
      <c r="Q51" s="3476"/>
      <c r="R51" s="3490"/>
      <c r="S51" s="3490"/>
      <c r="T51" s="3490"/>
      <c r="U51" s="3490"/>
      <c r="V51" s="3490"/>
      <c r="W51" s="3490"/>
      <c r="X51" s="3490"/>
      <c r="Y51" s="3490"/>
      <c r="Z51" s="3490"/>
      <c r="AA51" s="3490"/>
      <c r="AB51" s="3490"/>
      <c r="AC51" s="3490"/>
    </row>
    <row r="52" spans="1:29" s="3338" customFormat="1" ht="15.75" thickBot="1">
      <c r="A52" s="3496"/>
      <c r="B52" s="3485"/>
      <c r="C52" s="3503">
        <v>100</v>
      </c>
      <c r="D52" s="3487"/>
      <c r="E52" s="3487"/>
      <c r="F52" s="3487"/>
      <c r="G52" s="3487"/>
      <c r="H52" s="3487"/>
      <c r="I52" s="3487"/>
      <c r="J52" s="3487"/>
      <c r="K52" s="3487"/>
      <c r="L52" s="3487"/>
      <c r="M52" s="3504"/>
      <c r="N52" s="3501"/>
      <c r="O52" s="3501"/>
      <c r="P52" s="3489"/>
      <c r="Q52" s="3476"/>
      <c r="R52" s="3490"/>
      <c r="S52" s="3490"/>
      <c r="T52" s="3490"/>
      <c r="U52" s="3490"/>
      <c r="V52" s="3490"/>
      <c r="W52" s="3490"/>
      <c r="X52" s="3490"/>
      <c r="Y52" s="3490"/>
      <c r="Z52" s="3490"/>
      <c r="AA52" s="3490"/>
      <c r="AB52" s="3490"/>
      <c r="AC52" s="3490"/>
    </row>
    <row r="53" spans="1:29">
      <c r="A53" s="3505" t="s">
        <v>3095</v>
      </c>
      <c r="B53" s="3506" t="s">
        <v>3062</v>
      </c>
      <c r="C53" s="3507">
        <f>C9</f>
        <v>0</v>
      </c>
      <c r="D53" s="3508"/>
      <c r="E53" s="3508"/>
      <c r="F53" s="3508"/>
      <c r="G53" s="3508"/>
      <c r="H53" s="3508"/>
      <c r="I53" s="3508"/>
      <c r="J53" s="3508"/>
      <c r="K53" s="3509"/>
      <c r="L53" s="3510"/>
      <c r="M53" s="3511"/>
      <c r="N53" s="3512"/>
      <c r="O53" s="3512"/>
      <c r="P53" s="3513"/>
      <c r="Q53" s="3476"/>
      <c r="R53" s="3438"/>
      <c r="S53" s="3438"/>
      <c r="T53" s="3438"/>
      <c r="U53" s="3438"/>
      <c r="V53" s="3438"/>
      <c r="W53" s="3438"/>
      <c r="X53" s="3438"/>
      <c r="Y53" s="3438"/>
      <c r="Z53" s="3438"/>
      <c r="AA53" s="3438"/>
      <c r="AB53" s="3438"/>
      <c r="AC53" s="3438"/>
    </row>
    <row r="54" spans="1:29" ht="15.75" thickBot="1">
      <c r="A54" s="3514"/>
      <c r="B54" s="3515"/>
      <c r="C54" s="3516">
        <v>100</v>
      </c>
      <c r="D54" s="3516"/>
      <c r="E54" s="3516"/>
      <c r="F54" s="3516"/>
      <c r="G54" s="3516"/>
      <c r="H54" s="3516"/>
      <c r="I54" s="3516"/>
      <c r="J54" s="3516"/>
      <c r="K54" s="3516"/>
      <c r="L54" s="3516"/>
      <c r="M54" s="3517"/>
      <c r="N54" s="3518"/>
      <c r="O54" s="3518"/>
      <c r="P54" s="3513"/>
      <c r="Q54" s="3476"/>
      <c r="R54" s="3438"/>
      <c r="S54" s="3438"/>
      <c r="T54" s="3438"/>
      <c r="U54" s="3438"/>
      <c r="V54" s="3438"/>
      <c r="W54" s="3438"/>
      <c r="X54" s="3438"/>
      <c r="Y54" s="3438"/>
      <c r="Z54" s="3438"/>
      <c r="AA54" s="3438"/>
      <c r="AB54" s="3438"/>
      <c r="AC54" s="3438"/>
    </row>
    <row r="55" spans="1:29" ht="27.75" thickTop="1">
      <c r="A55" s="3514"/>
      <c r="B55" s="3519" t="s">
        <v>3096</v>
      </c>
      <c r="C55" s="3520" t="s">
        <v>3097</v>
      </c>
      <c r="D55" s="3520" t="s">
        <v>3098</v>
      </c>
      <c r="E55" s="3520" t="s">
        <v>3099</v>
      </c>
      <c r="F55" s="3520" t="s">
        <v>3100</v>
      </c>
      <c r="G55" s="3520" t="s">
        <v>3101</v>
      </c>
      <c r="H55" s="3520" t="s">
        <v>3102</v>
      </c>
      <c r="I55" s="3520" t="s">
        <v>3103</v>
      </c>
      <c r="J55" s="3520"/>
      <c r="K55" s="3521"/>
      <c r="L55" s="3522"/>
      <c r="M55" s="3523"/>
      <c r="N55" s="3512"/>
      <c r="O55" s="3512"/>
      <c r="P55" s="3513"/>
      <c r="Q55" s="3476"/>
      <c r="R55" s="3438"/>
      <c r="S55" s="3438"/>
      <c r="T55" s="3438"/>
      <c r="U55" s="3438"/>
      <c r="V55" s="3438"/>
      <c r="W55" s="3438"/>
      <c r="X55" s="3438"/>
      <c r="Y55" s="3438"/>
      <c r="Z55" s="3438"/>
      <c r="AA55" s="3438"/>
      <c r="AB55" s="3438"/>
      <c r="AC55" s="3438"/>
    </row>
    <row r="56" spans="1:29" ht="15.75" thickBot="1">
      <c r="A56" s="3514"/>
      <c r="B56" s="3524"/>
      <c r="C56" s="3525" t="s">
        <v>3104</v>
      </c>
      <c r="D56" s="3525" t="s">
        <v>3104</v>
      </c>
      <c r="E56" s="3525">
        <v>100</v>
      </c>
      <c r="F56" s="3525">
        <f>E56-$K10</f>
        <v>98</v>
      </c>
      <c r="G56" s="3525">
        <f>F56-$K10</f>
        <v>96</v>
      </c>
      <c r="H56" s="3525">
        <f>G56-$K10</f>
        <v>94</v>
      </c>
      <c r="I56" s="3525">
        <f>H56-$K10</f>
        <v>92</v>
      </c>
      <c r="J56" s="3525"/>
      <c r="K56" s="3525"/>
      <c r="L56" s="3525"/>
      <c r="M56" s="3526"/>
      <c r="N56" s="3518"/>
      <c r="O56" s="3518"/>
      <c r="P56" s="3513"/>
      <c r="Q56" s="3476"/>
      <c r="R56" s="3438"/>
      <c r="S56" s="3438"/>
      <c r="T56" s="3438"/>
      <c r="U56" s="3438"/>
      <c r="V56" s="3438"/>
      <c r="W56" s="3438"/>
      <c r="X56" s="3438"/>
      <c r="Y56" s="3438"/>
      <c r="Z56" s="3438"/>
      <c r="AA56" s="3438"/>
      <c r="AB56" s="3438"/>
      <c r="AC56" s="3438"/>
    </row>
    <row r="57" spans="1:29" ht="15.75" thickTop="1">
      <c r="A57" s="3514"/>
      <c r="B57" s="3527">
        <f>B11</f>
        <v>111</v>
      </c>
      <c r="C57" s="3528"/>
      <c r="D57" s="3528"/>
      <c r="E57" s="3528"/>
      <c r="F57" s="3528"/>
      <c r="G57" s="3528"/>
      <c r="H57" s="3528"/>
      <c r="I57" s="3528"/>
      <c r="J57" s="3528"/>
      <c r="K57" s="3529"/>
      <c r="L57" s="3530"/>
      <c r="M57" s="3531"/>
      <c r="N57" s="3512"/>
      <c r="O57" s="3512"/>
      <c r="P57" s="3513"/>
      <c r="Q57" s="3476"/>
      <c r="R57" s="3438"/>
      <c r="S57" s="3438"/>
      <c r="T57" s="3438"/>
      <c r="U57" s="3438"/>
      <c r="V57" s="3438"/>
      <c r="W57" s="3438"/>
      <c r="X57" s="3438"/>
      <c r="Y57" s="3438"/>
      <c r="Z57" s="3438"/>
      <c r="AA57" s="3438"/>
      <c r="AB57" s="3438"/>
      <c r="AC57" s="3438"/>
    </row>
    <row r="58" spans="1:29" ht="15.75" thickBot="1">
      <c r="A58" s="3514"/>
      <c r="B58" s="3515"/>
      <c r="C58" s="3532"/>
      <c r="D58" s="3516"/>
      <c r="E58" s="3516"/>
      <c r="F58" s="3516"/>
      <c r="G58" s="3516"/>
      <c r="H58" s="3516"/>
      <c r="I58" s="3516"/>
      <c r="J58" s="3516"/>
      <c r="K58" s="3516"/>
      <c r="L58" s="3516"/>
      <c r="M58" s="3517"/>
      <c r="N58" s="3518"/>
      <c r="O58" s="3518"/>
      <c r="P58" s="3513"/>
      <c r="Q58" s="3476"/>
      <c r="R58" s="3438"/>
      <c r="S58" s="3438"/>
      <c r="T58" s="3438"/>
      <c r="U58" s="3438"/>
      <c r="V58" s="3438"/>
      <c r="W58" s="3438"/>
      <c r="X58" s="3438"/>
      <c r="Y58" s="3438"/>
      <c r="Z58" s="3438"/>
      <c r="AA58" s="3438"/>
      <c r="AB58" s="3438"/>
      <c r="AC58" s="3438"/>
    </row>
    <row r="59" spans="1:29" s="3420" customFormat="1" ht="15.75" thickTop="1">
      <c r="A59" s="3533"/>
      <c r="B59" s="3519">
        <f>B12</f>
        <v>111</v>
      </c>
      <c r="C59" s="3528"/>
      <c r="D59" s="3528"/>
      <c r="E59" s="3528"/>
      <c r="F59" s="3528"/>
      <c r="G59" s="3534"/>
      <c r="H59" s="3535"/>
      <c r="I59" s="3535"/>
      <c r="J59" s="3535"/>
      <c r="K59" s="3535"/>
      <c r="L59" s="3536"/>
      <c r="M59" s="3537"/>
      <c r="N59" s="3538"/>
      <c r="O59" s="3538"/>
      <c r="P59" s="3539"/>
      <c r="Q59" s="3540"/>
      <c r="R59" s="3541"/>
      <c r="S59" s="3541"/>
      <c r="T59" s="3541"/>
      <c r="U59" s="3541"/>
      <c r="V59" s="3541"/>
      <c r="W59" s="3541"/>
      <c r="X59" s="3541"/>
      <c r="Y59" s="3541"/>
      <c r="Z59" s="3541"/>
      <c r="AA59" s="3541"/>
      <c r="AB59" s="3541"/>
      <c r="AC59" s="3541"/>
    </row>
    <row r="60" spans="1:29" s="3420" customFormat="1" ht="15.75" thickBot="1">
      <c r="A60" s="3533"/>
      <c r="B60" s="3524"/>
      <c r="C60" s="3532"/>
      <c r="D60" s="3516"/>
      <c r="E60" s="3516"/>
      <c r="F60" s="3516"/>
      <c r="G60" s="3516"/>
      <c r="H60" s="3516"/>
      <c r="I60" s="3516"/>
      <c r="J60" s="3516"/>
      <c r="K60" s="3516"/>
      <c r="L60" s="3516"/>
      <c r="M60" s="3517"/>
      <c r="N60" s="3518"/>
      <c r="O60" s="3518"/>
      <c r="P60" s="3539"/>
      <c r="Q60" s="3540"/>
      <c r="R60" s="3541"/>
      <c r="S60" s="3541"/>
      <c r="T60" s="3541"/>
      <c r="U60" s="3541"/>
      <c r="V60" s="3541"/>
      <c r="W60" s="3541"/>
      <c r="X60" s="3541"/>
      <c r="Y60" s="3541"/>
      <c r="Z60" s="3541"/>
      <c r="AA60" s="3541"/>
      <c r="AB60" s="3541"/>
      <c r="AC60" s="3541"/>
    </row>
    <row r="61" spans="1:29" s="3420" customFormat="1" ht="15.75" thickTop="1">
      <c r="A61" s="3533"/>
      <c r="B61" s="3519">
        <f>B13</f>
        <v>111</v>
      </c>
      <c r="C61" s="3534"/>
      <c r="D61" s="3534"/>
      <c r="E61" s="3534"/>
      <c r="F61" s="3534"/>
      <c r="G61" s="3534"/>
      <c r="H61" s="3535"/>
      <c r="I61" s="3535"/>
      <c r="J61" s="3535"/>
      <c r="K61" s="3535"/>
      <c r="L61" s="3536"/>
      <c r="M61" s="3537"/>
      <c r="N61" s="3538"/>
      <c r="O61" s="3538"/>
      <c r="P61" s="3542"/>
      <c r="Q61" s="3543"/>
      <c r="R61" s="3541"/>
      <c r="S61" s="3541"/>
      <c r="T61" s="3541"/>
      <c r="U61" s="3541"/>
      <c r="V61" s="3541"/>
      <c r="W61" s="3541"/>
      <c r="X61" s="3541"/>
      <c r="Y61" s="3541"/>
      <c r="Z61" s="3541"/>
      <c r="AA61" s="3541"/>
      <c r="AB61" s="3541"/>
      <c r="AC61" s="3541"/>
    </row>
    <row r="62" spans="1:29" s="3420" customFormat="1" ht="15.75" thickBot="1">
      <c r="A62" s="3533"/>
      <c r="B62" s="3524"/>
      <c r="C62" s="3532"/>
      <c r="D62" s="3532"/>
      <c r="E62" s="3532"/>
      <c r="F62" s="3532"/>
      <c r="G62" s="3532"/>
      <c r="H62" s="3544"/>
      <c r="I62" s="3544"/>
      <c r="J62" s="3544"/>
      <c r="K62" s="3544"/>
      <c r="L62" s="3544"/>
      <c r="M62" s="3545"/>
      <c r="N62" s="3538"/>
      <c r="O62" s="3538"/>
      <c r="P62" s="3539"/>
      <c r="Q62" s="3540"/>
      <c r="R62" s="3541"/>
      <c r="S62" s="3541"/>
      <c r="T62" s="3541"/>
      <c r="U62" s="3541"/>
      <c r="V62" s="3541"/>
      <c r="W62" s="3541"/>
      <c r="X62" s="3541"/>
      <c r="Y62" s="3541"/>
      <c r="Z62" s="3541"/>
      <c r="AA62" s="3541"/>
      <c r="AB62" s="3541"/>
      <c r="AC62" s="3541"/>
    </row>
    <row r="63" spans="1:29" ht="15" thickTop="1">
      <c r="A63" s="3505" t="s">
        <v>3105</v>
      </c>
      <c r="B63" s="3506" t="s">
        <v>3106</v>
      </c>
      <c r="C63" s="3546" t="s">
        <v>3107</v>
      </c>
      <c r="D63" s="3546" t="s">
        <v>3108</v>
      </c>
      <c r="E63" s="3546" t="s">
        <v>3109</v>
      </c>
      <c r="F63" s="3546" t="s">
        <v>3110</v>
      </c>
      <c r="G63" s="3546" t="s">
        <v>3111</v>
      </c>
      <c r="H63" s="3507"/>
      <c r="I63" s="3507"/>
      <c r="J63" s="3507"/>
      <c r="K63" s="3547"/>
      <c r="L63" s="3548"/>
      <c r="M63" s="3549"/>
      <c r="N63" s="3512"/>
      <c r="O63" s="3512"/>
      <c r="P63" s="3550"/>
      <c r="Q63" s="3476"/>
      <c r="R63" s="3438"/>
      <c r="S63" s="3438"/>
      <c r="T63" s="3438"/>
      <c r="U63" s="3438"/>
      <c r="V63" s="3438"/>
      <c r="W63" s="3438"/>
      <c r="X63" s="3438"/>
      <c r="Y63" s="3438"/>
      <c r="Z63" s="3438"/>
      <c r="AA63" s="3438"/>
      <c r="AB63" s="3438"/>
      <c r="AC63" s="3438"/>
    </row>
    <row r="64" spans="1:29" ht="15.75" thickBot="1">
      <c r="A64" s="3514"/>
      <c r="B64" s="3524"/>
      <c r="C64" s="3525">
        <v>100</v>
      </c>
      <c r="D64" s="3525">
        <f>C64-$K14</f>
        <v>97</v>
      </c>
      <c r="E64" s="3525">
        <f>D64-$K14</f>
        <v>94</v>
      </c>
      <c r="F64" s="3525">
        <f>E64-$K14</f>
        <v>91</v>
      </c>
      <c r="G64" s="3525">
        <f>F64-$K14</f>
        <v>88</v>
      </c>
      <c r="H64" s="3525"/>
      <c r="I64" s="3525"/>
      <c r="J64" s="3525"/>
      <c r="K64" s="3525"/>
      <c r="L64" s="3525"/>
      <c r="M64" s="3526"/>
      <c r="N64" s="3518"/>
      <c r="O64" s="3518"/>
      <c r="P64" s="3513"/>
      <c r="Q64" s="3476"/>
      <c r="R64" s="3438"/>
      <c r="S64" s="3438"/>
      <c r="T64" s="3438"/>
      <c r="U64" s="3438"/>
      <c r="V64" s="3438"/>
      <c r="W64" s="3438"/>
      <c r="X64" s="3438"/>
      <c r="Y64" s="3438"/>
      <c r="Z64" s="3438"/>
      <c r="AA64" s="3438"/>
      <c r="AB64" s="3438"/>
      <c r="AC64" s="3438"/>
    </row>
    <row r="65" spans="1:29" ht="15.75" thickTop="1">
      <c r="A65" s="3514"/>
      <c r="B65" s="3519" t="s">
        <v>3112</v>
      </c>
      <c r="C65" s="3551" t="s">
        <v>3107</v>
      </c>
      <c r="D65" s="3551" t="s">
        <v>3108</v>
      </c>
      <c r="E65" s="3551" t="s">
        <v>3109</v>
      </c>
      <c r="F65" s="3551" t="s">
        <v>3110</v>
      </c>
      <c r="G65" s="3551" t="s">
        <v>3111</v>
      </c>
      <c r="H65" s="3520"/>
      <c r="I65" s="3520"/>
      <c r="J65" s="3520"/>
      <c r="K65" s="3521"/>
      <c r="L65" s="3522"/>
      <c r="M65" s="3523"/>
      <c r="N65" s="3512"/>
      <c r="O65" s="3512"/>
      <c r="P65" s="3513"/>
      <c r="Q65" s="3476"/>
      <c r="R65" s="3438"/>
      <c r="S65" s="3438"/>
      <c r="T65" s="3438"/>
      <c r="U65" s="3438"/>
      <c r="V65" s="3438"/>
      <c r="W65" s="3438"/>
      <c r="X65" s="3438"/>
      <c r="Y65" s="3438"/>
      <c r="Z65" s="3438"/>
      <c r="AA65" s="3438"/>
      <c r="AB65" s="3438"/>
      <c r="AC65" s="3438"/>
    </row>
    <row r="66" spans="1:29" ht="15.75" thickBot="1">
      <c r="A66" s="3514"/>
      <c r="B66" s="3524"/>
      <c r="C66" s="3525">
        <v>100</v>
      </c>
      <c r="D66" s="3525">
        <f>C66-$K16</f>
        <v>97</v>
      </c>
      <c r="E66" s="3525">
        <f>D66-$K16</f>
        <v>94</v>
      </c>
      <c r="F66" s="3525">
        <f>E66-$K16</f>
        <v>91</v>
      </c>
      <c r="G66" s="3525">
        <f>F66-$K16</f>
        <v>88</v>
      </c>
      <c r="H66" s="3525"/>
      <c r="I66" s="3525"/>
      <c r="J66" s="3525"/>
      <c r="K66" s="3525"/>
      <c r="L66" s="3525"/>
      <c r="M66" s="3526"/>
      <c r="N66" s="3518"/>
      <c r="O66" s="3518"/>
      <c r="P66" s="3513"/>
      <c r="Q66" s="3476"/>
      <c r="R66" s="3438"/>
      <c r="S66" s="3438"/>
      <c r="T66" s="3438"/>
      <c r="U66" s="3438"/>
      <c r="V66" s="3438"/>
      <c r="W66" s="3438"/>
      <c r="X66" s="3438"/>
      <c r="Y66" s="3438"/>
      <c r="Z66" s="3438"/>
      <c r="AA66" s="3438"/>
      <c r="AB66" s="3438"/>
      <c r="AC66" s="3438"/>
    </row>
    <row r="67" spans="1:29" ht="15.75" thickTop="1">
      <c r="A67" s="3514"/>
      <c r="B67" s="3552" t="s">
        <v>3113</v>
      </c>
      <c r="C67" s="3527" t="s">
        <v>3114</v>
      </c>
      <c r="D67" s="3527" t="s">
        <v>3115</v>
      </c>
      <c r="E67" s="3527" t="s">
        <v>3116</v>
      </c>
      <c r="F67" s="3527" t="s">
        <v>3117</v>
      </c>
      <c r="G67" s="3527" t="s">
        <v>3118</v>
      </c>
      <c r="H67" s="3520"/>
      <c r="I67" s="3520"/>
      <c r="J67" s="3520"/>
      <c r="K67" s="3520"/>
      <c r="L67" s="3520"/>
      <c r="M67" s="3553"/>
      <c r="N67" s="3518"/>
      <c r="O67" s="3518"/>
      <c r="P67" s="3513"/>
      <c r="Q67" s="3476"/>
      <c r="R67" s="3438"/>
      <c r="S67" s="3438"/>
      <c r="T67" s="3438"/>
      <c r="U67" s="3438"/>
      <c r="V67" s="3438"/>
      <c r="W67" s="3438"/>
      <c r="X67" s="3438"/>
      <c r="Y67" s="3438"/>
      <c r="Z67" s="3438"/>
      <c r="AA67" s="3438"/>
      <c r="AB67" s="3438"/>
      <c r="AC67" s="3438"/>
    </row>
    <row r="68" spans="1:29" ht="15.75" thickBot="1">
      <c r="A68" s="3514"/>
      <c r="B68" s="3552"/>
      <c r="C68" s="3525">
        <v>100</v>
      </c>
      <c r="D68" s="3525">
        <f>C68-$K18</f>
        <v>98</v>
      </c>
      <c r="E68" s="3525">
        <f>D68-$K18</f>
        <v>96</v>
      </c>
      <c r="F68" s="3525">
        <f>E68-$K18</f>
        <v>94</v>
      </c>
      <c r="G68" s="3525">
        <f>F68-$K18</f>
        <v>92</v>
      </c>
      <c r="H68" s="3527"/>
      <c r="I68" s="3527"/>
      <c r="J68" s="3527"/>
      <c r="K68" s="3527"/>
      <c r="L68" s="3527"/>
      <c r="M68" s="3384"/>
      <c r="N68" s="3518"/>
      <c r="O68" s="3518"/>
      <c r="P68" s="3513"/>
      <c r="Q68" s="3476"/>
      <c r="R68" s="3438"/>
      <c r="S68" s="3438"/>
      <c r="T68" s="3438"/>
      <c r="U68" s="3438"/>
      <c r="V68" s="3438"/>
      <c r="W68" s="3438"/>
      <c r="X68" s="3438"/>
      <c r="Y68" s="3438"/>
      <c r="Z68" s="3438"/>
      <c r="AA68" s="3438"/>
      <c r="AB68" s="3438"/>
      <c r="AC68" s="3438"/>
    </row>
    <row r="69" spans="1:29" ht="15.75" thickTop="1">
      <c r="A69" s="3514"/>
      <c r="B69" s="3519" t="s">
        <v>3119</v>
      </c>
      <c r="C69" s="3551" t="s">
        <v>3120</v>
      </c>
      <c r="D69" s="3551" t="s">
        <v>3121</v>
      </c>
      <c r="E69" s="3551" t="s">
        <v>3122</v>
      </c>
      <c r="F69" s="3551" t="s">
        <v>3123</v>
      </c>
      <c r="G69" s="3551" t="s">
        <v>3124</v>
      </c>
      <c r="H69" s="3520"/>
      <c r="I69" s="3520"/>
      <c r="J69" s="3520"/>
      <c r="K69" s="3521"/>
      <c r="L69" s="3522"/>
      <c r="M69" s="3523"/>
      <c r="N69" s="3512"/>
      <c r="O69" s="3512"/>
      <c r="P69" s="3513"/>
      <c r="Q69" s="3476"/>
      <c r="R69" s="3438"/>
      <c r="S69" s="3438"/>
      <c r="T69" s="3438"/>
      <c r="U69" s="3438"/>
      <c r="V69" s="3438"/>
      <c r="W69" s="3438"/>
      <c r="X69" s="3438"/>
      <c r="Y69" s="3438"/>
      <c r="Z69" s="3438"/>
      <c r="AA69" s="3438"/>
      <c r="AB69" s="3438"/>
      <c r="AC69" s="3438"/>
    </row>
    <row r="70" spans="1:29" ht="15.75" thickBot="1">
      <c r="A70" s="3514"/>
      <c r="B70" s="3524"/>
      <c r="C70" s="3525">
        <v>100</v>
      </c>
      <c r="D70" s="3525">
        <f>C70-$K20</f>
        <v>98</v>
      </c>
      <c r="E70" s="3525">
        <f>D70-$K20</f>
        <v>96</v>
      </c>
      <c r="F70" s="3525">
        <f>E70-$K20</f>
        <v>94</v>
      </c>
      <c r="G70" s="3525">
        <f>F70-$K20</f>
        <v>92</v>
      </c>
      <c r="H70" s="3525"/>
      <c r="I70" s="3525"/>
      <c r="J70" s="3525"/>
      <c r="K70" s="3525"/>
      <c r="L70" s="3525"/>
      <c r="M70" s="3526"/>
      <c r="N70" s="3518"/>
      <c r="O70" s="3518"/>
      <c r="P70" s="3513"/>
      <c r="Q70" s="3476"/>
      <c r="R70" s="3438"/>
      <c r="S70" s="3438"/>
      <c r="T70" s="3438"/>
      <c r="U70" s="3438"/>
      <c r="V70" s="3438"/>
      <c r="W70" s="3438"/>
      <c r="X70" s="3438"/>
      <c r="Y70" s="3438"/>
      <c r="Z70" s="3438"/>
      <c r="AA70" s="3438"/>
      <c r="AB70" s="3438"/>
      <c r="AC70" s="3438"/>
    </row>
    <row r="71" spans="1:29" ht="15.75" thickTop="1">
      <c r="A71" s="3514"/>
      <c r="B71" s="3519" t="s">
        <v>3125</v>
      </c>
      <c r="C71" s="3534"/>
      <c r="D71" s="3534"/>
      <c r="E71" s="3534"/>
      <c r="F71" s="3534"/>
      <c r="G71" s="3534"/>
      <c r="H71" s="3554"/>
      <c r="I71" s="3554"/>
      <c r="J71" s="3554"/>
      <c r="K71" s="3555"/>
      <c r="L71" s="3556"/>
      <c r="M71" s="3557"/>
      <c r="N71" s="3512"/>
      <c r="O71" s="3512"/>
      <c r="P71" s="3513"/>
      <c r="Q71" s="3476"/>
      <c r="R71" s="3438"/>
      <c r="S71" s="3438"/>
      <c r="T71" s="3438"/>
      <c r="U71" s="3438"/>
      <c r="V71" s="3438"/>
      <c r="W71" s="3438"/>
      <c r="X71" s="3438"/>
      <c r="Y71" s="3438"/>
      <c r="Z71" s="3438"/>
      <c r="AA71" s="3438"/>
      <c r="AB71" s="3438"/>
      <c r="AC71" s="3438"/>
    </row>
    <row r="72" spans="1:29" ht="15.75" thickBot="1">
      <c r="A72" s="3514"/>
      <c r="B72" s="3524"/>
      <c r="C72" s="3525">
        <v>100</v>
      </c>
      <c r="D72" s="3525">
        <f>C72-$K22</f>
        <v>98</v>
      </c>
      <c r="E72" s="3525">
        <f>D72-$K22</f>
        <v>96</v>
      </c>
      <c r="F72" s="3525">
        <f>E72-$K22</f>
        <v>94</v>
      </c>
      <c r="G72" s="3525">
        <f>F72-$K22</f>
        <v>92</v>
      </c>
      <c r="H72" s="3525"/>
      <c r="I72" s="3525"/>
      <c r="J72" s="3525"/>
      <c r="K72" s="3525"/>
      <c r="L72" s="3525"/>
      <c r="M72" s="3526"/>
      <c r="N72" s="3518"/>
      <c r="O72" s="3518"/>
      <c r="P72" s="3513"/>
      <c r="Q72" s="3476"/>
      <c r="R72" s="3438"/>
      <c r="S72" s="3438"/>
      <c r="T72" s="3438"/>
      <c r="U72" s="3438"/>
      <c r="V72" s="3438"/>
      <c r="W72" s="3438"/>
      <c r="X72" s="3438"/>
      <c r="Y72" s="3438"/>
      <c r="Z72" s="3438"/>
      <c r="AA72" s="3438"/>
      <c r="AB72" s="3438"/>
      <c r="AC72" s="3438"/>
    </row>
    <row r="73" spans="1:29" s="3338" customFormat="1" ht="15.75" thickTop="1">
      <c r="A73" s="3558"/>
      <c r="B73" s="3519">
        <f>B23</f>
        <v>111</v>
      </c>
      <c r="C73" s="3528"/>
      <c r="D73" s="3528"/>
      <c r="E73" s="3528"/>
      <c r="F73" s="3528"/>
      <c r="G73" s="3534"/>
      <c r="H73" s="3534"/>
      <c r="I73" s="3534"/>
      <c r="J73" s="3534"/>
      <c r="K73" s="3534"/>
      <c r="L73" s="3559"/>
      <c r="M73" s="3560"/>
      <c r="N73" s="3501"/>
      <c r="O73" s="3501"/>
      <c r="P73" s="3513"/>
      <c r="Q73" s="3476"/>
      <c r="R73" s="3490"/>
      <c r="S73" s="3490"/>
      <c r="T73" s="3490"/>
      <c r="U73" s="3490"/>
      <c r="V73" s="3490"/>
      <c r="W73" s="3490"/>
      <c r="X73" s="3490"/>
      <c r="Y73" s="3490"/>
      <c r="Z73" s="3490"/>
      <c r="AA73" s="3490"/>
      <c r="AB73" s="3490"/>
      <c r="AC73" s="3490"/>
    </row>
    <row r="74" spans="1:29" s="3338" customFormat="1" ht="15.75" thickBot="1">
      <c r="A74" s="3558"/>
      <c r="B74" s="3524"/>
      <c r="C74" s="3532"/>
      <c r="D74" s="3516"/>
      <c r="E74" s="3516"/>
      <c r="F74" s="3516"/>
      <c r="G74" s="3516"/>
      <c r="H74" s="3516"/>
      <c r="I74" s="3516"/>
      <c r="J74" s="3516"/>
      <c r="K74" s="3516"/>
      <c r="L74" s="3516"/>
      <c r="M74" s="3517"/>
      <c r="N74" s="3518"/>
      <c r="O74" s="3518"/>
      <c r="P74" s="3513"/>
      <c r="Q74" s="3476"/>
      <c r="R74" s="3490"/>
      <c r="S74" s="3490"/>
      <c r="T74" s="3490"/>
      <c r="U74" s="3490"/>
      <c r="V74" s="3490"/>
      <c r="W74" s="3490"/>
      <c r="X74" s="3490"/>
      <c r="Y74" s="3490"/>
      <c r="Z74" s="3490"/>
      <c r="AA74" s="3490"/>
      <c r="AB74" s="3490"/>
      <c r="AC74" s="3490"/>
    </row>
    <row r="75" spans="1:29" s="3338" customFormat="1" ht="15.75" thickTop="1">
      <c r="A75" s="3558"/>
      <c r="B75" s="3519">
        <f>B24</f>
        <v>111</v>
      </c>
      <c r="C75" s="3528"/>
      <c r="D75" s="3528"/>
      <c r="E75" s="3528"/>
      <c r="F75" s="3528"/>
      <c r="G75" s="3534"/>
      <c r="H75" s="3534"/>
      <c r="I75" s="3534"/>
      <c r="J75" s="3534"/>
      <c r="K75" s="3534"/>
      <c r="L75" s="3534"/>
      <c r="M75" s="3560"/>
      <c r="N75" s="3501"/>
      <c r="O75" s="3501"/>
      <c r="P75" s="3513"/>
      <c r="Q75" s="3476"/>
      <c r="R75" s="3490"/>
      <c r="S75" s="3490"/>
      <c r="T75" s="3490"/>
      <c r="U75" s="3490"/>
      <c r="V75" s="3490"/>
      <c r="W75" s="3490"/>
      <c r="X75" s="3490"/>
      <c r="Y75" s="3490"/>
      <c r="Z75" s="3490"/>
      <c r="AA75" s="3490"/>
      <c r="AB75" s="3490"/>
      <c r="AC75" s="3490"/>
    </row>
    <row r="76" spans="1:29" s="3338" customFormat="1" ht="15.75" thickBot="1">
      <c r="A76" s="3558"/>
      <c r="B76" s="3524"/>
      <c r="C76" s="3532"/>
      <c r="D76" s="3516"/>
      <c r="E76" s="3516"/>
      <c r="F76" s="3516"/>
      <c r="G76" s="3516"/>
      <c r="H76" s="3516"/>
      <c r="I76" s="3516"/>
      <c r="J76" s="3516"/>
      <c r="K76" s="3516"/>
      <c r="L76" s="3516"/>
      <c r="M76" s="3517"/>
      <c r="N76" s="3518"/>
      <c r="O76" s="3518"/>
      <c r="P76" s="3513"/>
      <c r="Q76" s="3476"/>
      <c r="R76" s="3490"/>
      <c r="S76" s="3490"/>
      <c r="T76" s="3490"/>
      <c r="U76" s="3490"/>
      <c r="V76" s="3490"/>
      <c r="W76" s="3490"/>
      <c r="X76" s="3490"/>
      <c r="Y76" s="3490"/>
      <c r="Z76" s="3490"/>
      <c r="AA76" s="3490"/>
      <c r="AB76" s="3490"/>
      <c r="AC76" s="3490"/>
    </row>
    <row r="77" spans="1:29" s="3420" customFormat="1" ht="15.75" thickTop="1">
      <c r="A77" s="3533"/>
      <c r="B77" s="3519">
        <f>B25</f>
        <v>111</v>
      </c>
      <c r="C77" s="3534"/>
      <c r="D77" s="3534"/>
      <c r="E77" s="3534"/>
      <c r="F77" s="3534"/>
      <c r="G77" s="3534"/>
      <c r="H77" s="3535"/>
      <c r="I77" s="3535"/>
      <c r="J77" s="3535"/>
      <c r="K77" s="3535"/>
      <c r="L77" s="3536"/>
      <c r="M77" s="3537"/>
      <c r="N77" s="3538"/>
      <c r="O77" s="3538"/>
      <c r="P77" s="3539"/>
      <c r="Q77" s="3540"/>
      <c r="R77" s="3541"/>
      <c r="S77" s="3541"/>
      <c r="T77" s="3541"/>
      <c r="U77" s="3541"/>
      <c r="V77" s="3541"/>
      <c r="W77" s="3541"/>
      <c r="X77" s="3541"/>
      <c r="Y77" s="3541"/>
      <c r="Z77" s="3541"/>
      <c r="AA77" s="3541"/>
      <c r="AB77" s="3541"/>
      <c r="AC77" s="3541"/>
    </row>
    <row r="78" spans="1:29" s="3420" customFormat="1" ht="15.75" thickBot="1">
      <c r="A78" s="3533"/>
      <c r="B78" s="3524"/>
      <c r="C78" s="3532"/>
      <c r="D78" s="3532"/>
      <c r="E78" s="3532"/>
      <c r="F78" s="3532"/>
      <c r="G78" s="3516"/>
      <c r="H78" s="3516"/>
      <c r="I78" s="3516"/>
      <c r="J78" s="3516"/>
      <c r="K78" s="3516"/>
      <c r="L78" s="3516"/>
      <c r="M78" s="3517"/>
      <c r="N78" s="3538"/>
      <c r="O78" s="3538"/>
      <c r="P78" s="3539"/>
      <c r="Q78" s="3540"/>
      <c r="R78" s="3541"/>
      <c r="S78" s="3541"/>
      <c r="T78" s="3541"/>
      <c r="U78" s="3541"/>
      <c r="V78" s="3541"/>
      <c r="W78" s="3541"/>
      <c r="X78" s="3541"/>
      <c r="Y78" s="3541"/>
      <c r="Z78" s="3541"/>
      <c r="AA78" s="3541"/>
      <c r="AB78" s="3541"/>
      <c r="AC78" s="3541"/>
    </row>
    <row r="79" spans="1:29" ht="27.75" thickTop="1">
      <c r="A79" s="3505" t="s">
        <v>3126</v>
      </c>
      <c r="B79" s="3506" t="s">
        <v>3127</v>
      </c>
      <c r="C79" s="3507" t="str">
        <f>C26</f>
        <v>住宅</v>
      </c>
      <c r="D79" s="3508"/>
      <c r="E79" s="3508"/>
      <c r="F79" s="3508"/>
      <c r="G79" s="3508"/>
      <c r="H79" s="3508"/>
      <c r="I79" s="3508"/>
      <c r="J79" s="3508"/>
      <c r="K79" s="3509"/>
      <c r="L79" s="3510"/>
      <c r="M79" s="3511"/>
      <c r="N79" s="3512"/>
      <c r="O79" s="3512"/>
      <c r="P79" s="3513"/>
      <c r="Q79" s="3476"/>
      <c r="R79" s="3438"/>
      <c r="S79" s="3438"/>
      <c r="T79" s="3438"/>
      <c r="U79" s="3438"/>
      <c r="V79" s="3438"/>
      <c r="W79" s="3438"/>
      <c r="X79" s="3438"/>
      <c r="Y79" s="3438"/>
      <c r="Z79" s="3438"/>
      <c r="AA79" s="3438"/>
      <c r="AB79" s="3438"/>
      <c r="AC79" s="3438"/>
    </row>
    <row r="80" spans="1:29" ht="15.75" thickBot="1">
      <c r="A80" s="3514"/>
      <c r="B80" s="3524"/>
      <c r="C80" s="3525">
        <v>100</v>
      </c>
      <c r="D80" s="3525">
        <f t="shared" ref="D80:M80" si="17">C80-$K26</f>
        <v>100</v>
      </c>
      <c r="E80" s="3525">
        <f t="shared" si="17"/>
        <v>100</v>
      </c>
      <c r="F80" s="3525">
        <f t="shared" si="17"/>
        <v>100</v>
      </c>
      <c r="G80" s="3525">
        <f t="shared" si="17"/>
        <v>100</v>
      </c>
      <c r="H80" s="3525">
        <f t="shared" si="17"/>
        <v>100</v>
      </c>
      <c r="I80" s="3525">
        <f t="shared" si="17"/>
        <v>100</v>
      </c>
      <c r="J80" s="3525">
        <f t="shared" si="17"/>
        <v>100</v>
      </c>
      <c r="K80" s="3525">
        <f t="shared" si="17"/>
        <v>100</v>
      </c>
      <c r="L80" s="3525">
        <f t="shared" si="17"/>
        <v>100</v>
      </c>
      <c r="M80" s="3526">
        <f t="shared" si="17"/>
        <v>100</v>
      </c>
      <c r="N80" s="3518"/>
      <c r="O80" s="3518"/>
      <c r="P80" s="3513"/>
      <c r="Q80" s="3476"/>
      <c r="R80" s="3438"/>
      <c r="S80" s="3438"/>
      <c r="T80" s="3438"/>
      <c r="U80" s="3438"/>
      <c r="V80" s="3438"/>
      <c r="W80" s="3438"/>
      <c r="X80" s="3438"/>
      <c r="Y80" s="3438"/>
      <c r="Z80" s="3438"/>
      <c r="AA80" s="3438"/>
      <c r="AB80" s="3438"/>
      <c r="AC80" s="3438"/>
    </row>
    <row r="81" spans="1:29" ht="15.75" thickTop="1">
      <c r="A81" s="3514"/>
      <c r="B81" s="3519" t="s">
        <v>3128</v>
      </c>
      <c r="C81" s="3561"/>
      <c r="D81" s="3561"/>
      <c r="E81" s="3561"/>
      <c r="F81" s="3561"/>
      <c r="G81" s="3561"/>
      <c r="H81" s="3561"/>
      <c r="I81" s="3561"/>
      <c r="J81" s="3561"/>
      <c r="K81" s="3562"/>
      <c r="L81" s="3563"/>
      <c r="M81" s="3564"/>
      <c r="N81" s="3501"/>
      <c r="O81" s="3501"/>
      <c r="P81" s="3513"/>
      <c r="Q81" s="3476"/>
      <c r="R81" s="3438"/>
      <c r="S81" s="3438"/>
      <c r="T81" s="3438"/>
      <c r="U81" s="3438"/>
      <c r="V81" s="3438"/>
      <c r="W81" s="3438"/>
      <c r="X81" s="3438"/>
      <c r="Y81" s="3438"/>
      <c r="Z81" s="3438"/>
      <c r="AA81" s="3438"/>
      <c r="AB81" s="3438"/>
      <c r="AC81" s="3438"/>
    </row>
    <row r="82" spans="1:29" s="3420" customFormat="1" ht="15.75" thickBot="1">
      <c r="A82" s="3533"/>
      <c r="B82" s="3524"/>
      <c r="C82" s="3532"/>
      <c r="D82" s="3516"/>
      <c r="E82" s="3516"/>
      <c r="F82" s="3516"/>
      <c r="G82" s="3516"/>
      <c r="H82" s="3516"/>
      <c r="I82" s="3516"/>
      <c r="J82" s="3516"/>
      <c r="K82" s="3516"/>
      <c r="L82" s="3516"/>
      <c r="M82" s="3517"/>
      <c r="N82" s="3518"/>
      <c r="O82" s="3518"/>
      <c r="P82" s="3539"/>
      <c r="Q82" s="3540"/>
      <c r="R82" s="3541"/>
      <c r="S82" s="3541"/>
      <c r="T82" s="3541"/>
      <c r="U82" s="3541"/>
      <c r="V82" s="3541"/>
      <c r="W82" s="3541"/>
      <c r="X82" s="3541"/>
      <c r="Y82" s="3541"/>
      <c r="Z82" s="3541"/>
      <c r="AA82" s="3541"/>
      <c r="AB82" s="3541"/>
      <c r="AC82" s="3541"/>
    </row>
    <row r="83" spans="1:29" ht="15" thickTop="1">
      <c r="A83" s="3565"/>
      <c r="B83" s="3519" t="s">
        <v>3129</v>
      </c>
      <c r="C83" s="3534"/>
      <c r="D83" s="3534"/>
      <c r="E83" s="3554"/>
      <c r="F83" s="3554"/>
      <c r="G83" s="3554"/>
      <c r="H83" s="3554"/>
      <c r="I83" s="3554"/>
      <c r="J83" s="3554"/>
      <c r="K83" s="3555"/>
      <c r="L83" s="3556"/>
      <c r="M83" s="3557"/>
      <c r="N83" s="3512"/>
      <c r="O83" s="3512"/>
      <c r="P83" s="3513"/>
      <c r="Q83" s="3476"/>
      <c r="R83" s="3438"/>
      <c r="S83" s="3438"/>
      <c r="T83" s="3438"/>
      <c r="U83" s="3438"/>
      <c r="V83" s="3438"/>
      <c r="W83" s="3438"/>
      <c r="X83" s="3438"/>
      <c r="Y83" s="3438"/>
      <c r="Z83" s="3438"/>
      <c r="AA83" s="3438"/>
      <c r="AB83" s="3438"/>
      <c r="AC83" s="3438"/>
    </row>
    <row r="84" spans="1:29" ht="15.75" thickBot="1">
      <c r="A84" s="3514"/>
      <c r="B84" s="3524"/>
      <c r="C84" s="3525">
        <v>100</v>
      </c>
      <c r="D84" s="3525">
        <f t="shared" ref="D84:M84" si="18">C84-$K28</f>
        <v>100</v>
      </c>
      <c r="E84" s="3525">
        <f t="shared" si="18"/>
        <v>100</v>
      </c>
      <c r="F84" s="3525">
        <f t="shared" si="18"/>
        <v>100</v>
      </c>
      <c r="G84" s="3525">
        <f t="shared" si="18"/>
        <v>100</v>
      </c>
      <c r="H84" s="3525">
        <f t="shared" si="18"/>
        <v>100</v>
      </c>
      <c r="I84" s="3525">
        <f t="shared" si="18"/>
        <v>100</v>
      </c>
      <c r="J84" s="3525">
        <f t="shared" si="18"/>
        <v>100</v>
      </c>
      <c r="K84" s="3525">
        <f t="shared" si="18"/>
        <v>100</v>
      </c>
      <c r="L84" s="3525">
        <f t="shared" si="18"/>
        <v>100</v>
      </c>
      <c r="M84" s="3526">
        <f t="shared" si="18"/>
        <v>100</v>
      </c>
      <c r="N84" s="3518"/>
      <c r="O84" s="3518"/>
      <c r="P84" s="3513"/>
      <c r="Q84" s="3476"/>
      <c r="R84" s="3438"/>
      <c r="S84" s="3438"/>
      <c r="T84" s="3438"/>
      <c r="U84" s="3438"/>
      <c r="V84" s="3438"/>
      <c r="W84" s="3438"/>
      <c r="X84" s="3438"/>
      <c r="Y84" s="3438"/>
      <c r="Z84" s="3438"/>
      <c r="AA84" s="3438"/>
      <c r="AB84" s="3438"/>
      <c r="AC84" s="3438"/>
    </row>
    <row r="85" spans="1:29" ht="15" thickTop="1">
      <c r="A85" s="3565"/>
      <c r="B85" s="3519" t="s">
        <v>3130</v>
      </c>
      <c r="C85" s="3551" t="str">
        <f>C86&amp;"(含)"&amp;"-"&amp;D86</f>
        <v>0.5(含)-0.6</v>
      </c>
      <c r="D85" s="3551" t="str">
        <f>D86&amp;"(含)"&amp;"-"&amp;E86</f>
        <v>0.6(含)-0.7</v>
      </c>
      <c r="E85" s="3551" t="str">
        <f>E86&amp;"(含)"&amp;"-"&amp;F86</f>
        <v>0.7(含)-0.8</v>
      </c>
      <c r="F85" s="3551" t="str">
        <f>F86&amp;"(含)"&amp;"-"&amp;G86</f>
        <v>0.8(含)-0.9</v>
      </c>
      <c r="G85" s="3551" t="str">
        <f>G86&amp;"(含)"&amp;"-"&amp;ROUND(H86,0)&amp;"(含)"</f>
        <v>0.9(含)-1(含)</v>
      </c>
      <c r="H85" s="3551"/>
      <c r="I85" s="3554"/>
      <c r="J85" s="3554"/>
      <c r="K85" s="3555"/>
      <c r="L85" s="3556"/>
      <c r="M85" s="3557"/>
      <c r="N85" s="3512"/>
      <c r="O85" s="3512"/>
      <c r="P85" s="3513"/>
      <c r="Q85" s="3476"/>
      <c r="R85" s="3438"/>
      <c r="S85" s="3438"/>
      <c r="T85" s="3438"/>
      <c r="U85" s="3438"/>
      <c r="V85" s="3438"/>
      <c r="W85" s="3438"/>
      <c r="X85" s="3438"/>
      <c r="Y85" s="3438"/>
      <c r="Z85" s="3438"/>
      <c r="AA85" s="3438"/>
      <c r="AB85" s="3438"/>
      <c r="AC85" s="3438"/>
    </row>
    <row r="86" spans="1:29">
      <c r="A86" s="3565"/>
      <c r="B86" s="3552"/>
      <c r="C86" s="3566">
        <v>0.5</v>
      </c>
      <c r="D86" s="3566">
        <v>0.6</v>
      </c>
      <c r="E86" s="3566">
        <v>0.7</v>
      </c>
      <c r="F86" s="3566">
        <v>0.8</v>
      </c>
      <c r="G86" s="3566">
        <v>0.9</v>
      </c>
      <c r="H86" s="3566">
        <v>1.0001</v>
      </c>
      <c r="I86" s="3567"/>
      <c r="J86" s="3567"/>
      <c r="K86" s="3568"/>
      <c r="L86" s="3569"/>
      <c r="M86" s="3570"/>
      <c r="N86" s="3512"/>
      <c r="O86" s="3512"/>
      <c r="P86" s="3513"/>
      <c r="Q86" s="3476"/>
      <c r="R86" s="3438"/>
      <c r="S86" s="3438"/>
      <c r="T86" s="3438"/>
      <c r="U86" s="3438"/>
      <c r="V86" s="3438"/>
      <c r="W86" s="3438"/>
      <c r="X86" s="3438"/>
      <c r="Y86" s="3438"/>
      <c r="Z86" s="3438"/>
      <c r="AA86" s="3438"/>
      <c r="AB86" s="3438"/>
      <c r="AC86" s="3438"/>
    </row>
    <row r="87" spans="1:29" ht="15.75" thickBot="1">
      <c r="A87" s="3514"/>
      <c r="B87" s="3524"/>
      <c r="C87" s="3571">
        <v>100</v>
      </c>
      <c r="D87" s="3525">
        <f>C87+$K$29</f>
        <v>100</v>
      </c>
      <c r="E87" s="3525">
        <f t="shared" ref="E87:M87" si="19">D87+$K$29</f>
        <v>100</v>
      </c>
      <c r="F87" s="3525">
        <f t="shared" si="19"/>
        <v>100</v>
      </c>
      <c r="G87" s="3525">
        <f t="shared" si="19"/>
        <v>100</v>
      </c>
      <c r="H87" s="3525">
        <f t="shared" si="19"/>
        <v>100</v>
      </c>
      <c r="I87" s="3525">
        <f t="shared" si="19"/>
        <v>100</v>
      </c>
      <c r="J87" s="3525">
        <f t="shared" si="19"/>
        <v>100</v>
      </c>
      <c r="K87" s="3525">
        <f t="shared" si="19"/>
        <v>100</v>
      </c>
      <c r="L87" s="3525">
        <f t="shared" si="19"/>
        <v>100</v>
      </c>
      <c r="M87" s="3525">
        <f t="shared" si="19"/>
        <v>100</v>
      </c>
      <c r="N87" s="3518"/>
      <c r="O87" s="3518"/>
      <c r="P87" s="3513"/>
      <c r="Q87" s="3476"/>
      <c r="R87" s="3438"/>
      <c r="S87" s="3438"/>
      <c r="T87" s="3438"/>
      <c r="U87" s="3438"/>
      <c r="V87" s="3438"/>
      <c r="W87" s="3438"/>
      <c r="X87" s="3438"/>
      <c r="Y87" s="3438"/>
      <c r="Z87" s="3438"/>
      <c r="AA87" s="3438"/>
      <c r="AB87" s="3438"/>
      <c r="AC87" s="3438"/>
    </row>
    <row r="88" spans="1:29" ht="15" thickTop="1">
      <c r="A88" s="3565"/>
      <c r="B88" s="3552" t="s">
        <v>3131</v>
      </c>
      <c r="C88" s="3508"/>
      <c r="D88" s="3508"/>
      <c r="E88" s="3508"/>
      <c r="F88" s="3508"/>
      <c r="G88" s="3508"/>
      <c r="H88" s="3508"/>
      <c r="I88" s="3508"/>
      <c r="J88" s="3508"/>
      <c r="K88" s="3509"/>
      <c r="L88" s="3510"/>
      <c r="M88" s="3511"/>
      <c r="N88" s="3512"/>
      <c r="O88" s="3512"/>
      <c r="P88" s="3513"/>
      <c r="Q88" s="3476"/>
      <c r="R88" s="3438"/>
      <c r="S88" s="3438"/>
      <c r="T88" s="3438"/>
      <c r="U88" s="3438"/>
      <c r="V88" s="3438"/>
      <c r="W88" s="3438"/>
      <c r="X88" s="3438"/>
      <c r="Y88" s="3438"/>
      <c r="Z88" s="3438"/>
      <c r="AA88" s="3438"/>
      <c r="AB88" s="3438"/>
      <c r="AC88" s="3438"/>
    </row>
    <row r="89" spans="1:29" ht="15.75" thickBot="1">
      <c r="A89" s="3514"/>
      <c r="B89" s="3524"/>
      <c r="C89" s="3571">
        <v>100</v>
      </c>
      <c r="D89" s="3525">
        <f t="shared" ref="D89:M89" si="20">C89+$K30</f>
        <v>100</v>
      </c>
      <c r="E89" s="3525">
        <f t="shared" si="20"/>
        <v>100</v>
      </c>
      <c r="F89" s="3525">
        <f t="shared" si="20"/>
        <v>100</v>
      </c>
      <c r="G89" s="3525">
        <f t="shared" si="20"/>
        <v>100</v>
      </c>
      <c r="H89" s="3525">
        <f t="shared" si="20"/>
        <v>100</v>
      </c>
      <c r="I89" s="3525">
        <f t="shared" si="20"/>
        <v>100</v>
      </c>
      <c r="J89" s="3525">
        <f t="shared" si="20"/>
        <v>100</v>
      </c>
      <c r="K89" s="3525">
        <f t="shared" si="20"/>
        <v>100</v>
      </c>
      <c r="L89" s="3525">
        <f t="shared" si="20"/>
        <v>100</v>
      </c>
      <c r="M89" s="3525">
        <f t="shared" si="20"/>
        <v>100</v>
      </c>
      <c r="N89" s="3518"/>
      <c r="O89" s="3518"/>
      <c r="P89" s="3513"/>
      <c r="Q89" s="3476"/>
      <c r="R89" s="3438"/>
      <c r="S89" s="3438"/>
      <c r="T89" s="3438"/>
      <c r="U89" s="3438"/>
      <c r="V89" s="3438"/>
      <c r="W89" s="3438"/>
      <c r="X89" s="3438"/>
      <c r="Y89" s="3438"/>
      <c r="Z89" s="3438"/>
      <c r="AA89" s="3438"/>
      <c r="AB89" s="3438"/>
      <c r="AC89" s="3438"/>
    </row>
    <row r="90" spans="1:29" s="3420" customFormat="1" ht="15" thickTop="1">
      <c r="A90" s="3572"/>
      <c r="B90" s="3519" t="s">
        <v>3132</v>
      </c>
      <c r="C90" s="3551" t="str">
        <f>C91&amp;"(含)"&amp;"-"&amp;D91</f>
        <v>0(含)-35</v>
      </c>
      <c r="D90" s="3551" t="str">
        <f t="shared" ref="D90:L90" si="21">D91&amp;"(含)"&amp;"-"&amp;E91</f>
        <v>35(含)-60</v>
      </c>
      <c r="E90" s="3551" t="str">
        <f t="shared" si="21"/>
        <v>60(含)-</v>
      </c>
      <c r="F90" s="3551" t="str">
        <f t="shared" si="21"/>
        <v>(含)-</v>
      </c>
      <c r="G90" s="3551" t="str">
        <f t="shared" si="21"/>
        <v>(含)-</v>
      </c>
      <c r="H90" s="3551" t="str">
        <f t="shared" si="21"/>
        <v>(含)-</v>
      </c>
      <c r="I90" s="3551" t="str">
        <f t="shared" si="21"/>
        <v>(含)-</v>
      </c>
      <c r="J90" s="3551" t="str">
        <f t="shared" si="21"/>
        <v>(含)-</v>
      </c>
      <c r="K90" s="3551" t="str">
        <f t="shared" si="21"/>
        <v>(含)-</v>
      </c>
      <c r="L90" s="3551" t="str">
        <f t="shared" si="21"/>
        <v>(含)-</v>
      </c>
      <c r="M90" s="3573" t="str">
        <f>M91&amp;"(含)"&amp;"-"&amp;P91</f>
        <v>(含)-</v>
      </c>
      <c r="N90" s="3538"/>
      <c r="O90" s="3538"/>
      <c r="P90" s="3539"/>
      <c r="Q90" s="3540"/>
      <c r="R90" s="3541"/>
      <c r="S90" s="3541"/>
      <c r="T90" s="3541"/>
      <c r="U90" s="3541"/>
      <c r="V90" s="3541"/>
      <c r="W90" s="3541"/>
      <c r="X90" s="3541"/>
      <c r="Y90" s="3541"/>
      <c r="Z90" s="3541"/>
      <c r="AA90" s="3541"/>
      <c r="AB90" s="3541"/>
      <c r="AC90" s="3541"/>
    </row>
    <row r="91" spans="1:29" s="3420" customFormat="1">
      <c r="A91" s="3572"/>
      <c r="B91" s="3552"/>
      <c r="C91" s="3574">
        <v>0</v>
      </c>
      <c r="D91" s="3574">
        <v>35</v>
      </c>
      <c r="E91" s="3574">
        <v>60</v>
      </c>
      <c r="F91" s="3574"/>
      <c r="G91" s="3574"/>
      <c r="H91" s="3574"/>
      <c r="I91" s="3574"/>
      <c r="J91" s="3575"/>
      <c r="K91" s="3575"/>
      <c r="L91" s="3576"/>
      <c r="M91" s="3577"/>
      <c r="N91" s="3538"/>
      <c r="O91" s="3538"/>
      <c r="P91" s="3539"/>
      <c r="Q91" s="3540"/>
      <c r="R91" s="3541"/>
      <c r="S91" s="3541"/>
      <c r="T91" s="3541"/>
      <c r="U91" s="3541"/>
      <c r="V91" s="3541"/>
      <c r="W91" s="3541"/>
      <c r="X91" s="3541"/>
      <c r="Y91" s="3541"/>
      <c r="Z91" s="3541"/>
      <c r="AA91" s="3541"/>
      <c r="AB91" s="3541"/>
      <c r="AC91" s="3541"/>
    </row>
    <row r="92" spans="1:29" s="3420" customFormat="1" ht="15.75" thickBot="1">
      <c r="A92" s="3533"/>
      <c r="B92" s="3524"/>
      <c r="C92" s="3532">
        <v>100</v>
      </c>
      <c r="D92" s="3516">
        <v>108</v>
      </c>
      <c r="E92" s="3516">
        <v>116</v>
      </c>
      <c r="F92" s="3516"/>
      <c r="G92" s="3516"/>
      <c r="H92" s="3516"/>
      <c r="I92" s="3516"/>
      <c r="J92" s="3516"/>
      <c r="K92" s="3516"/>
      <c r="L92" s="3516"/>
      <c r="M92" s="3517"/>
      <c r="N92" s="3538"/>
      <c r="O92" s="3538"/>
      <c r="P92" s="3539"/>
      <c r="Q92" s="3540"/>
      <c r="R92" s="3541"/>
      <c r="S92" s="3541"/>
      <c r="T92" s="3541"/>
      <c r="U92" s="3541"/>
      <c r="V92" s="3541"/>
      <c r="W92" s="3541"/>
      <c r="X92" s="3541"/>
      <c r="Y92" s="3541"/>
      <c r="Z92" s="3541"/>
      <c r="AA92" s="3541"/>
      <c r="AB92" s="3541"/>
      <c r="AC92" s="3541"/>
    </row>
    <row r="93" spans="1:29" ht="15" thickTop="1">
      <c r="A93" s="3565"/>
      <c r="B93" s="3519" t="s">
        <v>3084</v>
      </c>
      <c r="C93" s="3534"/>
      <c r="D93" s="3534"/>
      <c r="E93" s="3554"/>
      <c r="F93" s="3554"/>
      <c r="G93" s="3554"/>
      <c r="H93" s="3554"/>
      <c r="I93" s="3554"/>
      <c r="J93" s="3554"/>
      <c r="K93" s="3555"/>
      <c r="L93" s="3556"/>
      <c r="M93" s="3557"/>
      <c r="N93" s="3512"/>
      <c r="O93" s="3512"/>
      <c r="P93" s="3513"/>
      <c r="Q93" s="3476"/>
      <c r="R93" s="3438"/>
      <c r="S93" s="3438"/>
      <c r="T93" s="3438"/>
      <c r="U93" s="3438"/>
      <c r="V93" s="3438"/>
      <c r="W93" s="3438"/>
      <c r="X93" s="3438"/>
      <c r="Y93" s="3438"/>
      <c r="Z93" s="3438"/>
      <c r="AA93" s="3438"/>
      <c r="AB93" s="3438"/>
      <c r="AC93" s="3438"/>
    </row>
    <row r="94" spans="1:29" ht="15.75" thickBot="1">
      <c r="A94" s="3514"/>
      <c r="B94" s="3524"/>
      <c r="C94" s="3525">
        <v>100</v>
      </c>
      <c r="D94" s="3525">
        <f t="shared" ref="D94:M94" si="22">C94-$K32</f>
        <v>100</v>
      </c>
      <c r="E94" s="3525">
        <f t="shared" si="22"/>
        <v>100</v>
      </c>
      <c r="F94" s="3525">
        <f t="shared" si="22"/>
        <v>100</v>
      </c>
      <c r="G94" s="3525">
        <f t="shared" si="22"/>
        <v>100</v>
      </c>
      <c r="H94" s="3525">
        <f t="shared" si="22"/>
        <v>100</v>
      </c>
      <c r="I94" s="3525">
        <f t="shared" si="22"/>
        <v>100</v>
      </c>
      <c r="J94" s="3525">
        <f t="shared" si="22"/>
        <v>100</v>
      </c>
      <c r="K94" s="3525">
        <f t="shared" si="22"/>
        <v>100</v>
      </c>
      <c r="L94" s="3525">
        <f t="shared" si="22"/>
        <v>100</v>
      </c>
      <c r="M94" s="3526">
        <f t="shared" si="22"/>
        <v>100</v>
      </c>
      <c r="N94" s="3518"/>
      <c r="O94" s="3518"/>
      <c r="P94" s="3513"/>
      <c r="Q94" s="3476"/>
      <c r="R94" s="3438"/>
      <c r="S94" s="3438"/>
      <c r="T94" s="3438"/>
      <c r="U94" s="3438"/>
      <c r="V94" s="3438"/>
      <c r="W94" s="3438"/>
      <c r="X94" s="3438"/>
      <c r="Y94" s="3438"/>
      <c r="Z94" s="3438"/>
      <c r="AA94" s="3438"/>
      <c r="AB94" s="3438"/>
      <c r="AC94" s="3438"/>
    </row>
    <row r="95" spans="1:29" ht="15" thickTop="1">
      <c r="A95" s="3565"/>
      <c r="B95" s="3519" t="s">
        <v>3085</v>
      </c>
      <c r="C95" s="3508"/>
      <c r="D95" s="3508"/>
      <c r="E95" s="3508"/>
      <c r="F95" s="3508"/>
      <c r="G95" s="3508"/>
      <c r="H95" s="3508"/>
      <c r="I95" s="3508"/>
      <c r="J95" s="3508"/>
      <c r="K95" s="3509"/>
      <c r="L95" s="3510"/>
      <c r="M95" s="3511"/>
      <c r="N95" s="3512"/>
      <c r="O95" s="3512"/>
      <c r="P95" s="3513"/>
      <c r="Q95" s="3476"/>
      <c r="R95" s="3438"/>
      <c r="S95" s="3438"/>
      <c r="T95" s="3438"/>
      <c r="U95" s="3438"/>
      <c r="V95" s="3438"/>
      <c r="W95" s="3438"/>
      <c r="X95" s="3438"/>
      <c r="Y95" s="3438"/>
      <c r="Z95" s="3438"/>
      <c r="AA95" s="3438"/>
      <c r="AB95" s="3438"/>
      <c r="AC95" s="3438"/>
    </row>
    <row r="96" spans="1:29" ht="15.75" thickBot="1">
      <c r="A96" s="3514"/>
      <c r="B96" s="3524"/>
      <c r="C96" s="3525">
        <v>100</v>
      </c>
      <c r="D96" s="3525">
        <f>C96-$K33</f>
        <v>100</v>
      </c>
      <c r="E96" s="3525">
        <f>D96-$K33</f>
        <v>100</v>
      </c>
      <c r="F96" s="3525">
        <f>E96-$K33</f>
        <v>100</v>
      </c>
      <c r="G96" s="3525">
        <f>F96-$K33</f>
        <v>100</v>
      </c>
      <c r="H96" s="3525"/>
      <c r="I96" s="3525"/>
      <c r="J96" s="3525"/>
      <c r="K96" s="3525"/>
      <c r="L96" s="3525"/>
      <c r="M96" s="3526"/>
      <c r="N96" s="3518"/>
      <c r="O96" s="3518"/>
      <c r="P96" s="3513"/>
      <c r="Q96" s="3476"/>
      <c r="R96" s="3438"/>
      <c r="S96" s="3438"/>
      <c r="T96" s="3438"/>
      <c r="U96" s="3438"/>
      <c r="V96" s="3438"/>
      <c r="W96" s="3438"/>
      <c r="X96" s="3438"/>
      <c r="Y96" s="3438"/>
      <c r="Z96" s="3438"/>
      <c r="AA96" s="3438"/>
      <c r="AB96" s="3438"/>
      <c r="AC96" s="3438"/>
    </row>
    <row r="97" spans="1:29" ht="15" thickTop="1">
      <c r="A97" s="3565"/>
      <c r="B97" s="3578">
        <f>B34</f>
        <v>111</v>
      </c>
      <c r="C97" s="3528"/>
      <c r="D97" s="3528"/>
      <c r="E97" s="3528"/>
      <c r="F97" s="3528"/>
      <c r="G97" s="3534"/>
      <c r="H97" s="3535"/>
      <c r="I97" s="3535"/>
      <c r="J97" s="3535"/>
      <c r="K97" s="3535"/>
      <c r="L97" s="3536"/>
      <c r="M97" s="3537"/>
      <c r="N97" s="3518"/>
      <c r="O97" s="3518"/>
      <c r="P97" s="3579"/>
      <c r="Q97" s="3580"/>
      <c r="R97" s="3438"/>
      <c r="S97" s="3438"/>
      <c r="T97" s="3438"/>
      <c r="U97" s="3438"/>
      <c r="V97" s="3438"/>
      <c r="W97" s="3438"/>
      <c r="X97" s="3438"/>
      <c r="Y97" s="3438"/>
      <c r="Z97" s="3438"/>
      <c r="AA97" s="3438"/>
      <c r="AB97" s="3438"/>
      <c r="AC97" s="3438"/>
    </row>
    <row r="98" spans="1:29" ht="15.75" thickBot="1">
      <c r="A98" s="3514"/>
      <c r="B98" s="3524"/>
      <c r="C98" s="3532"/>
      <c r="D98" s="3516"/>
      <c r="E98" s="3516"/>
      <c r="F98" s="3516"/>
      <c r="G98" s="3532"/>
      <c r="H98" s="3544"/>
      <c r="I98" s="3544"/>
      <c r="J98" s="3544"/>
      <c r="K98" s="3544"/>
      <c r="L98" s="3544"/>
      <c r="M98" s="3545"/>
      <c r="N98" s="3518"/>
      <c r="O98" s="3518"/>
      <c r="P98" s="3513"/>
      <c r="Q98" s="3476"/>
      <c r="R98" s="3438"/>
      <c r="S98" s="3438"/>
      <c r="T98" s="3438"/>
      <c r="U98" s="3438"/>
      <c r="V98" s="3438"/>
      <c r="W98" s="3438"/>
      <c r="X98" s="3438"/>
      <c r="Y98" s="3438"/>
      <c r="Z98" s="3438"/>
      <c r="AA98" s="3438"/>
      <c r="AB98" s="3438"/>
      <c r="AC98" s="3438"/>
    </row>
    <row r="99" spans="1:29" s="3420" customFormat="1" ht="15" thickTop="1">
      <c r="A99" s="3572"/>
      <c r="B99" s="3519">
        <f>B35</f>
        <v>111</v>
      </c>
      <c r="C99" s="3528"/>
      <c r="D99" s="3528"/>
      <c r="E99" s="3528"/>
      <c r="F99" s="3528"/>
      <c r="G99" s="3534"/>
      <c r="H99" s="3535"/>
      <c r="I99" s="3535"/>
      <c r="J99" s="3535"/>
      <c r="K99" s="3535"/>
      <c r="L99" s="3536"/>
      <c r="M99" s="3537"/>
      <c r="N99" s="3538"/>
      <c r="O99" s="3538"/>
      <c r="P99" s="3539"/>
      <c r="Q99" s="3540"/>
      <c r="R99" s="3541"/>
      <c r="S99" s="3541"/>
      <c r="T99" s="3541"/>
      <c r="U99" s="3541"/>
      <c r="V99" s="3541"/>
      <c r="W99" s="3541"/>
      <c r="X99" s="3541"/>
      <c r="Y99" s="3541"/>
      <c r="Z99" s="3541"/>
      <c r="AA99" s="3541"/>
      <c r="AB99" s="3541"/>
      <c r="AC99" s="3541"/>
    </row>
    <row r="100" spans="1:29" s="3420" customFormat="1" ht="15.75" thickBot="1">
      <c r="A100" s="3533"/>
      <c r="B100" s="3515"/>
      <c r="C100" s="3532"/>
      <c r="D100" s="3516"/>
      <c r="E100" s="3516"/>
      <c r="F100" s="3516"/>
      <c r="G100" s="3532"/>
      <c r="H100" s="3544"/>
      <c r="I100" s="3544"/>
      <c r="J100" s="3544"/>
      <c r="K100" s="3544"/>
      <c r="L100" s="3544"/>
      <c r="M100" s="3545"/>
      <c r="N100" s="3538"/>
      <c r="O100" s="3538"/>
      <c r="P100" s="3539"/>
      <c r="Q100" s="3540"/>
      <c r="R100" s="3541"/>
      <c r="S100" s="3541"/>
      <c r="T100" s="3541"/>
      <c r="U100" s="3541"/>
      <c r="V100" s="3541"/>
      <c r="W100" s="3541"/>
      <c r="X100" s="3541"/>
      <c r="Y100" s="3541"/>
      <c r="Z100" s="3541"/>
      <c r="AA100" s="3541"/>
      <c r="AB100" s="3541"/>
      <c r="AC100" s="3541"/>
    </row>
    <row r="101" spans="1:29" ht="15" thickTop="1">
      <c r="A101" s="3565"/>
      <c r="B101" s="3519">
        <f>B36</f>
        <v>111</v>
      </c>
      <c r="C101" s="3534"/>
      <c r="D101" s="3534"/>
      <c r="E101" s="3534"/>
      <c r="F101" s="3534"/>
      <c r="G101" s="3534"/>
      <c r="H101" s="3535"/>
      <c r="I101" s="3535"/>
      <c r="J101" s="3535"/>
      <c r="K101" s="3535"/>
      <c r="L101" s="3536"/>
      <c r="M101" s="3537"/>
      <c r="N101" s="3512"/>
      <c r="O101" s="3512"/>
      <c r="P101" s="3513"/>
      <c r="Q101" s="3476"/>
      <c r="R101" s="3438"/>
      <c r="S101" s="3438"/>
      <c r="T101" s="3438"/>
      <c r="U101" s="3438"/>
      <c r="V101" s="3438"/>
      <c r="W101" s="3438"/>
      <c r="X101" s="3438"/>
      <c r="Y101" s="3438"/>
      <c r="Z101" s="3438"/>
      <c r="AA101" s="3438"/>
      <c r="AB101" s="3438"/>
      <c r="AC101" s="3438"/>
    </row>
    <row r="102" spans="1:29" ht="15.75" thickBot="1">
      <c r="A102" s="3514"/>
      <c r="B102" s="3524"/>
      <c r="C102" s="3532"/>
      <c r="D102" s="3532"/>
      <c r="E102" s="3532"/>
      <c r="F102" s="3532"/>
      <c r="G102" s="3532"/>
      <c r="H102" s="3544"/>
      <c r="I102" s="3544"/>
      <c r="J102" s="3544"/>
      <c r="K102" s="3544"/>
      <c r="L102" s="3544"/>
      <c r="M102" s="3545"/>
      <c r="N102" s="3518"/>
      <c r="O102" s="3518"/>
      <c r="P102" s="3513"/>
      <c r="Q102" s="3476"/>
      <c r="R102" s="3438"/>
      <c r="S102" s="3438"/>
      <c r="T102" s="3438"/>
      <c r="U102" s="3438"/>
      <c r="V102" s="3438"/>
      <c r="W102" s="3438"/>
      <c r="X102" s="3438"/>
      <c r="Y102" s="3438"/>
      <c r="Z102" s="3438"/>
      <c r="AA102" s="3438"/>
      <c r="AB102" s="3438"/>
      <c r="AC102" s="3438"/>
    </row>
    <row r="103" spans="1:29" ht="15" thickTop="1">
      <c r="N103" s="3438"/>
      <c r="O103" s="3438"/>
      <c r="P103" s="3455"/>
      <c r="Q103" s="3438"/>
      <c r="R103" s="3438"/>
      <c r="S103" s="3438"/>
      <c r="T103" s="3438"/>
      <c r="U103" s="3438"/>
      <c r="V103" s="3438"/>
      <c r="W103" s="3438"/>
      <c r="X103" s="3438"/>
      <c r="Y103" s="3438"/>
      <c r="Z103" s="3438"/>
      <c r="AA103" s="3438"/>
      <c r="AB103" s="3438"/>
      <c r="AC103" s="343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3"/>
    <mergeCell ref="Y9:Y13"/>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9"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59" t="s">
        <v>2027</v>
      </c>
      <c r="B1" s="3759"/>
      <c r="C1" s="3759"/>
      <c r="D1" s="3759"/>
      <c r="E1" s="3759"/>
      <c r="F1" s="3759"/>
      <c r="G1" s="3759"/>
      <c r="H1" s="3759"/>
      <c r="I1" s="3759"/>
      <c r="J1" s="3759"/>
      <c r="K1" s="3759"/>
      <c r="L1" s="3759"/>
      <c r="M1" s="3759"/>
      <c r="N1" s="3759"/>
      <c r="O1" s="3759"/>
      <c r="P1" s="3759"/>
      <c r="Q1" s="3759"/>
      <c r="R1" s="3759"/>
    </row>
    <row r="2" spans="1:18">
      <c r="A2" s="1722" t="s">
        <v>2029</v>
      </c>
      <c r="B2" s="1722"/>
      <c r="C2" s="1722"/>
      <c r="D2" s="1722"/>
      <c r="E2" s="1722"/>
      <c r="F2" s="1722"/>
      <c r="G2" s="1722"/>
      <c r="H2" s="1722"/>
      <c r="I2" s="1723"/>
      <c r="J2" s="1723"/>
      <c r="K2" s="1724" t="str">
        <f>"估价期日："&amp;TEXT(项目基本情况!D3,"yyyy年m月d日;;")</f>
        <v>估价期日：2021年2月5日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760" t="s">
        <v>2018</v>
      </c>
      <c r="B3" s="3760" t="s">
        <v>2710</v>
      </c>
      <c r="C3" s="3761" t="s">
        <v>2019</v>
      </c>
      <c r="D3" s="3760" t="s">
        <v>2714</v>
      </c>
      <c r="E3" s="3755" t="s">
        <v>2020</v>
      </c>
      <c r="F3" s="3755"/>
      <c r="G3" s="3755"/>
      <c r="H3" s="3755" t="s">
        <v>2021</v>
      </c>
      <c r="I3" s="3755"/>
      <c r="J3" s="3755"/>
      <c r="K3" s="3761" t="s">
        <v>2022</v>
      </c>
      <c r="L3" s="3761" t="s">
        <v>2023</v>
      </c>
      <c r="M3" s="3760" t="s">
        <v>2711</v>
      </c>
      <c r="N3" s="3762" t="str">
        <f>"（分摊）"&amp;项目基本情况!B16&amp;"国有建设用地使用权面积/㎡"</f>
        <v>（分摊）出让国有建设用地使用权面积/㎡</v>
      </c>
      <c r="O3" s="3760" t="s">
        <v>2052</v>
      </c>
      <c r="P3" s="3761" t="s">
        <v>2032</v>
      </c>
      <c r="Q3" s="3761" t="s">
        <v>2053</v>
      </c>
      <c r="R3" s="3761" t="s">
        <v>2024</v>
      </c>
    </row>
    <row r="4" spans="1:18" ht="36.75" customHeight="1">
      <c r="A4" s="3760"/>
      <c r="B4" s="3760"/>
      <c r="C4" s="3761"/>
      <c r="D4" s="3760"/>
      <c r="E4" s="2491" t="s">
        <v>2031</v>
      </c>
      <c r="F4" s="2491" t="s">
        <v>2723</v>
      </c>
      <c r="G4" s="2491" t="s">
        <v>2025</v>
      </c>
      <c r="H4" s="2491" t="s">
        <v>2026</v>
      </c>
      <c r="I4" s="2491" t="s">
        <v>2724</v>
      </c>
      <c r="J4" s="2491" t="s">
        <v>2025</v>
      </c>
      <c r="K4" s="3761"/>
      <c r="L4" s="3761"/>
      <c r="M4" s="3760"/>
      <c r="N4" s="3762"/>
      <c r="O4" s="3760"/>
      <c r="P4" s="3761"/>
      <c r="Q4" s="3761"/>
      <c r="R4" s="3761"/>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v>
      </c>
      <c r="M5" s="1725">
        <f>IF(项目基本情况!B16="出让",项目基本情况!D20,"——")</f>
        <v>0</v>
      </c>
      <c r="N5" s="1725">
        <f>项目基本情况!C22</f>
        <v>44978.48</v>
      </c>
      <c r="O5" s="1725">
        <f>项目基本情况!C21</f>
        <v>83857</v>
      </c>
      <c r="P5" s="1725">
        <f ca="1">结果表!E42</f>
        <v>66773</v>
      </c>
      <c r="Q5" s="1725">
        <f ca="1">结果表!D42</f>
        <v>35815</v>
      </c>
      <c r="R5" s="1726">
        <f ca="1">结果表!C42</f>
        <v>300336</v>
      </c>
    </row>
    <row r="6" spans="1:18">
      <c r="A6" s="3756" t="str">
        <f>IF(项目基本情况!B9="市场价格","——","抵押价格")</f>
        <v>抵押价格</v>
      </c>
      <c r="B6" s="3757"/>
      <c r="C6" s="3757"/>
      <c r="D6" s="3757"/>
      <c r="E6" s="3757"/>
      <c r="F6" s="3757"/>
      <c r="G6" s="3757"/>
      <c r="H6" s="3757"/>
      <c r="I6" s="3757"/>
      <c r="J6" s="3757"/>
      <c r="K6" s="3757"/>
      <c r="L6" s="3757"/>
      <c r="M6" s="3757"/>
      <c r="N6" s="3757"/>
      <c r="O6" s="3757"/>
      <c r="P6" s="3757"/>
      <c r="Q6" s="3758"/>
      <c r="R6" s="1727">
        <f ca="1">结果表!O39</f>
        <v>300336</v>
      </c>
    </row>
    <row r="7" spans="1:18">
      <c r="A7" s="3756" t="str">
        <f>IF(项目基本情况!B9="市场价格","——",IF(项目基本情况!E8="已注销及未注销","抵押担保权已注销时的抵押价格","——"))</f>
        <v>——</v>
      </c>
      <c r="B7" s="3757"/>
      <c r="C7" s="3757"/>
      <c r="D7" s="3757"/>
      <c r="E7" s="3757"/>
      <c r="F7" s="3757"/>
      <c r="G7" s="3757"/>
      <c r="H7" s="3757"/>
      <c r="I7" s="3757"/>
      <c r="J7" s="3757"/>
      <c r="K7" s="3757"/>
      <c r="L7" s="3757"/>
      <c r="M7" s="3757"/>
      <c r="N7" s="3757"/>
      <c r="O7" s="3757"/>
      <c r="P7" s="3757"/>
      <c r="Q7" s="3758"/>
      <c r="R7" s="1727" t="str">
        <f>结果表!O40</f>
        <v>——</v>
      </c>
    </row>
    <row r="8" spans="1:18">
      <c r="A8" s="3756">
        <f>IF(项目基本情况!B9="市场价格","——",项目基本情况!E9)</f>
        <v>0</v>
      </c>
      <c r="B8" s="3757"/>
      <c r="C8" s="3757"/>
      <c r="D8" s="3757"/>
      <c r="E8" s="3757"/>
      <c r="F8" s="3757"/>
      <c r="G8" s="3757"/>
      <c r="H8" s="3757"/>
      <c r="I8" s="3757"/>
      <c r="J8" s="3757"/>
      <c r="K8" s="3757"/>
      <c r="L8" s="3757"/>
      <c r="M8" s="3757"/>
      <c r="N8" s="3757"/>
      <c r="O8" s="3757"/>
      <c r="P8" s="3757"/>
      <c r="Q8" s="375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764" t="s">
        <v>2054</v>
      </c>
      <c r="B1" s="3764"/>
      <c r="C1" s="3764"/>
      <c r="D1" s="3764"/>
    </row>
    <row r="2" spans="1:4" ht="47.25" customHeight="1">
      <c r="A2" s="3765" t="str">
        <f>"1.权利限制："&amp;项目基本情况!L24&amp;"未设定租赁等其他他项权利。"</f>
        <v>1.权利限制：根据估价对象《不动产权证书》原件、《国有土地使用权》复印件，截至估价期日，估价对象抵押权未见登记。未设定租赁等其他他项权利。</v>
      </c>
      <c r="B2" s="3765"/>
      <c r="C2" s="3765"/>
      <c r="D2" s="3765"/>
    </row>
    <row r="3" spans="1:4" ht="48" customHeight="1">
      <c r="A3" s="37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64"/>
      <c r="C3" s="3764"/>
      <c r="D3" s="3764"/>
    </row>
    <row r="4" spans="1:4" ht="36.75" customHeight="1">
      <c r="A4" s="3764" t="str">
        <f>"3.估价规划限制条件：详见"&amp;项目基本情况!E21&amp;"。"</f>
        <v>3.估价规划限制条件：详见《建设工程规划许可证》[]、《出让合同》[]。</v>
      </c>
      <c r="B4" s="3764"/>
      <c r="C4" s="3764"/>
      <c r="D4" s="3764"/>
    </row>
    <row r="5" spans="1:4">
      <c r="A5" s="3763" t="s">
        <v>2055</v>
      </c>
      <c r="B5" s="3763"/>
      <c r="C5" s="3763"/>
      <c r="D5" s="3763"/>
    </row>
    <row r="6" spans="1:4">
      <c r="A6" s="3764" t="s">
        <v>2033</v>
      </c>
      <c r="B6" s="3764"/>
      <c r="C6" s="3764"/>
      <c r="D6" s="3764"/>
    </row>
    <row r="7" spans="1:4" ht="33" customHeight="1">
      <c r="A7" s="3764" t="s">
        <v>2555</v>
      </c>
      <c r="B7" s="3764"/>
      <c r="C7" s="3764"/>
      <c r="D7" s="3764"/>
    </row>
    <row r="8" spans="1:4" ht="32.25" customHeight="1">
      <c r="A8" s="37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64"/>
      <c r="C8" s="3764"/>
      <c r="D8" s="3764"/>
    </row>
    <row r="9" spans="1:4" ht="33.75" customHeight="1">
      <c r="A9" s="37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64"/>
      <c r="C9" s="3764"/>
      <c r="D9" s="3764"/>
    </row>
    <row r="10" spans="1:4">
      <c r="A10" s="3764" t="str">
        <f>IF(项目基本情况!B8="抵押","4.估价师所知悉的法定优先受偿款情况为：","——")</f>
        <v>4.估价师所知悉的法定优先受偿款情况为：</v>
      </c>
      <c r="B10" s="3764"/>
      <c r="C10" s="3764"/>
      <c r="D10" s="3764"/>
    </row>
    <row r="11" spans="1:4" ht="37.5" customHeight="1">
      <c r="A11" s="37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66"/>
      <c r="C11" s="3766"/>
      <c r="D11" s="3766"/>
    </row>
    <row r="12" spans="1:4" ht="168" customHeight="1">
      <c r="A12" s="3763" t="s">
        <v>2057</v>
      </c>
      <c r="B12" s="3763"/>
      <c r="C12" s="3763"/>
      <c r="D12" s="3763"/>
    </row>
    <row r="13" spans="1:4">
      <c r="A13" s="3767" t="s">
        <v>2725</v>
      </c>
      <c r="B13" s="3767"/>
      <c r="C13" s="3767"/>
      <c r="D13" s="3767"/>
    </row>
    <row r="14" spans="1:4">
      <c r="A14" s="3766" t="str">
        <f>IF(项目基本情况!B8="抵押","综上，"&amp;结果表!K47,"——")</f>
        <v>综上，本次评估不存在估价师知悉的法定优先受偿款</v>
      </c>
      <c r="B14" s="3766"/>
      <c r="C14" s="3766"/>
      <c r="D14" s="3766"/>
    </row>
    <row r="15" spans="1:4" ht="58.5" customHeight="1">
      <c r="A15" s="37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4"/>
      <c r="C15" s="3764"/>
      <c r="D15" s="3764"/>
    </row>
    <row r="16" spans="1:4" ht="70.5" customHeight="1">
      <c r="A16" s="37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4"/>
      <c r="C16" s="3764"/>
      <c r="D16" s="3764"/>
    </row>
    <row r="17" spans="1:4">
      <c r="A17" s="3764" t="s">
        <v>2681</v>
      </c>
      <c r="B17" s="3764"/>
      <c r="C17" s="3764"/>
      <c r="D17" s="3764"/>
    </row>
    <row r="18" spans="1:4">
      <c r="A18" s="3764" t="s">
        <v>2673</v>
      </c>
      <c r="B18" s="3764"/>
      <c r="C18" s="3764"/>
      <c r="D18" s="3764"/>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764" t="s">
        <v>2678</v>
      </c>
      <c r="B23" s="3764"/>
      <c r="C23" s="3764"/>
      <c r="D23" s="3764"/>
    </row>
    <row r="24" spans="1:4">
      <c r="A24" s="2585" t="s">
        <v>2674</v>
      </c>
      <c r="B24" s="2585" t="s">
        <v>2679</v>
      </c>
      <c r="C24" s="2585" t="s">
        <v>2676</v>
      </c>
      <c r="D24" s="2585" t="s">
        <v>2677</v>
      </c>
    </row>
    <row r="25" spans="1:4">
      <c r="A25" s="2588" t="s">
        <v>2680</v>
      </c>
      <c r="B25" s="2585" t="s">
        <v>943</v>
      </c>
      <c r="C25" s="2587"/>
      <c r="D25" s="1715" t="s">
        <v>2683</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775" t="s">
        <v>53</v>
      </c>
      <c r="B15" s="3776" t="s">
        <v>838</v>
      </c>
      <c r="C15" s="3772"/>
    </row>
    <row r="16" spans="1:7" ht="14.25">
      <c r="A16" s="3775"/>
      <c r="B16" s="3773" t="s">
        <v>54</v>
      </c>
      <c r="C16" s="1155" t="s">
        <v>53</v>
      </c>
    </row>
    <row r="17" spans="1:3" ht="14.25">
      <c r="A17" s="3775"/>
      <c r="B17" s="3773"/>
      <c r="C17" s="1155" t="s">
        <v>55</v>
      </c>
    </row>
    <row r="18" spans="1:3" ht="14.25">
      <c r="A18" s="3775"/>
      <c r="B18" s="3773"/>
      <c r="C18" s="1155" t="s">
        <v>56</v>
      </c>
    </row>
    <row r="19" spans="1:3" ht="14.25">
      <c r="A19" s="3775"/>
      <c r="B19" s="3771" t="s">
        <v>57</v>
      </c>
      <c r="C19" s="3772"/>
    </row>
    <row r="20" spans="1:3" ht="14.25">
      <c r="A20" s="1156" t="s">
        <v>58</v>
      </c>
      <c r="B20" s="1157"/>
      <c r="C20" s="1158"/>
    </row>
    <row r="21" spans="1:3" ht="14.25">
      <c r="A21" s="3774" t="s">
        <v>59</v>
      </c>
      <c r="B21" s="3771" t="s">
        <v>60</v>
      </c>
      <c r="C21" s="3772"/>
    </row>
    <row r="22" spans="1:3" ht="14.25">
      <c r="A22" s="3774"/>
      <c r="B22" s="3771" t="s">
        <v>61</v>
      </c>
      <c r="C22" s="3772"/>
    </row>
    <row r="23" spans="1:3" ht="14.25">
      <c r="A23" s="3774"/>
      <c r="B23" s="3771" t="s">
        <v>62</v>
      </c>
      <c r="C23" s="3772"/>
    </row>
    <row r="24" spans="1:3" ht="14.25">
      <c r="A24" s="3774"/>
      <c r="B24" s="3777" t="s">
        <v>63</v>
      </c>
      <c r="C24" s="1159" t="s">
        <v>829</v>
      </c>
    </row>
    <row r="25" spans="1:3" ht="14.25">
      <c r="A25" s="3774"/>
      <c r="B25" s="3778"/>
      <c r="C25" s="1159" t="s">
        <v>830</v>
      </c>
    </row>
    <row r="26" spans="1:3" ht="14.25">
      <c r="A26" s="3774"/>
      <c r="B26" s="3778"/>
      <c r="C26" s="1159" t="s">
        <v>831</v>
      </c>
    </row>
    <row r="27" spans="1:3" ht="14.25">
      <c r="A27" s="3774"/>
      <c r="B27" s="3778"/>
      <c r="C27" s="1159" t="s">
        <v>832</v>
      </c>
    </row>
    <row r="28" spans="1:3" ht="14.25">
      <c r="A28" s="3774"/>
      <c r="B28" s="3778"/>
      <c r="C28" s="1159" t="s">
        <v>833</v>
      </c>
    </row>
    <row r="29" spans="1:3" ht="14.25">
      <c r="A29" s="3774"/>
      <c r="B29" s="3778"/>
      <c r="C29" s="1159" t="s">
        <v>834</v>
      </c>
    </row>
    <row r="30" spans="1:3" ht="14.25">
      <c r="A30" s="3774"/>
      <c r="B30" s="3778"/>
      <c r="C30" s="1159" t="s">
        <v>835</v>
      </c>
    </row>
    <row r="31" spans="1:3" ht="14.25">
      <c r="A31" s="3774"/>
      <c r="B31" s="3778"/>
      <c r="C31" s="1159" t="s">
        <v>836</v>
      </c>
    </row>
    <row r="32" spans="1:3" ht="14.25">
      <c r="A32" s="3774"/>
      <c r="B32" s="3778"/>
      <c r="C32" s="1159" t="s">
        <v>1637</v>
      </c>
    </row>
    <row r="33" spans="1:3" ht="14.25">
      <c r="A33" s="3774"/>
      <c r="B33" s="3768" t="s">
        <v>1643</v>
      </c>
      <c r="C33" s="1159" t="s">
        <v>1638</v>
      </c>
    </row>
    <row r="34" spans="1:3" ht="14.25">
      <c r="A34" s="3774"/>
      <c r="B34" s="3769"/>
      <c r="C34" s="1164" t="s">
        <v>1639</v>
      </c>
    </row>
    <row r="35" spans="1:3" ht="14.25">
      <c r="A35" s="3774"/>
      <c r="B35" s="3769"/>
      <c r="C35" s="1165" t="s">
        <v>1640</v>
      </c>
    </row>
    <row r="36" spans="1:3" ht="14.25">
      <c r="A36" s="3774"/>
      <c r="B36" s="3769"/>
      <c r="C36" s="1165" t="s">
        <v>1641</v>
      </c>
    </row>
    <row r="37" spans="1:3" ht="14.25">
      <c r="A37" s="3774"/>
      <c r="B37" s="377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44256</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2944</v>
      </c>
      <c r="B12" s="3029">
        <f ca="1">IF(C12&lt;B2,"已过期",1120040230)</f>
        <v>1120040230</v>
      </c>
      <c r="C12" s="3032">
        <v>44864</v>
      </c>
      <c r="D12" s="3040" t="s">
        <v>2945</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2959</v>
      </c>
      <c r="B15" s="3029">
        <f ca="1">IF(C14&lt;B2,"已过期",1119980106)</f>
        <v>1119980106</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782" t="s">
        <v>1915</v>
      </c>
      <c r="B17" s="3783"/>
      <c r="C17" s="3783"/>
      <c r="D17" s="3783"/>
      <c r="E17" s="3783"/>
      <c r="F17" s="3783"/>
      <c r="G17" s="3033"/>
    </row>
    <row r="18" spans="1:7" ht="20.25" customHeight="1">
      <c r="A18" s="3779" t="s">
        <v>1916</v>
      </c>
      <c r="B18" s="3779"/>
      <c r="C18" s="3780"/>
      <c r="D18" s="3781" t="s">
        <v>1917</v>
      </c>
      <c r="E18" s="3779"/>
      <c r="F18" s="3779"/>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2958</v>
      </c>
      <c r="F21" s="3037">
        <v>44012</v>
      </c>
      <c r="G21" s="3025"/>
    </row>
    <row r="22" spans="1:7" ht="20.25" customHeight="1">
      <c r="A22" s="3024"/>
      <c r="B22" s="3024"/>
      <c r="C22" s="3038"/>
      <c r="D22" s="3046"/>
      <c r="E22" s="3047"/>
      <c r="F22" s="3039" t="s">
        <v>2972</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zoomScale="115" zoomScaleNormal="115"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2920</v>
      </c>
      <c r="C18" s="1492"/>
    </row>
    <row r="19" spans="1:3">
      <c r="A19" s="8" t="s">
        <v>120</v>
      </c>
      <c r="B19" s="2791" t="s">
        <v>2927</v>
      </c>
      <c r="C19" s="1492"/>
    </row>
    <row r="20" spans="1:3">
      <c r="A20" s="8" t="s">
        <v>121</v>
      </c>
      <c r="B20" s="2791" t="s">
        <v>2973</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784"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c r="D53" s="1685"/>
      <c r="E53" s="1685"/>
    </row>
    <row r="54" spans="1:5">
      <c r="A54" s="3784"/>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784"/>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784"/>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784"/>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175</vt:i4>
      </vt:variant>
    </vt:vector>
  </HeadingPairs>
  <TitlesOfParts>
    <vt:vector size="21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比较法-住宅平墅</vt:lpstr>
      <vt:lpstr>比较法-车位平墅</vt:lpstr>
      <vt:lpstr>Sheet1</vt:lpstr>
      <vt:lpstr>'比较法-车位平墅'!Print_Area</vt:lpstr>
      <vt:lpstr>'比较法-工业'!Print_Area</vt:lpstr>
      <vt:lpstr>'比较法-住宅、综合'!Print_Area</vt:lpstr>
      <vt:lpstr>'比较法-住宅平墅'!Print_Area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'比较法-车位平墅'!车位公共部分装修</vt:lpstr>
      <vt:lpstr>车位公共部分装修</vt:lpstr>
      <vt:lpstr>'比较法-车位平墅'!车位交易情况</vt:lpstr>
      <vt:lpstr>车位交易情况</vt:lpstr>
      <vt:lpstr>'比较法-车位平墅'!车位类型</vt:lpstr>
      <vt:lpstr>车位类型</vt:lpstr>
      <vt:lpstr>'比较法-车位平墅'!车位楼层</vt:lpstr>
      <vt:lpstr>车位楼层</vt:lpstr>
      <vt:lpstr>'比较法-车位平墅'!车位配套类型</vt:lpstr>
      <vt:lpstr>车位配套类型</vt:lpstr>
      <vt:lpstr>'比较法-车位平墅'!车位物业等级</vt:lpstr>
      <vt:lpstr>车位物业等级</vt:lpstr>
      <vt:lpstr>'比较法-车位平墅'!车位用途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'比较法-车位平墅'!是否直接入户</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'比较法-住宅平墅'!住宅朝向</vt:lpstr>
      <vt:lpstr>住宅朝向</vt:lpstr>
      <vt:lpstr>'比较法-住宅平墅'!住宅房型</vt:lpstr>
      <vt:lpstr>住宅房型</vt:lpstr>
      <vt:lpstr>'比较法-住宅平墅'!住宅公共部分装修</vt:lpstr>
      <vt:lpstr>住宅公共部分装修</vt:lpstr>
      <vt:lpstr>'比较法-住宅平墅'!住宅基础设施水平</vt:lpstr>
      <vt:lpstr>住宅基础设施水平</vt:lpstr>
      <vt:lpstr>'比较法-住宅平墅'!住宅建筑结构</vt:lpstr>
      <vt:lpstr>住宅建筑结构</vt:lpstr>
      <vt:lpstr>'比较法-住宅平墅'!住宅建筑类型</vt:lpstr>
      <vt:lpstr>住宅建筑类型</vt:lpstr>
      <vt:lpstr>'比较法-住宅平墅'!住宅建筑品质</vt:lpstr>
      <vt:lpstr>住宅建筑品质</vt:lpstr>
      <vt:lpstr>'比较法-住宅平墅'!住宅交易情况</vt:lpstr>
      <vt:lpstr>住宅交易情况</vt:lpstr>
      <vt:lpstr>'比较法-住宅平墅'!住宅楼层</vt:lpstr>
      <vt:lpstr>住宅楼层</vt:lpstr>
      <vt:lpstr>'比较法-住宅平墅'!住宅内部装修</vt:lpstr>
      <vt:lpstr>住宅内部装修</vt:lpstr>
      <vt:lpstr>'比较法-住宅平墅'!住宅物业管理</vt:lpstr>
      <vt:lpstr>住宅物业管理</vt:lpstr>
      <vt:lpstr>'比较法-住宅平墅'!住宅用途</vt:lpstr>
      <vt:lpstr>住宅用途</vt:lpstr>
      <vt:lpstr>'比较法-住宅平墅'!住宅主力户型面积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2021-03-01T05:34:47Z</dcterms:modified>
</cp:coreProperties>
</file>